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charts/chart7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6.xml" ContentType="application/vnd.openxmlformats-officedocument.spreadsheetml.comments+xml"/>
  <Override PartName="/xl/charts/chart8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omments7.xml" ContentType="application/vnd.openxmlformats-officedocument.spreadsheetml.comments+xml"/>
  <Override PartName="/xl/charts/chart9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0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1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omments8.xml" ContentType="application/vnd.openxmlformats-officedocument.spreadsheetml.comments+xml"/>
  <Override PartName="/xl/charts/chart12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omments9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4.xml" ContentType="application/vnd.openxmlformats-officedocument.drawing+xml"/>
  <Override PartName="/xl/comments10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1AED2BDD-1FA3-CEF2-32D4-FBADEFEB71E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ke40mypc\Devlop\报价单\ewm\Excel_baojiadan\QCAuto\bin\Debug\shimingfang_2008\"/>
    </mc:Choice>
  </mc:AlternateContent>
  <bookViews>
    <workbookView xWindow="-105" yWindow="-105" windowWidth="23250" windowHeight="12570" tabRatio="795" firstSheet="1" activeTab="1"/>
  </bookViews>
  <sheets>
    <sheet name="Input" sheetId="263" r:id="rId1"/>
    <sheet name="Fan Selection" sheetId="69" r:id="rId2"/>
    <sheet name="Fan Type Calc." sheetId="68" r:id="rId3"/>
    <sheet name="Curves (Std. conditions)" sheetId="140" r:id="rId4"/>
    <sheet name="Curves (Ops. conditions)" sheetId="141" r:id="rId5"/>
    <sheet name="Fan Torque Curve" sheetId="253" r:id="rId6"/>
    <sheet name="Curves (Simulation) (a)" sheetId="260" r:id="rId7"/>
    <sheet name="Curves (Simulation) (b)" sheetId="259" r:id="rId8"/>
    <sheet name="Curves (Simulation) (1)" sheetId="142" r:id="rId9"/>
    <sheet name="Curves (Simulation) (2)" sheetId="261" r:id="rId10"/>
    <sheet name="Data for BOSS" sheetId="223" r:id="rId11"/>
    <sheet name="Fan template" sheetId="2" r:id="rId12"/>
    <sheet name="stop" sheetId="126" r:id="rId13"/>
    <sheet name="Fan Data &amp; Deformation" sheetId="245" r:id="rId14"/>
    <sheet name="Calc. sheet" sheetId="231" r:id="rId15"/>
    <sheet name="Ventilator relevance" sheetId="134" r:id="rId16"/>
    <sheet name="Fan Name List" sheetId="257" r:id="rId17"/>
    <sheet name="House C Data" sheetId="254" r:id="rId18"/>
    <sheet name="Impeller C &amp; Run Data" sheetId="255" r:id="rId19"/>
    <sheet name="Fan Hydraulic Data" sheetId="256" r:id="rId20"/>
    <sheet name="Mechanical data, limits" sheetId="246" r:id="rId21"/>
    <sheet name="Material Options" sheetId="133" r:id="rId22"/>
    <sheet name="STOCK LIST" sheetId="252" r:id="rId23"/>
    <sheet name="stop1" sheetId="218" r:id="rId24"/>
    <sheet name="name_change" sheetId="262" r:id="rId25"/>
  </sheets>
  <externalReferences>
    <externalReference r:id="rId26"/>
    <externalReference r:id="rId27"/>
    <externalReference r:id="rId28"/>
    <externalReference r:id="rId29"/>
  </externalReferences>
  <definedNames>
    <definedName name="A">Input!$NH$3</definedName>
    <definedName name="A_imp">'[1]Cost Calculator'!$K$46</definedName>
    <definedName name="Air_speed_limits" localSheetId="24">'[2]Mechanical data, limits'!$H$60:$O$80</definedName>
    <definedName name="Air_speed_limits">'Mechanical data, limits'!$H$60:$O$80</definedName>
    <definedName name="AS_tolerance">'Mechanical data, limits'!$N$60</definedName>
    <definedName name="b_1_bladeFP" localSheetId="24">'[2]Data for BOSS'!$G$68</definedName>
    <definedName name="b_1_bladeFP">'Data for BOSS'!$G$68</definedName>
    <definedName name="b_2" localSheetId="24">'[2]Data for BOSS'!$G$67</definedName>
    <definedName name="b_2">'Data for BOSS'!$G$67</definedName>
    <definedName name="b_in">'[1]Cost Calculator'!$I$44</definedName>
    <definedName name="Back_P_T" localSheetId="24">'[2]Data for BOSS'!$G$70</definedName>
    <definedName name="Back_P_T">'Data for BOSS'!$G$70</definedName>
    <definedName name="beta1">'[1]Cost Calculator'!$L$44</definedName>
    <definedName name="beta2">'[1]Cost Calculator'!$M$44</definedName>
    <definedName name="Bl_L">'[1]Cost Calculator'!$O$44</definedName>
    <definedName name="Blade_L" localSheetId="24">'[2]Data for BOSS'!$G$74</definedName>
    <definedName name="Blade_L">'Data for BOSS'!$G$74</definedName>
    <definedName name="Blade_T">'Data for BOSS'!$D$76</definedName>
    <definedName name="Blade_TW" localSheetId="24">'[2]Data for BOSS'!$G$75</definedName>
    <definedName name="Blade_TW">'Data for BOSS'!$G$75</definedName>
    <definedName name="blades" localSheetId="24">'[2]Data for BOSS'!$D$75</definedName>
    <definedName name="blades">'Data for BOSS'!$D$75</definedName>
    <definedName name="BMS_TYPE">'Data for BOSS'!$A$15</definedName>
    <definedName name="Boss_no" localSheetId="24">'[2]Fan Selection'!$A$81</definedName>
    <definedName name="Boss_no">'Fan Selection'!$A$81</definedName>
    <definedName name="Boss_Units" localSheetId="24">'[2]Data for BOSS'!$D$33</definedName>
    <definedName name="Boss_Units">'Data for BOSS'!$D$33</definedName>
    <definedName name="BP_T">'[1]Cost Calculator'!$E$46</definedName>
    <definedName name="C_imp">'[1]Cost Calculator'!$L$46</definedName>
    <definedName name="Cust_Fan_ID" localSheetId="24">'[2]Fan Selection'!$A$83</definedName>
    <definedName name="Cust_Fan_ID">'Fan Selection'!$A$83</definedName>
    <definedName name="Cust_Proj_ID" localSheetId="24">'[2]Fan Selection'!$A$82</definedName>
    <definedName name="Cust_Proj_ID">'Fan Selection'!$A$82</definedName>
    <definedName name="d_1" localSheetId="24">'[2]Data for BOSS'!$D$68</definedName>
    <definedName name="d_1">'Data for BOSS'!$D$68</definedName>
    <definedName name="d_2" localSheetId="24">'[2]Data for BOSS'!$D$18</definedName>
    <definedName name="d_2">'Data for BOSS'!$D$18</definedName>
    <definedName name="d_5">'Data for BOSS'!$D$69</definedName>
    <definedName name="d_in">'[1]Cost Calculator'!$G$44</definedName>
    <definedName name="d2_org" localSheetId="24">'[2]Data for BOSS'!$D$10</definedName>
    <definedName name="d2_org">'Data for BOSS'!$D$10</definedName>
    <definedName name="Des_ang_speed" localSheetId="24">'[2]Fan Data &amp; Deformation'!$E$12</definedName>
    <definedName name="Des_ang_speed">'Fan Data &amp; Deformation'!$E$12</definedName>
    <definedName name="Des_OP_ang_speed" localSheetId="24">'[2]Fan Data &amp; Deformation'!$B$12</definedName>
    <definedName name="Des_OP_ang_speed">'Fan Data &amp; Deformation'!$B$12</definedName>
    <definedName name="Des_rev" localSheetId="24">'[2]Fan Data &amp; Deformation'!$E$11</definedName>
    <definedName name="Des_rev">'Fan Data &amp; Deformation'!$E$11</definedName>
    <definedName name="Desired_RPM_max" localSheetId="24">'[2]Fan Selection'!$D$14</definedName>
    <definedName name="Desired_RPM_max">'Fan Selection'!$D$14</definedName>
    <definedName name="Desired_RPM_min" localSheetId="24">'[2]Fan Selection'!$D$13</definedName>
    <definedName name="Desired_RPM_min">'Fan Selection'!$D$13</definedName>
    <definedName name="Eff_OP" localSheetId="24">'[2]Data for BOSS'!$D$27</definedName>
    <definedName name="Eff_OP">'Data for BOSS'!$D$27</definedName>
    <definedName name="Ext_ring_D" localSheetId="24">'[2]Data for BOSS'!$G$78</definedName>
    <definedName name="Ext_ring_D">'Data for BOSS'!$G$78</definedName>
    <definedName name="Ext_ring_T" localSheetId="24">'[2]Data for BOSS'!$D$78</definedName>
    <definedName name="Ext_ring_T">'Data for BOSS'!$D$78</definedName>
    <definedName name="Ext_rings" localSheetId="24">'[2]Data for BOSS'!$D$77</definedName>
    <definedName name="Ext_rings">'Data for BOSS'!$D$77</definedName>
    <definedName name="Fan_drive" localSheetId="24">'[2]Fan Selection'!$B$4</definedName>
    <definedName name="Fan_drive">'Fan Selection'!$B$4</definedName>
    <definedName name="Fan_Eff_OP" localSheetId="24">'[2]Fan Selection'!$D$50</definedName>
    <definedName name="Fan_Eff_OP">'Fan Selection'!$D$50</definedName>
    <definedName name="Fan_name" localSheetId="24">'[2]Fan Selection'!$B$39</definedName>
    <definedName name="Fan_name">'Fan Selection'!$B$39</definedName>
    <definedName name="Fan_Name_List">'Fan Name List'!$A$17:$A$242</definedName>
    <definedName name="Fan_Power_OP">'Fan Selection'!$B$50</definedName>
    <definedName name="Fan_Power_std">'Fan Selection'!$B$62</definedName>
    <definedName name="fin_Q">Input!$D$11</definedName>
    <definedName name="Final_Fan" localSheetId="24">'[2]Data for BOSS'!$F$7</definedName>
    <definedName name="Final_Fan">'Data for BOSS'!$F$7</definedName>
    <definedName name="FP_T">'[1]Cost Calculator'!$D$46</definedName>
    <definedName name="FP_tool">'[1]Cost Calculator'!$D$44</definedName>
    <definedName name="Front_P_T" localSheetId="24">'[2]Data for BOSS'!$D$70</definedName>
    <definedName name="Front_P_T">'Data for BOSS'!$D$70</definedName>
    <definedName name="Funnel_height">'[1]Cost Calculator'!$N$41</definedName>
    <definedName name="g" localSheetId="24">'[2]Mechanical data, limits'!$E$1</definedName>
    <definedName name="g">'Mechanical data, limits'!$E$1</definedName>
    <definedName name="H_alfaend">'[1]Cost Calculator'!$M$41</definedName>
    <definedName name="H_alfastart">'[1]Cost Calculator'!$L$41</definedName>
    <definedName name="hb">Input!$B$9</definedName>
    <definedName name="HOUSE_B">'[1]Cost Calculator'!$H$41</definedName>
    <definedName name="HOUSE_C">'[1]Cost Calculator'!$I$41</definedName>
    <definedName name="House_P_T" localSheetId="24">'[2]Data for BOSS'!$D$11</definedName>
    <definedName name="House_P_T">'Data for BOSS'!$D$11</definedName>
    <definedName name="House_P_T_m">'Data for BOSS'!$G$11</definedName>
    <definedName name="House_X_Dim" localSheetId="24">'[2]Data for BOSS'!$D$12</definedName>
    <definedName name="House_X_Dim">'Data for BOSS'!$D$12</definedName>
    <definedName name="House_X_Dim_m">'Data for BOSS'!$G$12</definedName>
    <definedName name="HUB_P_D">'[1]Cost Calculator'!$G$46</definedName>
    <definedName name="HUB_P_T">'[1]Cost Calculator'!$F$46</definedName>
    <definedName name="I_alfaend">'[1]Cost Calculator'!$N$46</definedName>
    <definedName name="I_alfastart">'[1]Cost Calculator'!$M$46</definedName>
    <definedName name="IN_SP">Input!$B$6</definedName>
    <definedName name="Inlet" localSheetId="24">'[2]Data for BOSS'!$D$9</definedName>
    <definedName name="Inlet">'Data for BOSS'!$D$9</definedName>
    <definedName name="Inlet_D">'[1]Cost Calculator'!$E$41</definedName>
    <definedName name="Inlet_m" localSheetId="24">'[2]Data for BOSS'!$G$9</definedName>
    <definedName name="Inlet_m">'Data for BOSS'!$G$9</definedName>
    <definedName name="inlet_p">Input!$B$5</definedName>
    <definedName name="Int_ring_D" localSheetId="24">'[2]Data for BOSS'!$G$82</definedName>
    <definedName name="Int_ring_D">'Data for BOSS'!$G$82</definedName>
    <definedName name="Int_ring_T" localSheetId="24">'[2]Data for BOSS'!$D$82</definedName>
    <definedName name="Int_ring_T">'Data for BOSS'!$D$82</definedName>
    <definedName name="Int_rings" localSheetId="24">'[2]Data for BOSS'!$D$81</definedName>
    <definedName name="Int_rings">'Data for BOSS'!$D$81</definedName>
    <definedName name="K_house">'[1]Cost Calculator'!$K$41</definedName>
    <definedName name="Mat_BFRAME">'Fan Selection'!$B$28</definedName>
    <definedName name="Mat_BLADE" localSheetId="24">'[2]Data for BOSS'!$D$74</definedName>
    <definedName name="Mat_BLADE">'Data for BOSS'!$D$74</definedName>
    <definedName name="Mat_DM">'Fan Selection'!$B$27</definedName>
    <definedName name="Mat_FRAME">'Fan Selection'!$B$26</definedName>
    <definedName name="Mat_HOUSE">'Fan Selection'!$B$25</definedName>
    <definedName name="Mat_IMP" localSheetId="24">'[2]Fan Selection'!$B$24</definedName>
    <definedName name="Mat_IMP">'Fan Selection'!$B$24</definedName>
    <definedName name="Mat_opt_BFRAME" localSheetId="24">'[2]Material Options'!$K$2:'[2]Material Options'!$K$3</definedName>
    <definedName name="Mat_opt_BFRAME">'Material Options'!$K$2:'Material Options'!$K$3</definedName>
    <definedName name="Mat_opt_DM" localSheetId="24">'[2]Material Options'!$E$2:$E$4</definedName>
    <definedName name="Mat_opt_DM">'Material Options'!$E$2:$E$4</definedName>
    <definedName name="Mat_opt_FRAME" localSheetId="24">'[2]Material Options'!$I$2:$I$3</definedName>
    <definedName name="Mat_opt_FRAME">'Material Options'!$I$2:$I$3</definedName>
    <definedName name="Mat_opt_HOUSE" localSheetId="24">'[2]Material Options'!$G$2:$G$8</definedName>
    <definedName name="Mat_opt_HOUSE">'Material Options'!$G$2:$G$8</definedName>
    <definedName name="Mat_opt_IMP" localSheetId="24">'[2]Material Options'!$A$2:$A$8</definedName>
    <definedName name="Mat_opt_IMP">'Material Options'!$A$2:$A$8</definedName>
    <definedName name="Max_rev_OP" localSheetId="24">'[2]Fan Data &amp; Deformation'!$B$56</definedName>
    <definedName name="Max_rev_OP">'Fan Data &amp; Deformation'!$B$56</definedName>
    <definedName name="Max_rev_SC" localSheetId="24">'[2]Data for BOSS'!$G$66</definedName>
    <definedName name="Max_rev_SC">'Data for BOSS'!$G$66</definedName>
    <definedName name="Max_Stress" localSheetId="24">'[2]Fan Data &amp; Deformation'!$B$47</definedName>
    <definedName name="Max_Stress">'Fan Data &amp; Deformation'!$B$47</definedName>
    <definedName name="mech_data_type" localSheetId="24">'[2]Mechanical data, limits'!$A$39:$S$39</definedName>
    <definedName name="mech_data_type">'Mechanical data, limits'!$A$39:$S$39</definedName>
    <definedName name="Metal_density">'Fan Data &amp; Deformation'!$H$5</definedName>
    <definedName name="Metal_mech_data" localSheetId="24">'[2]Mechanical data, limits'!$A$41:$S$49</definedName>
    <definedName name="Metal_mech_data">'Mechanical data, limits'!$A$41:$S$49</definedName>
    <definedName name="metal_Types" localSheetId="24">'[2]Mechanical data, limits'!$A$41:$A$49</definedName>
    <definedName name="metal_Types">'Mechanical data, limits'!$A$41:$A$49</definedName>
    <definedName name="OP_Q">Input!$B$10</definedName>
    <definedName name="op_temp">Input!$B$8</definedName>
    <definedName name="OP_TP">Input!$B$7</definedName>
    <definedName name="P_OP_dyn" localSheetId="24">'[2]Data for BOSS'!$D$22</definedName>
    <definedName name="P_OP_dyn">'Data for BOSS'!$D$22</definedName>
    <definedName name="P_OP_in" localSheetId="24">'[2]Data for BOSS'!$D$19</definedName>
    <definedName name="P_OP_in">'Data for BOSS'!$D$19</definedName>
    <definedName name="P_OP_stat" localSheetId="24">'[2]Data for BOSS'!$D$21</definedName>
    <definedName name="P_OP_stat">'Data for BOSS'!$D$21</definedName>
    <definedName name="P_OP_tot" localSheetId="24">'[2]Data for BOSS'!$D$20</definedName>
    <definedName name="P_OP_tot">'Data for BOSS'!$D$20</definedName>
    <definedName name="P_std_stat" localSheetId="24">'[2]Data for BOSS'!$J$40</definedName>
    <definedName name="P_std_stat">'Data for BOSS'!$J$40</definedName>
    <definedName name="P_std_tot" localSheetId="24">'[2]Data for BOSS'!$J$44</definedName>
    <definedName name="P_std_tot">'Data for BOSS'!$J$44</definedName>
    <definedName name="Pin_in_SI">'Fan Selection'!$L$7</definedName>
    <definedName name="Pin_in_SU" localSheetId="24">'[2]Fan Selection'!$I$7</definedName>
    <definedName name="Pin_in_SU">'Fan Selection'!$I$7</definedName>
    <definedName name="Plate_T" localSheetId="24">'[2]Mechanical data, limits'!$I$40:$S$40</definedName>
    <definedName name="Plate_T">'Mechanical data, limits'!$I$40:$S$40</definedName>
    <definedName name="_xlnm.Print_Area" localSheetId="4">'Curves (Ops. conditions)'!$A$1:$L$69</definedName>
    <definedName name="_xlnm.Print_Area" localSheetId="8">'Curves (Simulation) (1)'!$A$1:$L$76</definedName>
    <definedName name="_xlnm.Print_Area" localSheetId="9">'Curves (Simulation) (2)'!$A$1:$L$76</definedName>
    <definedName name="_xlnm.Print_Area" localSheetId="6">'Curves (Simulation) (a)'!$A$1:$L$71</definedName>
    <definedName name="_xlnm.Print_Area" localSheetId="7">'Curves (Simulation) (b)'!$A$1:$L$71</definedName>
    <definedName name="_xlnm.Print_Area" localSheetId="3">'Curves (Std. conditions)'!$A$1:$L$69</definedName>
    <definedName name="_xlnm.Print_Area" localSheetId="10">'Data for BOSS'!$A$1:$Q$94</definedName>
    <definedName name="_xlnm.Print_Area" localSheetId="13">'Fan Data &amp; Deformation'!$A$1:$N$59</definedName>
    <definedName name="_xlnm.Print_Area" localSheetId="1">'Fan Selection'!$A$1:$E$80</definedName>
    <definedName name="_xlnm.Print_Area" localSheetId="11">'Fan template'!$A$1:$V$83</definedName>
    <definedName name="_xlnm.Print_Area" localSheetId="5">'Fan Torque Curve'!$A$1:$L$71</definedName>
    <definedName name="_xlnm.Print_Area" localSheetId="2">'Fan Type Calc.'!$A$1:$P$39</definedName>
    <definedName name="_xlnm.Print_Area" localSheetId="15">'Ventilator relevance'!$A$7:$A$244</definedName>
    <definedName name="_xlnm.Print_Titles" localSheetId="19">'Fan Hydraulic Data'!$1:$16</definedName>
    <definedName name="_xlnm.Print_Titles" localSheetId="17">'House C Data'!$1:$16</definedName>
    <definedName name="_xlnm.Print_Titles" localSheetId="18">'Impeller C &amp; Run Data'!$1:$16</definedName>
    <definedName name="_xlnm.Print_Titles" localSheetId="15">'Ventilator relevance'!$7:$14</definedName>
    <definedName name="Ps_in_SI">'Fan Selection'!$L$8</definedName>
    <definedName name="Ps_in_SU" localSheetId="24">'[2]Fan Selection'!$I$8</definedName>
    <definedName name="Ps_in_SU">'Fan Selection'!$I$8</definedName>
    <definedName name="Pt_in_SI">'Fan Selection'!$L$9</definedName>
    <definedName name="Pt_in_SU" localSheetId="24">'[2]Fan Selection'!$I$9</definedName>
    <definedName name="Pt_in_SU">'Fan Selection'!$I$9</definedName>
    <definedName name="Q" localSheetId="24">'[2]Data for BOSS'!$D$24</definedName>
    <definedName name="Q">'Data for BOSS'!$D$24</definedName>
    <definedName name="Q_in_SI">'Fan Selection'!$L$12</definedName>
    <definedName name="Q_in_SU" localSheetId="24">'[2]Fan Selection'!$I$12</definedName>
    <definedName name="Q_in_SU">'Fan Selection'!$I$12</definedName>
    <definedName name="r0">'[1]Cost Calculator'!$J$41</definedName>
    <definedName name="Radiation_F" localSheetId="24">'[2]Curves (Std. conditions)'!$C$65</definedName>
    <definedName name="Radiation_F">'Curves (Std. conditions)'!$P$55</definedName>
    <definedName name="rev_safety_f" localSheetId="24">'[2]Fan Selection'!$C$14</definedName>
    <definedName name="rev_safety_f">'Fan Selection'!$C$14</definedName>
    <definedName name="rho_med_20" localSheetId="24">'[2]Data for BOSS'!$J$38</definedName>
    <definedName name="rho_med_20">'Data for BOSS'!$J$38</definedName>
    <definedName name="rho_med_OP" localSheetId="24">'[2]Data for BOSS'!$P$36</definedName>
    <definedName name="rho_med_OP">'Data for BOSS'!$P$36</definedName>
    <definedName name="rho_med_std" localSheetId="24">'[2]Data for BOSS'!$D$26</definedName>
    <definedName name="rho_med_std">'Data for BOSS'!$D$26</definedName>
    <definedName name="rho_std" localSheetId="24">'[2]Fan Selection'!$B$61</definedName>
    <definedName name="rho_std">'Fan Selection'!$B$61</definedName>
    <definedName name="rpm_OP" localSheetId="24">'[2]Data for BOSS'!$D$25</definedName>
    <definedName name="rpm_OP">'Data for BOSS'!$D$25</definedName>
    <definedName name="Sel_Fan_eff">'Fan Selection'!$D$27</definedName>
    <definedName name="Sel_Fan_number" localSheetId="24">'[2]Fan Selection'!$C$26</definedName>
    <definedName name="Sel_Fan_number">'Fan Selection'!$C$26</definedName>
    <definedName name="Sel_Fan_rev" localSheetId="24">'[2]Fan Selection'!$C$27</definedName>
    <definedName name="Sel_Fan_rev">'Fan Selection'!$C$27</definedName>
    <definedName name="Sel_Fan_type" localSheetId="24">'[2]Fan Selection'!$D$26</definedName>
    <definedName name="Sel_Fan_type">'Fan Selection'!$D$26</definedName>
    <definedName name="Sel_Impeller_type" localSheetId="24">'[2]Fan Selection'!$E$26</definedName>
    <definedName name="Sel_Impeller_type">'Fan Selection'!$E$26</definedName>
    <definedName name="Shaft_Power_OP" localSheetId="24">'[2]Data for BOSS'!$D$28</definedName>
    <definedName name="Shaft_Power_OP">'Data for BOSS'!$D$28</definedName>
    <definedName name="Shaft_Power_std" localSheetId="24">'[2]Data for BOSS'!$J$46</definedName>
    <definedName name="Shaft_Power_std">'Data for BOSS'!$J$46</definedName>
    <definedName name="ST_Q">Input!$B$11</definedName>
    <definedName name="STD_Q">Input!$B$10</definedName>
    <definedName name="steel_density">'Fan Name List'!$B$1</definedName>
    <definedName name="Stock_list" localSheetId="24">'[2]STOCK LIST'!$A$1:$A$56</definedName>
    <definedName name="Stock_list">'STOCK LIST'!$A$1:$A$56</definedName>
    <definedName name="Stress_safety" localSheetId="24">'[2]Fan Data &amp; Deformation'!$H$4</definedName>
    <definedName name="Stress_safety">'Fan Data &amp; Deformation'!$H$4</definedName>
    <definedName name="T_in_SI">'Fan Selection'!$L$10</definedName>
    <definedName name="T_in_SU" localSheetId="24">'[2]Fan Selection'!$I$10</definedName>
    <definedName name="T_in_SU">'Fan Selection'!$I$10</definedName>
    <definedName name="T_OP" localSheetId="24">'[2]Data for BOSS'!$D$23</definedName>
    <definedName name="T_OP">'Data for BOSS'!$D$23</definedName>
    <definedName name="T_std" localSheetId="24">'[2]Fan Selection'!$B$57</definedName>
    <definedName name="T_std">'Fan Selection'!$B$57</definedName>
    <definedName name="Ventilator_liste">'House C Data'!$A$17:$A$243</definedName>
    <definedName name="Yield_S_safety" localSheetId="24">'[2]Fan Selection'!$C$15</definedName>
    <definedName name="Yield_S_safety">'Fan Selection'!$C$15</definedName>
    <definedName name="Yield_Stress20">'Fan Data &amp; Deformation'!$B$4</definedName>
  </definedNames>
  <calcPr calcId="152511"/>
  <customWorkbookViews>
    <customWorkbookView name="Jan Berg - Personal View" guid="{808B7C29-0493-4BFF-A8D2-E462FE66730B}" mergeInterval="0" personalView="1" maximized="1" windowWidth="1276" windowHeight="832" activeSheetId="2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6" i="69" l="1"/>
  <c r="B10" i="69" l="1"/>
  <c r="K32" i="263"/>
  <c r="H6" i="263" s="1"/>
  <c r="H32" i="263"/>
  <c r="H31" i="263"/>
  <c r="K31" i="263" s="1"/>
  <c r="H30" i="263"/>
  <c r="K30" i="263" s="1"/>
  <c r="I6" i="263" s="1"/>
  <c r="C8" i="263"/>
  <c r="H11" i="263" l="1"/>
  <c r="I11" i="263"/>
  <c r="H14" i="263"/>
  <c r="G22" i="263"/>
  <c r="G3" i="141" l="1"/>
  <c r="F2" i="140"/>
  <c r="B78" i="69" l="1"/>
  <c r="D69" i="69"/>
  <c r="C215" i="262" l="1"/>
  <c r="C214" i="262"/>
  <c r="C213" i="262"/>
  <c r="C212" i="262"/>
  <c r="C211" i="262"/>
  <c r="C210" i="262"/>
  <c r="C209" i="262"/>
  <c r="C208" i="262"/>
  <c r="C207" i="262"/>
  <c r="C206" i="262"/>
  <c r="C205" i="262"/>
  <c r="C204" i="262"/>
  <c r="C203" i="262"/>
  <c r="C202" i="262"/>
  <c r="C201" i="262"/>
  <c r="C200" i="262"/>
  <c r="C199" i="262"/>
  <c r="C198" i="262"/>
  <c r="C197" i="262"/>
  <c r="C196" i="262"/>
  <c r="C195" i="262"/>
  <c r="C194" i="262"/>
  <c r="C193" i="262"/>
  <c r="C192" i="262"/>
  <c r="C191" i="262"/>
  <c r="C190" i="262"/>
  <c r="C189" i="262"/>
  <c r="C188" i="262"/>
  <c r="C187" i="262"/>
  <c r="C186" i="262"/>
  <c r="C185" i="262"/>
  <c r="C184" i="262"/>
  <c r="C183" i="262"/>
  <c r="C182" i="262"/>
  <c r="C181" i="262"/>
  <c r="C180" i="262"/>
  <c r="C179" i="262"/>
  <c r="C178" i="262"/>
  <c r="C177" i="262"/>
  <c r="C176" i="262"/>
  <c r="C175" i="262"/>
  <c r="C174" i="262"/>
  <c r="C173" i="262"/>
  <c r="C172" i="262"/>
  <c r="C171" i="262"/>
  <c r="C170" i="262"/>
  <c r="C169" i="262"/>
  <c r="C168" i="262"/>
  <c r="C167" i="262"/>
  <c r="C166" i="262"/>
  <c r="C165" i="262"/>
  <c r="C164" i="262"/>
  <c r="C163" i="262"/>
  <c r="C162" i="262"/>
  <c r="C161" i="262"/>
  <c r="C160" i="262"/>
  <c r="C159" i="262"/>
  <c r="C158" i="262"/>
  <c r="C157" i="262"/>
  <c r="C156" i="262"/>
  <c r="C155" i="262"/>
  <c r="C154" i="262"/>
  <c r="C153" i="262"/>
  <c r="C152" i="262"/>
  <c r="C151" i="262"/>
  <c r="C150" i="262"/>
  <c r="C149" i="262"/>
  <c r="C148" i="262"/>
  <c r="C147" i="262"/>
  <c r="C146" i="262"/>
  <c r="C145" i="262"/>
  <c r="C144" i="262"/>
  <c r="C143" i="262"/>
  <c r="C142" i="262"/>
  <c r="C141" i="262"/>
  <c r="C140" i="262"/>
  <c r="C139" i="262"/>
  <c r="C138" i="262"/>
  <c r="C137" i="262"/>
  <c r="C136" i="262"/>
  <c r="C135" i="262"/>
  <c r="C134" i="262"/>
  <c r="C133" i="262"/>
  <c r="C132" i="262"/>
  <c r="C131" i="262"/>
  <c r="C130" i="262"/>
  <c r="C129" i="262"/>
  <c r="C128" i="262"/>
  <c r="C127" i="262"/>
  <c r="C126" i="262"/>
  <c r="C125" i="262"/>
  <c r="C124" i="262"/>
  <c r="C123" i="262"/>
  <c r="C122" i="262"/>
  <c r="C121" i="262"/>
  <c r="C120" i="262"/>
  <c r="C119" i="262"/>
  <c r="C118" i="262"/>
  <c r="C117" i="262"/>
  <c r="C116" i="262"/>
  <c r="C115" i="262"/>
  <c r="C114" i="262"/>
  <c r="C113" i="262"/>
  <c r="C112" i="262"/>
  <c r="C111" i="262"/>
  <c r="C110" i="262"/>
  <c r="C109" i="262"/>
  <c r="C108" i="262"/>
  <c r="C107" i="262"/>
  <c r="C106" i="262"/>
  <c r="C105" i="262"/>
  <c r="C104" i="262"/>
  <c r="C103" i="262"/>
  <c r="C102" i="262"/>
  <c r="C101" i="262"/>
  <c r="C100" i="262"/>
  <c r="C99" i="262"/>
  <c r="C98" i="262"/>
  <c r="C97" i="262"/>
  <c r="C96" i="262"/>
  <c r="C95" i="262"/>
  <c r="C94" i="262"/>
  <c r="C93" i="262"/>
  <c r="C92" i="262"/>
  <c r="C91" i="262"/>
  <c r="C90" i="262"/>
  <c r="C89" i="262"/>
  <c r="C88" i="262"/>
  <c r="C87" i="262"/>
  <c r="C86" i="262"/>
  <c r="C60" i="262"/>
  <c r="C59" i="262"/>
  <c r="C58" i="262"/>
  <c r="C57" i="262"/>
  <c r="C56" i="262"/>
  <c r="C55" i="262"/>
  <c r="C54" i="262"/>
  <c r="C53" i="262"/>
  <c r="C52" i="262"/>
  <c r="C51" i="262"/>
  <c r="C50" i="262"/>
  <c r="C48" i="262"/>
  <c r="C47" i="262"/>
  <c r="C46" i="262"/>
  <c r="C45" i="262"/>
  <c r="C44" i="262"/>
  <c r="C43" i="262"/>
  <c r="C42" i="262"/>
  <c r="C41" i="262"/>
  <c r="C40" i="262"/>
  <c r="C39" i="262"/>
  <c r="C38" i="262"/>
  <c r="C37" i="262"/>
  <c r="C36" i="262"/>
  <c r="C35" i="262"/>
  <c r="C34" i="262"/>
  <c r="C33" i="262"/>
  <c r="C32" i="262"/>
  <c r="C31" i="262"/>
  <c r="C30" i="262"/>
  <c r="C29" i="262"/>
  <c r="C28" i="262"/>
  <c r="C27" i="262"/>
  <c r="C26" i="262"/>
  <c r="C25" i="262"/>
  <c r="C24" i="262"/>
  <c r="C23" i="262"/>
  <c r="C22" i="262"/>
  <c r="C21" i="262"/>
  <c r="C20" i="262"/>
  <c r="C19" i="262"/>
  <c r="C18" i="262"/>
  <c r="C17" i="262"/>
  <c r="C16" i="262"/>
  <c r="C15" i="262"/>
  <c r="C14" i="262"/>
  <c r="C13" i="262"/>
  <c r="C12" i="262"/>
  <c r="C11" i="262"/>
  <c r="C10" i="262"/>
  <c r="C9" i="262"/>
  <c r="C8" i="262"/>
  <c r="C7" i="262"/>
  <c r="C6" i="262"/>
  <c r="C5" i="262"/>
  <c r="C4" i="262"/>
  <c r="C3" i="262"/>
  <c r="C2" i="262"/>
  <c r="C50" i="253" l="1"/>
  <c r="B1" i="69" l="1"/>
  <c r="Y150" i="246" l="1"/>
  <c r="X150" i="246"/>
  <c r="W150" i="246"/>
  <c r="V150" i="246"/>
  <c r="U150" i="246"/>
  <c r="T150" i="246"/>
  <c r="S150" i="246"/>
  <c r="R150" i="246"/>
  <c r="Q150" i="246"/>
  <c r="P150" i="246"/>
  <c r="O150" i="246"/>
  <c r="N150" i="246"/>
  <c r="M150" i="246"/>
  <c r="L150" i="246"/>
  <c r="K150" i="246"/>
  <c r="J150" i="246"/>
  <c r="I150" i="246"/>
  <c r="H150" i="246"/>
  <c r="G150" i="246"/>
  <c r="F150" i="246"/>
  <c r="E150" i="246"/>
  <c r="D150" i="246"/>
  <c r="C150" i="246"/>
  <c r="B150" i="246"/>
  <c r="A150" i="246"/>
  <c r="Y149" i="246"/>
  <c r="X149" i="246"/>
  <c r="W149" i="246"/>
  <c r="V149" i="246"/>
  <c r="U149" i="246"/>
  <c r="T149" i="246"/>
  <c r="S149" i="246"/>
  <c r="R149" i="246"/>
  <c r="Q149" i="246"/>
  <c r="P149" i="246"/>
  <c r="O149" i="246"/>
  <c r="N149" i="246"/>
  <c r="M149" i="246"/>
  <c r="L149" i="246"/>
  <c r="K149" i="246"/>
  <c r="J149" i="246"/>
  <c r="I149" i="246"/>
  <c r="H149" i="246"/>
  <c r="G149" i="246"/>
  <c r="F149" i="246"/>
  <c r="E149" i="246"/>
  <c r="D149" i="246"/>
  <c r="C149" i="246"/>
  <c r="B149" i="246"/>
  <c r="A149" i="246"/>
  <c r="Y148" i="246"/>
  <c r="X148" i="246"/>
  <c r="W148" i="246"/>
  <c r="V148" i="246"/>
  <c r="U148" i="246"/>
  <c r="T148" i="246"/>
  <c r="S148" i="246"/>
  <c r="R148" i="246"/>
  <c r="Q148" i="246"/>
  <c r="P148" i="246"/>
  <c r="O148" i="246"/>
  <c r="N148" i="246"/>
  <c r="M148" i="246"/>
  <c r="L148" i="246"/>
  <c r="K148" i="246"/>
  <c r="J148" i="246"/>
  <c r="I148" i="246"/>
  <c r="H148" i="246"/>
  <c r="G148" i="246"/>
  <c r="F148" i="246"/>
  <c r="E148" i="246"/>
  <c r="D148" i="246"/>
  <c r="C148" i="246"/>
  <c r="B148" i="246"/>
  <c r="A148" i="246"/>
  <c r="Y147" i="246"/>
  <c r="X147" i="246"/>
  <c r="W147" i="246"/>
  <c r="V147" i="246"/>
  <c r="U147" i="246"/>
  <c r="T147" i="246"/>
  <c r="S147" i="246"/>
  <c r="R147" i="246"/>
  <c r="Q147" i="246"/>
  <c r="P147" i="246"/>
  <c r="O147" i="246"/>
  <c r="N147" i="246"/>
  <c r="M147" i="246"/>
  <c r="L147" i="246"/>
  <c r="K147" i="246"/>
  <c r="J147" i="246"/>
  <c r="I147" i="246"/>
  <c r="H147" i="246"/>
  <c r="G147" i="246"/>
  <c r="F147" i="246"/>
  <c r="E147" i="246"/>
  <c r="D147" i="246"/>
  <c r="C147" i="246"/>
  <c r="B147" i="246"/>
  <c r="A147" i="246"/>
  <c r="Y146" i="246"/>
  <c r="X146" i="246"/>
  <c r="W146" i="246"/>
  <c r="V146" i="246"/>
  <c r="U146" i="246"/>
  <c r="T146" i="246"/>
  <c r="S146" i="246"/>
  <c r="R146" i="246"/>
  <c r="Q146" i="246"/>
  <c r="P146" i="246"/>
  <c r="O146" i="246"/>
  <c r="N146" i="246"/>
  <c r="M146" i="246"/>
  <c r="L146" i="246"/>
  <c r="K146" i="246"/>
  <c r="J146" i="246"/>
  <c r="I146" i="246"/>
  <c r="H146" i="246"/>
  <c r="G146" i="246"/>
  <c r="F146" i="246"/>
  <c r="E146" i="246"/>
  <c r="D146" i="246"/>
  <c r="C146" i="246"/>
  <c r="B146" i="246"/>
  <c r="A146" i="246"/>
  <c r="Y145" i="246"/>
  <c r="X145" i="246"/>
  <c r="W145" i="246"/>
  <c r="V145" i="246"/>
  <c r="U145" i="246"/>
  <c r="T145" i="246"/>
  <c r="S145" i="246"/>
  <c r="R145" i="246"/>
  <c r="Q145" i="246"/>
  <c r="P145" i="246"/>
  <c r="O145" i="246"/>
  <c r="N145" i="246"/>
  <c r="M145" i="246"/>
  <c r="L145" i="246"/>
  <c r="K145" i="246"/>
  <c r="J145" i="246"/>
  <c r="I145" i="246"/>
  <c r="H145" i="246"/>
  <c r="G145" i="246"/>
  <c r="F145" i="246"/>
  <c r="E145" i="246"/>
  <c r="D145" i="246"/>
  <c r="C145" i="246"/>
  <c r="B145" i="246"/>
  <c r="A145" i="246"/>
  <c r="Y144" i="246"/>
  <c r="X144" i="246"/>
  <c r="W144" i="246"/>
  <c r="V144" i="246"/>
  <c r="U144" i="246"/>
  <c r="T144" i="246"/>
  <c r="S144" i="246"/>
  <c r="R144" i="246"/>
  <c r="Q144" i="246"/>
  <c r="P144" i="246"/>
  <c r="O144" i="246"/>
  <c r="N144" i="246"/>
  <c r="M144" i="246"/>
  <c r="L144" i="246"/>
  <c r="K144" i="246"/>
  <c r="J144" i="246"/>
  <c r="I144" i="246"/>
  <c r="H144" i="246"/>
  <c r="G144" i="246"/>
  <c r="F144" i="246"/>
  <c r="E144" i="246"/>
  <c r="D144" i="246"/>
  <c r="C144" i="246"/>
  <c r="B144" i="246"/>
  <c r="A144" i="246"/>
  <c r="Y143" i="246"/>
  <c r="X143" i="246"/>
  <c r="W143" i="246"/>
  <c r="V143" i="246"/>
  <c r="U143" i="246"/>
  <c r="T143" i="246"/>
  <c r="S143" i="246"/>
  <c r="R143" i="246"/>
  <c r="Q143" i="246"/>
  <c r="P143" i="246"/>
  <c r="O143" i="246"/>
  <c r="N143" i="246"/>
  <c r="M143" i="246"/>
  <c r="L143" i="246"/>
  <c r="K143" i="246"/>
  <c r="J143" i="246"/>
  <c r="I143" i="246"/>
  <c r="H143" i="246"/>
  <c r="G143" i="246"/>
  <c r="F143" i="246"/>
  <c r="E143" i="246"/>
  <c r="D143" i="246"/>
  <c r="C143" i="246"/>
  <c r="B143" i="246"/>
  <c r="A143" i="246"/>
  <c r="Y142" i="246"/>
  <c r="X142" i="246"/>
  <c r="W142" i="246"/>
  <c r="V142" i="246"/>
  <c r="U142" i="246"/>
  <c r="T142" i="246"/>
  <c r="S142" i="246"/>
  <c r="R142" i="246"/>
  <c r="Q142" i="246"/>
  <c r="P142" i="246"/>
  <c r="O142" i="246"/>
  <c r="N142" i="246"/>
  <c r="M142" i="246"/>
  <c r="L142" i="246"/>
  <c r="K142" i="246"/>
  <c r="J142" i="246"/>
  <c r="I142" i="246"/>
  <c r="H142" i="246"/>
  <c r="G142" i="246"/>
  <c r="F142" i="246"/>
  <c r="E142" i="246"/>
  <c r="D142" i="246"/>
  <c r="C142" i="246"/>
  <c r="B142" i="246"/>
  <c r="A142" i="246"/>
  <c r="Y141" i="246"/>
  <c r="X141" i="246"/>
  <c r="W141" i="246"/>
  <c r="V141" i="246"/>
  <c r="U141" i="246"/>
  <c r="T141" i="246"/>
  <c r="S141" i="246"/>
  <c r="R141" i="246"/>
  <c r="Q141" i="246"/>
  <c r="P141" i="246"/>
  <c r="O141" i="246"/>
  <c r="N141" i="246"/>
  <c r="M141" i="246"/>
  <c r="L141" i="246"/>
  <c r="K141" i="246"/>
  <c r="J141" i="246"/>
  <c r="I141" i="246"/>
  <c r="H141" i="246"/>
  <c r="G141" i="246"/>
  <c r="F141" i="246"/>
  <c r="E141" i="246"/>
  <c r="D141" i="246"/>
  <c r="C141" i="246"/>
  <c r="B141" i="246"/>
  <c r="A141" i="246"/>
  <c r="Y140" i="246"/>
  <c r="X140" i="246"/>
  <c r="W140" i="246"/>
  <c r="V140" i="246"/>
  <c r="U140" i="246"/>
  <c r="T140" i="246"/>
  <c r="S140" i="246"/>
  <c r="R140" i="246"/>
  <c r="Q140" i="246"/>
  <c r="P140" i="246"/>
  <c r="O140" i="246"/>
  <c r="N140" i="246"/>
  <c r="M140" i="246"/>
  <c r="L140" i="246"/>
  <c r="K140" i="246"/>
  <c r="J140" i="246"/>
  <c r="I140" i="246"/>
  <c r="H140" i="246"/>
  <c r="G140" i="246"/>
  <c r="F140" i="246"/>
  <c r="E140" i="246"/>
  <c r="D140" i="246"/>
  <c r="C140" i="246"/>
  <c r="B140" i="246"/>
  <c r="A140" i="246"/>
  <c r="Y139" i="246"/>
  <c r="X139" i="246"/>
  <c r="W139" i="246"/>
  <c r="V139" i="246"/>
  <c r="U139" i="246"/>
  <c r="T139" i="246"/>
  <c r="S139" i="246"/>
  <c r="R139" i="246"/>
  <c r="Q139" i="246"/>
  <c r="P139" i="246"/>
  <c r="O139" i="246"/>
  <c r="N139" i="246"/>
  <c r="M139" i="246"/>
  <c r="L139" i="246"/>
  <c r="K139" i="246"/>
  <c r="J139" i="246"/>
  <c r="I139" i="246"/>
  <c r="H139" i="246"/>
  <c r="G139" i="246"/>
  <c r="F139" i="246"/>
  <c r="E139" i="246"/>
  <c r="D139" i="246"/>
  <c r="C139" i="246"/>
  <c r="B139" i="246"/>
  <c r="A139" i="246"/>
  <c r="Y138" i="246"/>
  <c r="X138" i="246"/>
  <c r="W138" i="246"/>
  <c r="V138" i="246"/>
  <c r="U138" i="246"/>
  <c r="T138" i="246"/>
  <c r="S138" i="246"/>
  <c r="R138" i="246"/>
  <c r="Q138" i="246"/>
  <c r="P138" i="246"/>
  <c r="O138" i="246"/>
  <c r="N138" i="246"/>
  <c r="M138" i="246"/>
  <c r="L138" i="246"/>
  <c r="K138" i="246"/>
  <c r="J138" i="246"/>
  <c r="I138" i="246"/>
  <c r="H138" i="246"/>
  <c r="G138" i="246"/>
  <c r="F138" i="246"/>
  <c r="E138" i="246"/>
  <c r="D138" i="246"/>
  <c r="C138" i="246"/>
  <c r="B138" i="246"/>
  <c r="A138" i="246"/>
  <c r="Y137" i="246"/>
  <c r="X137" i="246"/>
  <c r="W137" i="246"/>
  <c r="V137" i="246"/>
  <c r="U137" i="246"/>
  <c r="T137" i="246"/>
  <c r="S137" i="246"/>
  <c r="R137" i="246"/>
  <c r="Q137" i="246"/>
  <c r="P137" i="246"/>
  <c r="O137" i="246"/>
  <c r="N137" i="246"/>
  <c r="M137" i="246"/>
  <c r="L137" i="246"/>
  <c r="K137" i="246"/>
  <c r="J137" i="246"/>
  <c r="I137" i="246"/>
  <c r="H137" i="246"/>
  <c r="G137" i="246"/>
  <c r="F137" i="246"/>
  <c r="E137" i="246"/>
  <c r="D137" i="246"/>
  <c r="C137" i="246"/>
  <c r="B137" i="246"/>
  <c r="A137" i="246"/>
  <c r="Y136" i="246"/>
  <c r="X136" i="246"/>
  <c r="W136" i="246"/>
  <c r="V136" i="246"/>
  <c r="U136" i="246"/>
  <c r="T136" i="246"/>
  <c r="S136" i="246"/>
  <c r="R136" i="246"/>
  <c r="Q136" i="246"/>
  <c r="P136" i="246"/>
  <c r="O136" i="246"/>
  <c r="N136" i="246"/>
  <c r="M136" i="246"/>
  <c r="L136" i="246"/>
  <c r="K136" i="246"/>
  <c r="J136" i="246"/>
  <c r="I136" i="246"/>
  <c r="H136" i="246"/>
  <c r="G136" i="246"/>
  <c r="F136" i="246"/>
  <c r="E136" i="246"/>
  <c r="D136" i="246"/>
  <c r="C136" i="246"/>
  <c r="B136" i="246"/>
  <c r="A136" i="246"/>
  <c r="Y135" i="246"/>
  <c r="X135" i="246"/>
  <c r="W135" i="246"/>
  <c r="V135" i="246"/>
  <c r="U135" i="246"/>
  <c r="T135" i="246"/>
  <c r="S135" i="246"/>
  <c r="R135" i="246"/>
  <c r="Q135" i="246"/>
  <c r="P135" i="246"/>
  <c r="O135" i="246"/>
  <c r="N135" i="246"/>
  <c r="M135" i="246"/>
  <c r="L135" i="246"/>
  <c r="K135" i="246"/>
  <c r="J135" i="246"/>
  <c r="I135" i="246"/>
  <c r="H135" i="246"/>
  <c r="G135" i="246"/>
  <c r="F135" i="246"/>
  <c r="E135" i="246"/>
  <c r="D135" i="246"/>
  <c r="C135" i="246"/>
  <c r="B135" i="246"/>
  <c r="A135" i="246"/>
  <c r="Y134" i="246"/>
  <c r="X134" i="246"/>
  <c r="W134" i="246"/>
  <c r="V134" i="246"/>
  <c r="U134" i="246"/>
  <c r="T134" i="246"/>
  <c r="S134" i="246"/>
  <c r="R134" i="246"/>
  <c r="Q134" i="246"/>
  <c r="P134" i="246"/>
  <c r="O134" i="246"/>
  <c r="N134" i="246"/>
  <c r="M134" i="246"/>
  <c r="L134" i="246"/>
  <c r="K134" i="246"/>
  <c r="J134" i="246"/>
  <c r="I134" i="246"/>
  <c r="H134" i="246"/>
  <c r="G134" i="246"/>
  <c r="F134" i="246"/>
  <c r="E134" i="246"/>
  <c r="D134" i="246"/>
  <c r="C134" i="246"/>
  <c r="B134" i="246"/>
  <c r="A134" i="246"/>
  <c r="Y133" i="246"/>
  <c r="X133" i="246"/>
  <c r="W133" i="246"/>
  <c r="V133" i="246"/>
  <c r="U133" i="246"/>
  <c r="T133" i="246"/>
  <c r="S133" i="246"/>
  <c r="R133" i="246"/>
  <c r="Q133" i="246"/>
  <c r="P133" i="246"/>
  <c r="O133" i="246"/>
  <c r="N133" i="246"/>
  <c r="M133" i="246"/>
  <c r="L133" i="246"/>
  <c r="K133" i="246"/>
  <c r="J133" i="246"/>
  <c r="I133" i="246"/>
  <c r="H133" i="246"/>
  <c r="G133" i="246"/>
  <c r="F133" i="246"/>
  <c r="E133" i="246"/>
  <c r="D133" i="246"/>
  <c r="C133" i="246"/>
  <c r="B133" i="246"/>
  <c r="A133" i="246"/>
  <c r="Y132" i="246"/>
  <c r="X132" i="246"/>
  <c r="W132" i="246"/>
  <c r="V132" i="246"/>
  <c r="U132" i="246"/>
  <c r="T132" i="246"/>
  <c r="S132" i="246"/>
  <c r="R132" i="246"/>
  <c r="Q132" i="246"/>
  <c r="P132" i="246"/>
  <c r="O132" i="246"/>
  <c r="N132" i="246"/>
  <c r="M132" i="246"/>
  <c r="L132" i="246"/>
  <c r="K132" i="246"/>
  <c r="J132" i="246"/>
  <c r="I132" i="246"/>
  <c r="H132" i="246"/>
  <c r="G132" i="246"/>
  <c r="F132" i="246"/>
  <c r="E132" i="246"/>
  <c r="D132" i="246"/>
  <c r="C132" i="246"/>
  <c r="B132" i="246"/>
  <c r="A132" i="246"/>
  <c r="Y131" i="246"/>
  <c r="X131" i="246"/>
  <c r="W131" i="246"/>
  <c r="V131" i="246"/>
  <c r="U131" i="246"/>
  <c r="T131" i="246"/>
  <c r="S131" i="246"/>
  <c r="R131" i="246"/>
  <c r="Q131" i="246"/>
  <c r="P131" i="246"/>
  <c r="O131" i="246"/>
  <c r="N131" i="246"/>
  <c r="M131" i="246"/>
  <c r="L131" i="246"/>
  <c r="K131" i="246"/>
  <c r="J131" i="246"/>
  <c r="I131" i="246"/>
  <c r="H131" i="246"/>
  <c r="G131" i="246"/>
  <c r="F131" i="246"/>
  <c r="E131" i="246"/>
  <c r="D131" i="246"/>
  <c r="C131" i="246"/>
  <c r="B131" i="246"/>
  <c r="A131" i="246"/>
  <c r="Y130" i="246"/>
  <c r="X130" i="246"/>
  <c r="W130" i="246"/>
  <c r="V130" i="246"/>
  <c r="U130" i="246"/>
  <c r="T130" i="246"/>
  <c r="S130" i="246"/>
  <c r="R130" i="246"/>
  <c r="Q130" i="246"/>
  <c r="P130" i="246"/>
  <c r="O130" i="246"/>
  <c r="N130" i="246"/>
  <c r="M130" i="246"/>
  <c r="L130" i="246"/>
  <c r="K130" i="246"/>
  <c r="J130" i="246"/>
  <c r="I130" i="246"/>
  <c r="H130" i="246"/>
  <c r="G130" i="246"/>
  <c r="F130" i="246"/>
  <c r="E130" i="246"/>
  <c r="D130" i="246"/>
  <c r="C130" i="246"/>
  <c r="B130" i="246"/>
  <c r="A130" i="246"/>
  <c r="Y129" i="246"/>
  <c r="X129" i="246"/>
  <c r="W129" i="246"/>
  <c r="V129" i="246"/>
  <c r="U129" i="246"/>
  <c r="T129" i="246"/>
  <c r="S129" i="246"/>
  <c r="R129" i="246"/>
  <c r="Q129" i="246"/>
  <c r="P129" i="246"/>
  <c r="O129" i="246"/>
  <c r="N129" i="246"/>
  <c r="M129" i="246"/>
  <c r="L129" i="246"/>
  <c r="K129" i="246"/>
  <c r="J129" i="246"/>
  <c r="I129" i="246"/>
  <c r="H129" i="246"/>
  <c r="G129" i="246"/>
  <c r="F129" i="246"/>
  <c r="E129" i="246"/>
  <c r="D129" i="246"/>
  <c r="C129" i="246"/>
  <c r="B129" i="246"/>
  <c r="A129" i="246"/>
  <c r="Y128" i="246"/>
  <c r="X128" i="246"/>
  <c r="W128" i="246"/>
  <c r="V128" i="246"/>
  <c r="U128" i="246"/>
  <c r="T128" i="246"/>
  <c r="S128" i="246"/>
  <c r="R128" i="246"/>
  <c r="Q128" i="246"/>
  <c r="P128" i="246"/>
  <c r="O128" i="246"/>
  <c r="N128" i="246"/>
  <c r="M128" i="246"/>
  <c r="L128" i="246"/>
  <c r="K128" i="246"/>
  <c r="J128" i="246"/>
  <c r="I128" i="246"/>
  <c r="H128" i="246"/>
  <c r="G128" i="246"/>
  <c r="F128" i="246"/>
  <c r="E128" i="246"/>
  <c r="D128" i="246"/>
  <c r="C128" i="246"/>
  <c r="B128" i="246"/>
  <c r="A128" i="246"/>
  <c r="Y127" i="246"/>
  <c r="X127" i="246"/>
  <c r="W127" i="246"/>
  <c r="V127" i="246"/>
  <c r="U127" i="246"/>
  <c r="T127" i="246"/>
  <c r="S127" i="246"/>
  <c r="R127" i="246"/>
  <c r="Q127" i="246"/>
  <c r="P127" i="246"/>
  <c r="O127" i="246"/>
  <c r="N127" i="246"/>
  <c r="M127" i="246"/>
  <c r="L127" i="246"/>
  <c r="K127" i="246"/>
  <c r="J127" i="246"/>
  <c r="I127" i="246"/>
  <c r="H127" i="246"/>
  <c r="G127" i="246"/>
  <c r="F127" i="246"/>
  <c r="E127" i="246"/>
  <c r="D127" i="246"/>
  <c r="C127" i="246"/>
  <c r="B127" i="246"/>
  <c r="A127" i="246"/>
  <c r="Y126" i="246"/>
  <c r="X126" i="246"/>
  <c r="W126" i="246"/>
  <c r="V126" i="246"/>
  <c r="U126" i="246"/>
  <c r="T126" i="246"/>
  <c r="S126" i="246"/>
  <c r="R126" i="246"/>
  <c r="Q126" i="246"/>
  <c r="P126" i="246"/>
  <c r="O126" i="246"/>
  <c r="N126" i="246"/>
  <c r="M126" i="246"/>
  <c r="L126" i="246"/>
  <c r="K126" i="246"/>
  <c r="J126" i="246"/>
  <c r="I126" i="246"/>
  <c r="H126" i="246"/>
  <c r="G126" i="246"/>
  <c r="F126" i="246"/>
  <c r="E126" i="246"/>
  <c r="D126" i="246"/>
  <c r="C126" i="246"/>
  <c r="B126" i="246"/>
  <c r="A126" i="246"/>
  <c r="Y125" i="246"/>
  <c r="X125" i="246"/>
  <c r="W125" i="246"/>
  <c r="V125" i="246"/>
  <c r="U125" i="246"/>
  <c r="T125" i="246"/>
  <c r="S125" i="246"/>
  <c r="R125" i="246"/>
  <c r="Q125" i="246"/>
  <c r="P125" i="246"/>
  <c r="O125" i="246"/>
  <c r="N125" i="246"/>
  <c r="M125" i="246"/>
  <c r="L125" i="246"/>
  <c r="K125" i="246"/>
  <c r="J125" i="246"/>
  <c r="I125" i="246"/>
  <c r="H125" i="246"/>
  <c r="G125" i="246"/>
  <c r="F125" i="246"/>
  <c r="E125" i="246"/>
  <c r="D125" i="246"/>
  <c r="C125" i="246"/>
  <c r="B125" i="246"/>
  <c r="A125" i="246"/>
  <c r="Y124" i="246"/>
  <c r="X124" i="246"/>
  <c r="W124" i="246"/>
  <c r="V124" i="246"/>
  <c r="U124" i="246"/>
  <c r="T124" i="246"/>
  <c r="S124" i="246"/>
  <c r="R124" i="246"/>
  <c r="Q124" i="246"/>
  <c r="P124" i="246"/>
  <c r="O124" i="246"/>
  <c r="N124" i="246"/>
  <c r="M124" i="246"/>
  <c r="L124" i="246"/>
  <c r="K124" i="246"/>
  <c r="J124" i="246"/>
  <c r="I124" i="246"/>
  <c r="H124" i="246"/>
  <c r="G124" i="246"/>
  <c r="F124" i="246"/>
  <c r="E124" i="246"/>
  <c r="D124" i="246"/>
  <c r="C124" i="246"/>
  <c r="B124" i="246"/>
  <c r="A124" i="246"/>
  <c r="Y123" i="246"/>
  <c r="X123" i="246"/>
  <c r="W123" i="246"/>
  <c r="V123" i="246"/>
  <c r="U123" i="246"/>
  <c r="T123" i="246"/>
  <c r="S123" i="246"/>
  <c r="R123" i="246"/>
  <c r="Q123" i="246"/>
  <c r="P123" i="246"/>
  <c r="O123" i="246"/>
  <c r="N123" i="246"/>
  <c r="M123" i="246"/>
  <c r="L123" i="246"/>
  <c r="K123" i="246"/>
  <c r="J123" i="246"/>
  <c r="I123" i="246"/>
  <c r="H123" i="246"/>
  <c r="G123" i="246"/>
  <c r="F123" i="246"/>
  <c r="E123" i="246"/>
  <c r="D123" i="246"/>
  <c r="C123" i="246"/>
  <c r="B123" i="246"/>
  <c r="A123" i="246"/>
  <c r="Y122" i="246"/>
  <c r="X122" i="246"/>
  <c r="W122" i="246"/>
  <c r="V122" i="246"/>
  <c r="U122" i="246"/>
  <c r="T122" i="246"/>
  <c r="S122" i="246"/>
  <c r="R122" i="246"/>
  <c r="Q122" i="246"/>
  <c r="P122" i="246"/>
  <c r="O122" i="246"/>
  <c r="N122" i="246"/>
  <c r="M122" i="246"/>
  <c r="L122" i="246"/>
  <c r="K122" i="246"/>
  <c r="J122" i="246"/>
  <c r="I122" i="246"/>
  <c r="H122" i="246"/>
  <c r="G122" i="246"/>
  <c r="F122" i="246"/>
  <c r="E122" i="246"/>
  <c r="D122" i="246"/>
  <c r="C122" i="246"/>
  <c r="B122" i="246"/>
  <c r="A122" i="246"/>
  <c r="Y121" i="246"/>
  <c r="X121" i="246"/>
  <c r="W121" i="246"/>
  <c r="V121" i="246"/>
  <c r="U121" i="246"/>
  <c r="T121" i="246"/>
  <c r="S121" i="246"/>
  <c r="R121" i="246"/>
  <c r="Q121" i="246"/>
  <c r="P121" i="246"/>
  <c r="O121" i="246"/>
  <c r="N121" i="246"/>
  <c r="M121" i="246"/>
  <c r="L121" i="246"/>
  <c r="K121" i="246"/>
  <c r="J121" i="246"/>
  <c r="I121" i="246"/>
  <c r="H121" i="246"/>
  <c r="G121" i="246"/>
  <c r="F121" i="246"/>
  <c r="E121" i="246"/>
  <c r="D121" i="246"/>
  <c r="C121" i="246"/>
  <c r="B121" i="246"/>
  <c r="A121" i="246"/>
  <c r="Y120" i="246"/>
  <c r="X120" i="246"/>
  <c r="W120" i="246"/>
  <c r="V120" i="246"/>
  <c r="U120" i="246"/>
  <c r="T120" i="246"/>
  <c r="S120" i="246"/>
  <c r="R120" i="246"/>
  <c r="Q120" i="246"/>
  <c r="P120" i="246"/>
  <c r="O120" i="246"/>
  <c r="N120" i="246"/>
  <c r="M120" i="246"/>
  <c r="L120" i="246"/>
  <c r="K120" i="246"/>
  <c r="J120" i="246"/>
  <c r="I120" i="246"/>
  <c r="H120" i="246"/>
  <c r="G120" i="246"/>
  <c r="F120" i="246"/>
  <c r="E120" i="246"/>
  <c r="D120" i="246"/>
  <c r="C120" i="246"/>
  <c r="B120" i="246"/>
  <c r="A120" i="246"/>
  <c r="Y119" i="246"/>
  <c r="X119" i="246"/>
  <c r="W119" i="246"/>
  <c r="V119" i="246"/>
  <c r="U119" i="246"/>
  <c r="T119" i="246"/>
  <c r="S119" i="246"/>
  <c r="R119" i="246"/>
  <c r="Q119" i="246"/>
  <c r="P119" i="246"/>
  <c r="O119" i="246"/>
  <c r="N119" i="246"/>
  <c r="M119" i="246"/>
  <c r="L119" i="246"/>
  <c r="K119" i="246"/>
  <c r="J119" i="246"/>
  <c r="I119" i="246"/>
  <c r="H119" i="246"/>
  <c r="G119" i="246"/>
  <c r="F119" i="246"/>
  <c r="E119" i="246"/>
  <c r="D119" i="246"/>
  <c r="C119" i="246"/>
  <c r="B119" i="246"/>
  <c r="A119" i="246"/>
  <c r="Y118" i="246"/>
  <c r="X118" i="246"/>
  <c r="W118" i="246"/>
  <c r="V118" i="246"/>
  <c r="U118" i="246"/>
  <c r="T118" i="246"/>
  <c r="S118" i="246"/>
  <c r="R118" i="246"/>
  <c r="Q118" i="246"/>
  <c r="P118" i="246"/>
  <c r="O118" i="246"/>
  <c r="N118" i="246"/>
  <c r="M118" i="246"/>
  <c r="L118" i="246"/>
  <c r="K118" i="246"/>
  <c r="J118" i="246"/>
  <c r="I118" i="246"/>
  <c r="H118" i="246"/>
  <c r="G118" i="246"/>
  <c r="F118" i="246"/>
  <c r="E118" i="246"/>
  <c r="D118" i="246"/>
  <c r="C118" i="246"/>
  <c r="B118" i="246"/>
  <c r="A118" i="246"/>
  <c r="Y117" i="246"/>
  <c r="X117" i="246"/>
  <c r="W117" i="246"/>
  <c r="V117" i="246"/>
  <c r="U117" i="246"/>
  <c r="T117" i="246"/>
  <c r="S117" i="246"/>
  <c r="R117" i="246"/>
  <c r="Q117" i="246"/>
  <c r="P117" i="246"/>
  <c r="O117" i="246"/>
  <c r="N117" i="246"/>
  <c r="M117" i="246"/>
  <c r="L117" i="246"/>
  <c r="K117" i="246"/>
  <c r="J117" i="246"/>
  <c r="I117" i="246"/>
  <c r="H117" i="246"/>
  <c r="G117" i="246"/>
  <c r="F117" i="246"/>
  <c r="E117" i="246"/>
  <c r="D117" i="246"/>
  <c r="C117" i="246"/>
  <c r="B117" i="246"/>
  <c r="A117" i="246"/>
  <c r="Y116" i="246"/>
  <c r="X116" i="246"/>
  <c r="W116" i="246"/>
  <c r="V116" i="246"/>
  <c r="U116" i="246"/>
  <c r="T116" i="246"/>
  <c r="S116" i="246"/>
  <c r="R116" i="246"/>
  <c r="Q116" i="246"/>
  <c r="P116" i="246"/>
  <c r="O116" i="246"/>
  <c r="N116" i="246"/>
  <c r="M116" i="246"/>
  <c r="L116" i="246"/>
  <c r="K116" i="246"/>
  <c r="J116" i="246"/>
  <c r="I116" i="246"/>
  <c r="H116" i="246"/>
  <c r="G116" i="246"/>
  <c r="F116" i="246"/>
  <c r="E116" i="246"/>
  <c r="D116" i="246"/>
  <c r="C116" i="246"/>
  <c r="B116" i="246"/>
  <c r="A116" i="246"/>
  <c r="Y115" i="246"/>
  <c r="X115" i="246"/>
  <c r="W115" i="246"/>
  <c r="V115" i="246"/>
  <c r="U115" i="246"/>
  <c r="T115" i="246"/>
  <c r="S115" i="246"/>
  <c r="R115" i="246"/>
  <c r="Q115" i="246"/>
  <c r="P115" i="246"/>
  <c r="O115" i="246"/>
  <c r="N115" i="246"/>
  <c r="M115" i="246"/>
  <c r="L115" i="246"/>
  <c r="K115" i="246"/>
  <c r="J115" i="246"/>
  <c r="I115" i="246"/>
  <c r="H115" i="246"/>
  <c r="G115" i="246"/>
  <c r="F115" i="246"/>
  <c r="E115" i="246"/>
  <c r="D115" i="246"/>
  <c r="C115" i="246"/>
  <c r="B115" i="246"/>
  <c r="A115" i="246"/>
  <c r="Y114" i="246"/>
  <c r="X114" i="246"/>
  <c r="W114" i="246"/>
  <c r="V114" i="246"/>
  <c r="U114" i="246"/>
  <c r="T114" i="246"/>
  <c r="S114" i="246"/>
  <c r="R114" i="246"/>
  <c r="Q114" i="246"/>
  <c r="P114" i="246"/>
  <c r="O114" i="246"/>
  <c r="N114" i="246"/>
  <c r="M114" i="246"/>
  <c r="L114" i="246"/>
  <c r="K114" i="246"/>
  <c r="J114" i="246"/>
  <c r="I114" i="246"/>
  <c r="H114" i="246"/>
  <c r="G114" i="246"/>
  <c r="F114" i="246"/>
  <c r="E114" i="246"/>
  <c r="D114" i="246"/>
  <c r="C114" i="246"/>
  <c r="B114" i="246"/>
  <c r="A114" i="246"/>
  <c r="Y113" i="246"/>
  <c r="X113" i="246"/>
  <c r="W113" i="246"/>
  <c r="V113" i="246"/>
  <c r="U113" i="246"/>
  <c r="T113" i="246"/>
  <c r="S113" i="246"/>
  <c r="R113" i="246"/>
  <c r="Q113" i="246"/>
  <c r="P113" i="246"/>
  <c r="O113" i="246"/>
  <c r="N113" i="246"/>
  <c r="M113" i="246"/>
  <c r="L113" i="246"/>
  <c r="K113" i="246"/>
  <c r="J113" i="246"/>
  <c r="I113" i="246"/>
  <c r="H113" i="246"/>
  <c r="G113" i="246"/>
  <c r="F113" i="246"/>
  <c r="E113" i="246"/>
  <c r="D113" i="246"/>
  <c r="C113" i="246"/>
  <c r="B113" i="246"/>
  <c r="A113" i="246"/>
  <c r="Y112" i="246"/>
  <c r="X112" i="246"/>
  <c r="W112" i="246"/>
  <c r="V112" i="246"/>
  <c r="U112" i="246"/>
  <c r="T112" i="246"/>
  <c r="S112" i="246"/>
  <c r="R112" i="246"/>
  <c r="Q112" i="246"/>
  <c r="P112" i="246"/>
  <c r="O112" i="246"/>
  <c r="N112" i="246"/>
  <c r="M112" i="246"/>
  <c r="L112" i="246"/>
  <c r="K112" i="246"/>
  <c r="J112" i="246"/>
  <c r="I112" i="246"/>
  <c r="H112" i="246"/>
  <c r="G112" i="246"/>
  <c r="F112" i="246"/>
  <c r="E112" i="246"/>
  <c r="D112" i="246"/>
  <c r="C112" i="246"/>
  <c r="B112" i="246"/>
  <c r="A112" i="246"/>
  <c r="Y111" i="246"/>
  <c r="X111" i="246"/>
  <c r="W111" i="246"/>
  <c r="V111" i="246"/>
  <c r="U111" i="246"/>
  <c r="T111" i="246"/>
  <c r="S111" i="246"/>
  <c r="R111" i="246"/>
  <c r="Q111" i="246"/>
  <c r="P111" i="246"/>
  <c r="O111" i="246"/>
  <c r="N111" i="246"/>
  <c r="M111" i="246"/>
  <c r="L111" i="246"/>
  <c r="K111" i="246"/>
  <c r="J111" i="246"/>
  <c r="I111" i="246"/>
  <c r="H111" i="246"/>
  <c r="G111" i="246"/>
  <c r="F111" i="246"/>
  <c r="E111" i="246"/>
  <c r="D111" i="246"/>
  <c r="C111" i="246"/>
  <c r="B111" i="246"/>
  <c r="A111" i="246"/>
  <c r="Y110" i="246"/>
  <c r="X110" i="246"/>
  <c r="W110" i="246"/>
  <c r="V110" i="246"/>
  <c r="U110" i="246"/>
  <c r="T110" i="246"/>
  <c r="S110" i="246"/>
  <c r="R110" i="246"/>
  <c r="Q110" i="246"/>
  <c r="P110" i="246"/>
  <c r="O110" i="246"/>
  <c r="N110" i="246"/>
  <c r="M110" i="246"/>
  <c r="L110" i="246"/>
  <c r="K110" i="246"/>
  <c r="J110" i="246"/>
  <c r="I110" i="246"/>
  <c r="H110" i="246"/>
  <c r="G110" i="246"/>
  <c r="F110" i="246"/>
  <c r="E110" i="246"/>
  <c r="D110" i="246"/>
  <c r="C110" i="246"/>
  <c r="B110" i="246"/>
  <c r="A110" i="246"/>
  <c r="Y109" i="246"/>
  <c r="X109" i="246"/>
  <c r="W109" i="246"/>
  <c r="V109" i="246"/>
  <c r="U109" i="246"/>
  <c r="T109" i="246"/>
  <c r="S109" i="246"/>
  <c r="R109" i="246"/>
  <c r="Q109" i="246"/>
  <c r="P109" i="246"/>
  <c r="O109" i="246"/>
  <c r="N109" i="246"/>
  <c r="M109" i="246"/>
  <c r="L109" i="246"/>
  <c r="K109" i="246"/>
  <c r="J109" i="246"/>
  <c r="I109" i="246"/>
  <c r="H109" i="246"/>
  <c r="G109" i="246"/>
  <c r="F109" i="246"/>
  <c r="E109" i="246"/>
  <c r="D109" i="246"/>
  <c r="C109" i="246"/>
  <c r="B109" i="246"/>
  <c r="A109" i="246"/>
  <c r="Y108" i="246"/>
  <c r="X108" i="246"/>
  <c r="W108" i="246"/>
  <c r="V108" i="246"/>
  <c r="U108" i="246"/>
  <c r="T108" i="246"/>
  <c r="S108" i="246"/>
  <c r="R108" i="246"/>
  <c r="Q108" i="246"/>
  <c r="P108" i="246"/>
  <c r="O108" i="246"/>
  <c r="N108" i="246"/>
  <c r="M108" i="246"/>
  <c r="L108" i="246"/>
  <c r="K108" i="246"/>
  <c r="J108" i="246"/>
  <c r="I108" i="246"/>
  <c r="H108" i="246"/>
  <c r="G108" i="246"/>
  <c r="F108" i="246"/>
  <c r="E108" i="246"/>
  <c r="D108" i="246"/>
  <c r="C108" i="246"/>
  <c r="B108" i="246"/>
  <c r="A108" i="246"/>
  <c r="Y107" i="246"/>
  <c r="X107" i="246"/>
  <c r="W107" i="246"/>
  <c r="V107" i="246"/>
  <c r="U107" i="246"/>
  <c r="T107" i="246"/>
  <c r="S107" i="246"/>
  <c r="R107" i="246"/>
  <c r="Q107" i="246"/>
  <c r="P107" i="246"/>
  <c r="O107" i="246"/>
  <c r="N107" i="246"/>
  <c r="M107" i="246"/>
  <c r="L107" i="246"/>
  <c r="K107" i="246"/>
  <c r="J107" i="246"/>
  <c r="I107" i="246"/>
  <c r="H107" i="246"/>
  <c r="G107" i="246"/>
  <c r="F107" i="246"/>
  <c r="E107" i="246"/>
  <c r="D107" i="246"/>
  <c r="C107" i="246"/>
  <c r="B107" i="246"/>
  <c r="A107" i="246"/>
  <c r="Y106" i="246"/>
  <c r="X106" i="246"/>
  <c r="W106" i="246"/>
  <c r="V106" i="246"/>
  <c r="U106" i="246"/>
  <c r="T106" i="246"/>
  <c r="S106" i="246"/>
  <c r="R106" i="246"/>
  <c r="Q106" i="246"/>
  <c r="P106" i="246"/>
  <c r="O106" i="246"/>
  <c r="N106" i="246"/>
  <c r="M106" i="246"/>
  <c r="L106" i="246"/>
  <c r="K106" i="246"/>
  <c r="J106" i="246"/>
  <c r="I106" i="246"/>
  <c r="H106" i="246"/>
  <c r="G106" i="246"/>
  <c r="F106" i="246"/>
  <c r="E106" i="246"/>
  <c r="D106" i="246"/>
  <c r="C106" i="246"/>
  <c r="B106" i="246"/>
  <c r="A106" i="246"/>
  <c r="Y105" i="246"/>
  <c r="X105" i="246"/>
  <c r="W105" i="246"/>
  <c r="V105" i="246"/>
  <c r="U105" i="246"/>
  <c r="T105" i="246"/>
  <c r="S105" i="246"/>
  <c r="R105" i="246"/>
  <c r="Q105" i="246"/>
  <c r="P105" i="246"/>
  <c r="O105" i="246"/>
  <c r="N105" i="246"/>
  <c r="M105" i="246"/>
  <c r="L105" i="246"/>
  <c r="K105" i="246"/>
  <c r="J105" i="246"/>
  <c r="I105" i="246"/>
  <c r="H105" i="246"/>
  <c r="G105" i="246"/>
  <c r="F105" i="246"/>
  <c r="E105" i="246"/>
  <c r="D105" i="246"/>
  <c r="C105" i="246"/>
  <c r="B105" i="246"/>
  <c r="A105" i="246"/>
  <c r="Y104" i="246"/>
  <c r="X104" i="246"/>
  <c r="W104" i="246"/>
  <c r="V104" i="246"/>
  <c r="U104" i="246"/>
  <c r="T104" i="246"/>
  <c r="S104" i="246"/>
  <c r="R104" i="246"/>
  <c r="Q104" i="246"/>
  <c r="P104" i="246"/>
  <c r="O104" i="246"/>
  <c r="N104" i="246"/>
  <c r="M104" i="246"/>
  <c r="L104" i="246"/>
  <c r="K104" i="246"/>
  <c r="J104" i="246"/>
  <c r="I104" i="246"/>
  <c r="H104" i="246"/>
  <c r="G104" i="246"/>
  <c r="F104" i="246"/>
  <c r="E104" i="246"/>
  <c r="D104" i="246"/>
  <c r="C104" i="246"/>
  <c r="B104" i="246"/>
  <c r="A104" i="246"/>
  <c r="Y103" i="246"/>
  <c r="X103" i="246"/>
  <c r="W103" i="246"/>
  <c r="V103" i="246"/>
  <c r="U103" i="246"/>
  <c r="T103" i="246"/>
  <c r="S103" i="246"/>
  <c r="R103" i="246"/>
  <c r="Q103" i="246"/>
  <c r="P103" i="246"/>
  <c r="O103" i="246"/>
  <c r="N103" i="246"/>
  <c r="M103" i="246"/>
  <c r="L103" i="246"/>
  <c r="K103" i="246"/>
  <c r="J103" i="246"/>
  <c r="I103" i="246"/>
  <c r="H103" i="246"/>
  <c r="G103" i="246"/>
  <c r="F103" i="246"/>
  <c r="E103" i="246"/>
  <c r="D103" i="246"/>
  <c r="C103" i="246"/>
  <c r="B103" i="246"/>
  <c r="A103" i="246"/>
  <c r="Y102" i="246"/>
  <c r="X102" i="246"/>
  <c r="W102" i="246"/>
  <c r="V102" i="246"/>
  <c r="U102" i="246"/>
  <c r="T102" i="246"/>
  <c r="S102" i="246"/>
  <c r="R102" i="246"/>
  <c r="Q102" i="246"/>
  <c r="P102" i="246"/>
  <c r="O102" i="246"/>
  <c r="N102" i="246"/>
  <c r="M102" i="246"/>
  <c r="L102" i="246"/>
  <c r="K102" i="246"/>
  <c r="J102" i="246"/>
  <c r="I102" i="246"/>
  <c r="H102" i="246"/>
  <c r="G102" i="246"/>
  <c r="F102" i="246"/>
  <c r="E102" i="246"/>
  <c r="D102" i="246"/>
  <c r="C102" i="246"/>
  <c r="B102" i="246"/>
  <c r="A102" i="246"/>
  <c r="Y101" i="246"/>
  <c r="X101" i="246"/>
  <c r="W101" i="246"/>
  <c r="V101" i="246"/>
  <c r="U101" i="246"/>
  <c r="T101" i="246"/>
  <c r="S101" i="246"/>
  <c r="R101" i="246"/>
  <c r="Q101" i="246"/>
  <c r="P101" i="246"/>
  <c r="O101" i="246"/>
  <c r="N101" i="246"/>
  <c r="M101" i="246"/>
  <c r="L101" i="246"/>
  <c r="K101" i="246"/>
  <c r="J101" i="246"/>
  <c r="I101" i="246"/>
  <c r="H101" i="246"/>
  <c r="G101" i="246"/>
  <c r="F101" i="246"/>
  <c r="E101" i="246"/>
  <c r="D101" i="246"/>
  <c r="C101" i="246"/>
  <c r="B101" i="246"/>
  <c r="A101" i="246"/>
  <c r="Y100" i="246"/>
  <c r="X100" i="246"/>
  <c r="W100" i="246"/>
  <c r="V100" i="246"/>
  <c r="U100" i="246"/>
  <c r="T100" i="246"/>
  <c r="S100" i="246"/>
  <c r="R100" i="246"/>
  <c r="Q100" i="246"/>
  <c r="P100" i="246"/>
  <c r="O100" i="246"/>
  <c r="N100" i="246"/>
  <c r="M100" i="246"/>
  <c r="L100" i="246"/>
  <c r="K100" i="246"/>
  <c r="J100" i="246"/>
  <c r="I100" i="246"/>
  <c r="H100" i="246"/>
  <c r="G100" i="246"/>
  <c r="F100" i="246"/>
  <c r="E100" i="246"/>
  <c r="D100" i="246"/>
  <c r="C100" i="246"/>
  <c r="B100" i="246"/>
  <c r="A100" i="246"/>
  <c r="Y99" i="246"/>
  <c r="X99" i="246"/>
  <c r="W99" i="246"/>
  <c r="V99" i="246"/>
  <c r="U99" i="246"/>
  <c r="T99" i="246"/>
  <c r="S99" i="246"/>
  <c r="R99" i="246"/>
  <c r="Q99" i="246"/>
  <c r="P99" i="246"/>
  <c r="O99" i="246"/>
  <c r="N99" i="246"/>
  <c r="M99" i="246"/>
  <c r="L99" i="246"/>
  <c r="K99" i="246"/>
  <c r="J99" i="246"/>
  <c r="I99" i="246"/>
  <c r="H99" i="246"/>
  <c r="G99" i="246"/>
  <c r="F99" i="246"/>
  <c r="E99" i="246"/>
  <c r="D99" i="246"/>
  <c r="C99" i="246"/>
  <c r="B99" i="246"/>
  <c r="A99" i="246"/>
  <c r="Y98" i="246"/>
  <c r="X98" i="246"/>
  <c r="W98" i="246"/>
  <c r="V98" i="246"/>
  <c r="U98" i="246"/>
  <c r="T98" i="246"/>
  <c r="S98" i="246"/>
  <c r="R98" i="246"/>
  <c r="Q98" i="246"/>
  <c r="P98" i="246"/>
  <c r="O98" i="246"/>
  <c r="N98" i="246"/>
  <c r="M98" i="246"/>
  <c r="L98" i="246"/>
  <c r="K98" i="246"/>
  <c r="J98" i="246"/>
  <c r="I98" i="246"/>
  <c r="H98" i="246"/>
  <c r="G98" i="246"/>
  <c r="F98" i="246"/>
  <c r="E98" i="246"/>
  <c r="D98" i="246"/>
  <c r="C98" i="246"/>
  <c r="B98" i="246"/>
  <c r="A98" i="246"/>
  <c r="Y97" i="246"/>
  <c r="X97" i="246"/>
  <c r="W97" i="246"/>
  <c r="V97" i="246"/>
  <c r="U97" i="246"/>
  <c r="T97" i="246"/>
  <c r="S97" i="246"/>
  <c r="R97" i="246"/>
  <c r="Q97" i="246"/>
  <c r="P97" i="246"/>
  <c r="O97" i="246"/>
  <c r="N97" i="246"/>
  <c r="M97" i="246"/>
  <c r="L97" i="246"/>
  <c r="K97" i="246"/>
  <c r="J97" i="246"/>
  <c r="I97" i="246"/>
  <c r="H97" i="246"/>
  <c r="G97" i="246"/>
  <c r="F97" i="246"/>
  <c r="E97" i="246"/>
  <c r="D97" i="246"/>
  <c r="C97" i="246"/>
  <c r="B97" i="246"/>
  <c r="A97" i="246"/>
  <c r="Y96" i="246"/>
  <c r="X96" i="246"/>
  <c r="W96" i="246"/>
  <c r="V96" i="246"/>
  <c r="U96" i="246"/>
  <c r="T96" i="246"/>
  <c r="S96" i="246"/>
  <c r="R96" i="246"/>
  <c r="Q96" i="246"/>
  <c r="P96" i="246"/>
  <c r="O96" i="246"/>
  <c r="N96" i="246"/>
  <c r="M96" i="246"/>
  <c r="L96" i="246"/>
  <c r="K96" i="246"/>
  <c r="J96" i="246"/>
  <c r="I96" i="246"/>
  <c r="H96" i="246"/>
  <c r="G96" i="246"/>
  <c r="F96" i="246"/>
  <c r="E96" i="246"/>
  <c r="D96" i="246"/>
  <c r="C96" i="246"/>
  <c r="B96" i="246"/>
  <c r="A96" i="246"/>
  <c r="Y95" i="246"/>
  <c r="X95" i="246"/>
  <c r="W95" i="246"/>
  <c r="V95" i="246"/>
  <c r="U95" i="246"/>
  <c r="T95" i="246"/>
  <c r="S95" i="246"/>
  <c r="R95" i="246"/>
  <c r="Q95" i="246"/>
  <c r="P95" i="246"/>
  <c r="O95" i="246"/>
  <c r="N95" i="246"/>
  <c r="M95" i="246"/>
  <c r="L95" i="246"/>
  <c r="K95" i="246"/>
  <c r="J95" i="246"/>
  <c r="I95" i="246"/>
  <c r="H95" i="246"/>
  <c r="G95" i="246"/>
  <c r="F95" i="246"/>
  <c r="E95" i="246"/>
  <c r="D95" i="246"/>
  <c r="C95" i="246"/>
  <c r="B95" i="246"/>
  <c r="A95" i="246"/>
  <c r="Y94" i="246"/>
  <c r="X94" i="246"/>
  <c r="W94" i="246"/>
  <c r="V94" i="246"/>
  <c r="U94" i="246"/>
  <c r="T94" i="246"/>
  <c r="S94" i="246"/>
  <c r="R94" i="246"/>
  <c r="Q94" i="246"/>
  <c r="P94" i="246"/>
  <c r="O94" i="246"/>
  <c r="N94" i="246"/>
  <c r="M94" i="246"/>
  <c r="L94" i="246"/>
  <c r="K94" i="246"/>
  <c r="J94" i="246"/>
  <c r="I94" i="246"/>
  <c r="H94" i="246"/>
  <c r="G94" i="246"/>
  <c r="F94" i="246"/>
  <c r="E94" i="246"/>
  <c r="D94" i="246"/>
  <c r="C94" i="246"/>
  <c r="B94" i="246"/>
  <c r="A94" i="246"/>
  <c r="Y93" i="246"/>
  <c r="X93" i="246"/>
  <c r="W93" i="246"/>
  <c r="V93" i="246"/>
  <c r="U93" i="246"/>
  <c r="T93" i="246"/>
  <c r="S93" i="246"/>
  <c r="R93" i="246"/>
  <c r="Q93" i="246"/>
  <c r="P93" i="246"/>
  <c r="O93" i="246"/>
  <c r="N93" i="246"/>
  <c r="M93" i="246"/>
  <c r="L93" i="246"/>
  <c r="K93" i="246"/>
  <c r="J93" i="246"/>
  <c r="I93" i="246"/>
  <c r="H93" i="246"/>
  <c r="G93" i="246"/>
  <c r="F93" i="246"/>
  <c r="E93" i="246"/>
  <c r="D93" i="246"/>
  <c r="C93" i="246"/>
  <c r="B93" i="246"/>
  <c r="A93" i="246"/>
  <c r="Y92" i="246"/>
  <c r="X92" i="246"/>
  <c r="W92" i="246"/>
  <c r="V92" i="246"/>
  <c r="U92" i="246"/>
  <c r="T92" i="246"/>
  <c r="S92" i="246"/>
  <c r="R92" i="246"/>
  <c r="Q92" i="246"/>
  <c r="P92" i="246"/>
  <c r="O92" i="246"/>
  <c r="N92" i="246"/>
  <c r="M92" i="246"/>
  <c r="L92" i="246"/>
  <c r="K92" i="246"/>
  <c r="J92" i="246"/>
  <c r="I92" i="246"/>
  <c r="H92" i="246"/>
  <c r="G92" i="246"/>
  <c r="F92" i="246"/>
  <c r="E92" i="246"/>
  <c r="D92" i="246"/>
  <c r="C92" i="246"/>
  <c r="B92" i="246"/>
  <c r="A92" i="246"/>
  <c r="Y91" i="246"/>
  <c r="X91" i="246"/>
  <c r="W91" i="246"/>
  <c r="V91" i="246"/>
  <c r="U91" i="246"/>
  <c r="T91" i="246"/>
  <c r="S91" i="246"/>
  <c r="R91" i="246"/>
  <c r="Q91" i="246"/>
  <c r="P91" i="246"/>
  <c r="O91" i="246"/>
  <c r="N91" i="246"/>
  <c r="M91" i="246"/>
  <c r="L91" i="246"/>
  <c r="K91" i="246"/>
  <c r="J91" i="246"/>
  <c r="I91" i="246"/>
  <c r="H91" i="246"/>
  <c r="G91" i="246"/>
  <c r="F91" i="246"/>
  <c r="E91" i="246"/>
  <c r="D91" i="246"/>
  <c r="C91" i="246"/>
  <c r="B91" i="246"/>
  <c r="A91" i="246"/>
  <c r="Y90" i="246"/>
  <c r="X90" i="246"/>
  <c r="W90" i="246"/>
  <c r="V90" i="246"/>
  <c r="U90" i="246"/>
  <c r="T90" i="246"/>
  <c r="S90" i="246"/>
  <c r="R90" i="246"/>
  <c r="Q90" i="246"/>
  <c r="P90" i="246"/>
  <c r="O90" i="246"/>
  <c r="N90" i="246"/>
  <c r="M90" i="246"/>
  <c r="L90" i="246"/>
  <c r="K90" i="246"/>
  <c r="J90" i="246"/>
  <c r="I90" i="246"/>
  <c r="H90" i="246"/>
  <c r="G90" i="246"/>
  <c r="F90" i="246"/>
  <c r="E90" i="246"/>
  <c r="D90" i="246"/>
  <c r="C90" i="246"/>
  <c r="B90" i="246"/>
  <c r="A90" i="246"/>
  <c r="Y89" i="246"/>
  <c r="X89" i="246"/>
  <c r="W89" i="246"/>
  <c r="V89" i="246"/>
  <c r="U89" i="246"/>
  <c r="T89" i="246"/>
  <c r="S89" i="246"/>
  <c r="R89" i="246"/>
  <c r="Q89" i="246"/>
  <c r="P89" i="246"/>
  <c r="O89" i="246"/>
  <c r="N89" i="246"/>
  <c r="M89" i="246"/>
  <c r="L89" i="246"/>
  <c r="K89" i="246"/>
  <c r="J89" i="246"/>
  <c r="I89" i="246"/>
  <c r="H89" i="246"/>
  <c r="G89" i="246"/>
  <c r="F89" i="246"/>
  <c r="E89" i="246"/>
  <c r="D89" i="246"/>
  <c r="C89" i="246"/>
  <c r="B89" i="246"/>
  <c r="A89" i="246"/>
  <c r="Y88" i="246"/>
  <c r="X88" i="246"/>
  <c r="W88" i="246"/>
  <c r="V88" i="246"/>
  <c r="U88" i="246"/>
  <c r="T88" i="246"/>
  <c r="S88" i="246"/>
  <c r="R88" i="246"/>
  <c r="Q88" i="246"/>
  <c r="P88" i="246"/>
  <c r="O88" i="246"/>
  <c r="N88" i="246"/>
  <c r="M88" i="246"/>
  <c r="L88" i="246"/>
  <c r="K88" i="246"/>
  <c r="J88" i="246"/>
  <c r="I88" i="246"/>
  <c r="H88" i="246"/>
  <c r="G88" i="246"/>
  <c r="F88" i="246"/>
  <c r="E88" i="246"/>
  <c r="D88" i="246"/>
  <c r="C88" i="246"/>
  <c r="B88" i="246"/>
  <c r="A88" i="246"/>
  <c r="Y87" i="246"/>
  <c r="X87" i="246"/>
  <c r="W87" i="246"/>
  <c r="V87" i="246"/>
  <c r="U87" i="246"/>
  <c r="T87" i="246"/>
  <c r="S87" i="246"/>
  <c r="R87" i="246"/>
  <c r="Q87" i="246"/>
  <c r="P87" i="246"/>
  <c r="O87" i="246"/>
  <c r="N87" i="246"/>
  <c r="M87" i="246"/>
  <c r="L87" i="246"/>
  <c r="K87" i="246"/>
  <c r="J87" i="246"/>
  <c r="I87" i="246"/>
  <c r="H87" i="246"/>
  <c r="G87" i="246"/>
  <c r="F87" i="246"/>
  <c r="E87" i="246"/>
  <c r="D87" i="246"/>
  <c r="C87" i="246"/>
  <c r="B87" i="246"/>
  <c r="A87" i="246"/>
  <c r="Y86" i="246"/>
  <c r="X86" i="246"/>
  <c r="W86" i="246"/>
  <c r="V86" i="246"/>
  <c r="U86" i="246"/>
  <c r="T86" i="246"/>
  <c r="S86" i="246"/>
  <c r="R86" i="246"/>
  <c r="Q86" i="246"/>
  <c r="P86" i="246"/>
  <c r="O86" i="246"/>
  <c r="N86" i="246"/>
  <c r="M86" i="246"/>
  <c r="L86" i="246"/>
  <c r="K86" i="246"/>
  <c r="J86" i="246"/>
  <c r="I86" i="246"/>
  <c r="H86" i="246"/>
  <c r="G86" i="246"/>
  <c r="F86" i="246"/>
  <c r="E86" i="246"/>
  <c r="D86" i="246"/>
  <c r="C86" i="246"/>
  <c r="B86" i="246"/>
  <c r="A86" i="246"/>
  <c r="Y85" i="246"/>
  <c r="X85" i="246"/>
  <c r="W85" i="246"/>
  <c r="V85" i="246"/>
  <c r="U85" i="246"/>
  <c r="T85" i="246"/>
  <c r="S85" i="246"/>
  <c r="R85" i="246"/>
  <c r="Q85" i="246"/>
  <c r="P85" i="246"/>
  <c r="O85" i="246"/>
  <c r="N85" i="246"/>
  <c r="M85" i="246"/>
  <c r="L85" i="246"/>
  <c r="K85" i="246"/>
  <c r="J85" i="246"/>
  <c r="I85" i="246"/>
  <c r="H85" i="246"/>
  <c r="G85" i="246"/>
  <c r="F85" i="246"/>
  <c r="E85" i="246"/>
  <c r="D85" i="246"/>
  <c r="C85" i="246"/>
  <c r="B85" i="246"/>
  <c r="A85" i="246"/>
  <c r="Y84" i="246"/>
  <c r="X84" i="246"/>
  <c r="W84" i="246"/>
  <c r="V84" i="246"/>
  <c r="U84" i="246"/>
  <c r="T84" i="246"/>
  <c r="S84" i="246"/>
  <c r="R84" i="246"/>
  <c r="Q84" i="246"/>
  <c r="P84" i="246"/>
  <c r="O84" i="246"/>
  <c r="N84" i="246"/>
  <c r="M84" i="246"/>
  <c r="L84" i="246"/>
  <c r="K84" i="246"/>
  <c r="J84" i="246"/>
  <c r="I84" i="246"/>
  <c r="H84" i="246"/>
  <c r="G84" i="246"/>
  <c r="F84" i="246"/>
  <c r="E84" i="246"/>
  <c r="D84" i="246"/>
  <c r="C84" i="246"/>
  <c r="B84" i="246"/>
  <c r="A84" i="246"/>
  <c r="Y83" i="246"/>
  <c r="X83" i="246"/>
  <c r="W83" i="246"/>
  <c r="V83" i="246"/>
  <c r="U83" i="246"/>
  <c r="T83" i="246"/>
  <c r="S83" i="246"/>
  <c r="R83" i="246"/>
  <c r="Q83" i="246"/>
  <c r="P83" i="246"/>
  <c r="O83" i="246"/>
  <c r="N83" i="246"/>
  <c r="M83" i="246"/>
  <c r="L83" i="246"/>
  <c r="K83" i="246"/>
  <c r="J83" i="246"/>
  <c r="I83" i="246"/>
  <c r="H83" i="246"/>
  <c r="G83" i="246"/>
  <c r="F83" i="246"/>
  <c r="E83" i="246"/>
  <c r="D83" i="246"/>
  <c r="C83" i="246"/>
  <c r="B83" i="246"/>
  <c r="A83" i="246"/>
  <c r="Y82" i="246"/>
  <c r="X82" i="246"/>
  <c r="W82" i="246"/>
  <c r="V82" i="246"/>
  <c r="U82" i="246"/>
  <c r="T82" i="246"/>
  <c r="S82" i="246"/>
  <c r="R82" i="246"/>
  <c r="Q82" i="246"/>
  <c r="P82" i="246"/>
  <c r="O82" i="246"/>
  <c r="N82" i="246"/>
  <c r="M82" i="246"/>
  <c r="L82" i="246"/>
  <c r="K82" i="246"/>
  <c r="J82" i="246"/>
  <c r="I82" i="246"/>
  <c r="H82" i="246"/>
  <c r="G82" i="246"/>
  <c r="F82" i="246"/>
  <c r="E82" i="246"/>
  <c r="D82" i="246"/>
  <c r="C82" i="246"/>
  <c r="B82" i="246"/>
  <c r="A82" i="246"/>
  <c r="Y81" i="246"/>
  <c r="X81" i="246"/>
  <c r="W81" i="246"/>
  <c r="V81" i="246"/>
  <c r="U81" i="246"/>
  <c r="T81" i="246"/>
  <c r="S81" i="246"/>
  <c r="R81" i="246"/>
  <c r="Q81" i="246"/>
  <c r="P81" i="246"/>
  <c r="O81" i="246"/>
  <c r="N81" i="246"/>
  <c r="M81" i="246"/>
  <c r="L81" i="246"/>
  <c r="K81" i="246"/>
  <c r="J81" i="246"/>
  <c r="I81" i="246"/>
  <c r="H81" i="246"/>
  <c r="G81" i="246"/>
  <c r="F81" i="246"/>
  <c r="E81" i="246"/>
  <c r="D81" i="246"/>
  <c r="C81" i="246"/>
  <c r="B81" i="246"/>
  <c r="A81" i="246"/>
  <c r="Y80" i="246"/>
  <c r="X80" i="246"/>
  <c r="W80" i="246"/>
  <c r="V80" i="246"/>
  <c r="U80" i="246"/>
  <c r="T80" i="246"/>
  <c r="S80" i="246"/>
  <c r="R80" i="246"/>
  <c r="Q80" i="246"/>
  <c r="P80" i="246"/>
  <c r="O80" i="246"/>
  <c r="N80" i="246"/>
  <c r="M80" i="246"/>
  <c r="L80" i="246"/>
  <c r="K80" i="246"/>
  <c r="J80" i="246"/>
  <c r="I80" i="246"/>
  <c r="H80" i="246"/>
  <c r="G80" i="246"/>
  <c r="F80" i="246"/>
  <c r="E80" i="246"/>
  <c r="D80" i="246"/>
  <c r="C80" i="246"/>
  <c r="B80" i="246"/>
  <c r="A80" i="246"/>
  <c r="Y79" i="246"/>
  <c r="X79" i="246"/>
  <c r="W79" i="246"/>
  <c r="V79" i="246"/>
  <c r="U79" i="246"/>
  <c r="T79" i="246"/>
  <c r="S79" i="246"/>
  <c r="R79" i="246"/>
  <c r="Q79" i="246"/>
  <c r="P79" i="246"/>
  <c r="O79" i="246"/>
  <c r="N79" i="246"/>
  <c r="M79" i="246"/>
  <c r="L79" i="246"/>
  <c r="K79" i="246"/>
  <c r="J79" i="246"/>
  <c r="I79" i="246"/>
  <c r="H79" i="246"/>
  <c r="G79" i="246"/>
  <c r="F79" i="246"/>
  <c r="E79" i="246"/>
  <c r="D79" i="246"/>
  <c r="C79" i="246"/>
  <c r="B79" i="246"/>
  <c r="A79" i="246"/>
  <c r="Y78" i="246"/>
  <c r="X78" i="246"/>
  <c r="W78" i="246"/>
  <c r="V78" i="246"/>
  <c r="U78" i="246"/>
  <c r="T78" i="246"/>
  <c r="S78" i="246"/>
  <c r="R78" i="246"/>
  <c r="Q78" i="246"/>
  <c r="P78" i="246"/>
  <c r="O78" i="246"/>
  <c r="N78" i="246"/>
  <c r="M78" i="246"/>
  <c r="L78" i="246"/>
  <c r="K78" i="246"/>
  <c r="J78" i="246"/>
  <c r="I78" i="246"/>
  <c r="H78" i="246"/>
  <c r="G78" i="246"/>
  <c r="F78" i="246"/>
  <c r="E78" i="246"/>
  <c r="D78" i="246"/>
  <c r="C78" i="246"/>
  <c r="B78" i="246"/>
  <c r="A78" i="246"/>
  <c r="Y77" i="246"/>
  <c r="X77" i="246"/>
  <c r="W77" i="246"/>
  <c r="V77" i="246"/>
  <c r="U77" i="246"/>
  <c r="T77" i="246"/>
  <c r="S77" i="246"/>
  <c r="R77" i="246"/>
  <c r="Q77" i="246"/>
  <c r="P77" i="246"/>
  <c r="O77" i="246"/>
  <c r="N77" i="246"/>
  <c r="M77" i="246"/>
  <c r="L77" i="246"/>
  <c r="K77" i="246"/>
  <c r="J77" i="246"/>
  <c r="I77" i="246"/>
  <c r="H77" i="246"/>
  <c r="G77" i="246"/>
  <c r="F77" i="246"/>
  <c r="E77" i="246"/>
  <c r="D77" i="246"/>
  <c r="C77" i="246"/>
  <c r="B77" i="246"/>
  <c r="A77" i="246"/>
  <c r="Y76" i="246"/>
  <c r="X76" i="246"/>
  <c r="W76" i="246"/>
  <c r="V76" i="246"/>
  <c r="U76" i="246"/>
  <c r="T76" i="246"/>
  <c r="S76" i="246"/>
  <c r="R76" i="246"/>
  <c r="Q76" i="246"/>
  <c r="P76" i="246"/>
  <c r="O76" i="246"/>
  <c r="N76" i="246"/>
  <c r="M76" i="246"/>
  <c r="L76" i="246"/>
  <c r="K76" i="246"/>
  <c r="J76" i="246"/>
  <c r="I76" i="246"/>
  <c r="H76" i="246"/>
  <c r="G76" i="246"/>
  <c r="F76" i="246"/>
  <c r="E76" i="246"/>
  <c r="D76" i="246"/>
  <c r="C76" i="246"/>
  <c r="B76" i="246"/>
  <c r="A76" i="246"/>
  <c r="Y75" i="246"/>
  <c r="X75" i="246"/>
  <c r="W75" i="246"/>
  <c r="V75" i="246"/>
  <c r="U75" i="246"/>
  <c r="T75" i="246"/>
  <c r="S75" i="246"/>
  <c r="R75" i="246"/>
  <c r="Q75" i="246"/>
  <c r="P75" i="246"/>
  <c r="O75" i="246"/>
  <c r="N75" i="246"/>
  <c r="M75" i="246"/>
  <c r="L75" i="246"/>
  <c r="K75" i="246"/>
  <c r="J75" i="246"/>
  <c r="I75" i="246"/>
  <c r="H75" i="246"/>
  <c r="G75" i="246"/>
  <c r="F75" i="246"/>
  <c r="E75" i="246"/>
  <c r="D75" i="246"/>
  <c r="C75" i="246"/>
  <c r="B75" i="246"/>
  <c r="A75" i="246"/>
  <c r="Y74" i="246"/>
  <c r="X74" i="246"/>
  <c r="W74" i="246"/>
  <c r="V74" i="246"/>
  <c r="U74" i="246"/>
  <c r="T74" i="246"/>
  <c r="S74" i="246"/>
  <c r="R74" i="246"/>
  <c r="Q74" i="246"/>
  <c r="P74" i="246"/>
  <c r="O74" i="246"/>
  <c r="N74" i="246"/>
  <c r="M74" i="246"/>
  <c r="L74" i="246"/>
  <c r="K74" i="246"/>
  <c r="J74" i="246"/>
  <c r="I74" i="246"/>
  <c r="H74" i="246"/>
  <c r="G74" i="246"/>
  <c r="F74" i="246"/>
  <c r="E74" i="246"/>
  <c r="D74" i="246"/>
  <c r="C74" i="246"/>
  <c r="B74" i="246"/>
  <c r="A74" i="246"/>
  <c r="Y73" i="246"/>
  <c r="X73" i="246"/>
  <c r="W73" i="246"/>
  <c r="V73" i="246"/>
  <c r="U73" i="246"/>
  <c r="T73" i="246"/>
  <c r="S73" i="246"/>
  <c r="R73" i="246"/>
  <c r="Q73" i="246"/>
  <c r="P73" i="246"/>
  <c r="O73" i="246"/>
  <c r="N73" i="246"/>
  <c r="M73" i="246"/>
  <c r="L73" i="246"/>
  <c r="K73" i="246"/>
  <c r="J73" i="246"/>
  <c r="I73" i="246"/>
  <c r="H73" i="246"/>
  <c r="G73" i="246"/>
  <c r="F73" i="246"/>
  <c r="E73" i="246"/>
  <c r="D73" i="246"/>
  <c r="C73" i="246"/>
  <c r="B73" i="246"/>
  <c r="A73" i="246"/>
  <c r="Y72" i="246"/>
  <c r="X72" i="246"/>
  <c r="W72" i="246"/>
  <c r="V72" i="246"/>
  <c r="U72" i="246"/>
  <c r="T72" i="246"/>
  <c r="S72" i="246"/>
  <c r="R72" i="246"/>
  <c r="Q72" i="246"/>
  <c r="P72" i="246"/>
  <c r="O72" i="246"/>
  <c r="N72" i="246"/>
  <c r="M72" i="246"/>
  <c r="L72" i="246"/>
  <c r="K72" i="246"/>
  <c r="J72" i="246"/>
  <c r="I72" i="246"/>
  <c r="H72" i="246"/>
  <c r="G72" i="246"/>
  <c r="F72" i="246"/>
  <c r="E72" i="246"/>
  <c r="D72" i="246"/>
  <c r="C72" i="246"/>
  <c r="B72" i="246"/>
  <c r="A72" i="246"/>
  <c r="Y71" i="246"/>
  <c r="X71" i="246"/>
  <c r="W71" i="246"/>
  <c r="V71" i="246"/>
  <c r="U71" i="246"/>
  <c r="T71" i="246"/>
  <c r="S71" i="246"/>
  <c r="R71" i="246"/>
  <c r="Q71" i="246"/>
  <c r="P71" i="246"/>
  <c r="O71" i="246"/>
  <c r="N71" i="246"/>
  <c r="M71" i="246"/>
  <c r="L71" i="246"/>
  <c r="K71" i="246"/>
  <c r="J71" i="246"/>
  <c r="I71" i="246"/>
  <c r="H71" i="246"/>
  <c r="G71" i="246"/>
  <c r="F71" i="246"/>
  <c r="E71" i="246"/>
  <c r="D71" i="246"/>
  <c r="C71" i="246"/>
  <c r="B71" i="246"/>
  <c r="A71" i="246"/>
  <c r="Y70" i="246"/>
  <c r="X70" i="246"/>
  <c r="W70" i="246"/>
  <c r="V70" i="246"/>
  <c r="U70" i="246"/>
  <c r="T70" i="246"/>
  <c r="S70" i="246"/>
  <c r="R70" i="246"/>
  <c r="Q70" i="246"/>
  <c r="P70" i="246"/>
  <c r="O70" i="246"/>
  <c r="N70" i="246"/>
  <c r="M70" i="246"/>
  <c r="L70" i="246"/>
  <c r="K70" i="246"/>
  <c r="J70" i="246"/>
  <c r="I70" i="246"/>
  <c r="H70" i="246"/>
  <c r="G70" i="246"/>
  <c r="F70" i="246"/>
  <c r="E70" i="246"/>
  <c r="D70" i="246"/>
  <c r="C70" i="246"/>
  <c r="B70" i="246"/>
  <c r="A70" i="246"/>
  <c r="Y69" i="246"/>
  <c r="X69" i="246"/>
  <c r="W69" i="246"/>
  <c r="V69" i="246"/>
  <c r="U69" i="246"/>
  <c r="T69" i="246"/>
  <c r="S69" i="246"/>
  <c r="R69" i="246"/>
  <c r="Q69" i="246"/>
  <c r="P69" i="246"/>
  <c r="O69" i="246"/>
  <c r="N69" i="246"/>
  <c r="M69" i="246"/>
  <c r="L69" i="246"/>
  <c r="K69" i="246"/>
  <c r="J69" i="246"/>
  <c r="I69" i="246"/>
  <c r="H69" i="246"/>
  <c r="G69" i="246"/>
  <c r="F69" i="246"/>
  <c r="E69" i="246"/>
  <c r="D69" i="246"/>
  <c r="C69" i="246"/>
  <c r="B69" i="246"/>
  <c r="A69" i="246"/>
  <c r="Y68" i="246"/>
  <c r="X68" i="246"/>
  <c r="W68" i="246"/>
  <c r="V68" i="246"/>
  <c r="U68" i="246"/>
  <c r="T68" i="246"/>
  <c r="S68" i="246"/>
  <c r="R68" i="246"/>
  <c r="Q68" i="246"/>
  <c r="P68" i="246"/>
  <c r="O68" i="246"/>
  <c r="N68" i="246"/>
  <c r="M68" i="246"/>
  <c r="L68" i="246"/>
  <c r="K68" i="246"/>
  <c r="J68" i="246"/>
  <c r="I68" i="246"/>
  <c r="H68" i="246"/>
  <c r="G68" i="246"/>
  <c r="F68" i="246"/>
  <c r="E68" i="246"/>
  <c r="D68" i="246"/>
  <c r="C68" i="246"/>
  <c r="B68" i="246"/>
  <c r="A68" i="246"/>
  <c r="Y67" i="246"/>
  <c r="X67" i="246"/>
  <c r="W67" i="246"/>
  <c r="V67" i="246"/>
  <c r="U67" i="246"/>
  <c r="T67" i="246"/>
  <c r="S67" i="246"/>
  <c r="R67" i="246"/>
  <c r="Q67" i="246"/>
  <c r="P67" i="246"/>
  <c r="O67" i="246"/>
  <c r="N67" i="246"/>
  <c r="M67" i="246"/>
  <c r="L67" i="246"/>
  <c r="K67" i="246"/>
  <c r="J67" i="246"/>
  <c r="I67" i="246"/>
  <c r="H67" i="246"/>
  <c r="G67" i="246"/>
  <c r="F67" i="246"/>
  <c r="E67" i="246"/>
  <c r="D67" i="246"/>
  <c r="C67" i="246"/>
  <c r="B67" i="246"/>
  <c r="A67" i="246"/>
  <c r="Y66" i="246"/>
  <c r="X66" i="246"/>
  <c r="W66" i="246"/>
  <c r="V66" i="246"/>
  <c r="U66" i="246"/>
  <c r="T66" i="246"/>
  <c r="S66" i="246"/>
  <c r="R66" i="246"/>
  <c r="Q66" i="246"/>
  <c r="P66" i="246"/>
  <c r="O66" i="246"/>
  <c r="N66" i="246"/>
  <c r="M66" i="246"/>
  <c r="L66" i="246"/>
  <c r="K66" i="246"/>
  <c r="J66" i="246"/>
  <c r="I66" i="246"/>
  <c r="H66" i="246"/>
  <c r="G66" i="246"/>
  <c r="F66" i="246"/>
  <c r="E66" i="246"/>
  <c r="D66" i="246"/>
  <c r="C66" i="246"/>
  <c r="B66" i="246"/>
  <c r="A66" i="246"/>
  <c r="Y65" i="246"/>
  <c r="X65" i="246"/>
  <c r="W65" i="246"/>
  <c r="V65" i="246"/>
  <c r="U65" i="246"/>
  <c r="T65" i="246"/>
  <c r="S65" i="246"/>
  <c r="R65" i="246"/>
  <c r="Q65" i="246"/>
  <c r="P65" i="246"/>
  <c r="O65" i="246"/>
  <c r="N65" i="246"/>
  <c r="M65" i="246"/>
  <c r="L65" i="246"/>
  <c r="K65" i="246"/>
  <c r="J65" i="246"/>
  <c r="I65" i="246"/>
  <c r="H65" i="246"/>
  <c r="G65" i="246"/>
  <c r="F65" i="246"/>
  <c r="E65" i="246"/>
  <c r="D65" i="246"/>
  <c r="C65" i="246"/>
  <c r="B65" i="246"/>
  <c r="A65" i="246"/>
  <c r="Y64" i="246"/>
  <c r="X64" i="246"/>
  <c r="W64" i="246"/>
  <c r="V64" i="246"/>
  <c r="U64" i="246"/>
  <c r="T64" i="246"/>
  <c r="S64" i="246"/>
  <c r="R64" i="246"/>
  <c r="Q64" i="246"/>
  <c r="P64" i="246"/>
  <c r="O64" i="246"/>
  <c r="N64" i="246"/>
  <c r="M64" i="246"/>
  <c r="L64" i="246"/>
  <c r="K64" i="246"/>
  <c r="J64" i="246"/>
  <c r="I64" i="246"/>
  <c r="H64" i="246"/>
  <c r="G64" i="246"/>
  <c r="F64" i="246"/>
  <c r="E64" i="246"/>
  <c r="D64" i="246"/>
  <c r="C64" i="246"/>
  <c r="B64" i="246"/>
  <c r="A64" i="246"/>
  <c r="Y63" i="246"/>
  <c r="X63" i="246"/>
  <c r="W63" i="246"/>
  <c r="V63" i="246"/>
  <c r="U63" i="246"/>
  <c r="T63" i="246"/>
  <c r="S63" i="246"/>
  <c r="R63" i="246"/>
  <c r="Q63" i="246"/>
  <c r="P63" i="246"/>
  <c r="O63" i="246"/>
  <c r="N63" i="246"/>
  <c r="M63" i="246"/>
  <c r="L63" i="246"/>
  <c r="K63" i="246"/>
  <c r="J63" i="246"/>
  <c r="I63" i="246"/>
  <c r="H63" i="246"/>
  <c r="G63" i="246"/>
  <c r="F63" i="246"/>
  <c r="E63" i="246"/>
  <c r="D63" i="246"/>
  <c r="C63" i="246"/>
  <c r="B63" i="246"/>
  <c r="A63" i="246"/>
  <c r="Y62" i="246"/>
  <c r="X62" i="246"/>
  <c r="W62" i="246"/>
  <c r="V62" i="246"/>
  <c r="U62" i="246"/>
  <c r="T62" i="246"/>
  <c r="S62" i="246"/>
  <c r="R62" i="246"/>
  <c r="Q62" i="246"/>
  <c r="P62" i="246"/>
  <c r="O62" i="246"/>
  <c r="N62" i="246"/>
  <c r="M62" i="246"/>
  <c r="L62" i="246"/>
  <c r="K62" i="246"/>
  <c r="J62" i="246"/>
  <c r="I62" i="246"/>
  <c r="H62" i="246"/>
  <c r="G62" i="246"/>
  <c r="F62" i="246"/>
  <c r="E62" i="246"/>
  <c r="D62" i="246"/>
  <c r="C62" i="246"/>
  <c r="B62" i="246"/>
  <c r="A62" i="246"/>
  <c r="Y61" i="246"/>
  <c r="X61" i="246"/>
  <c r="W61" i="246"/>
  <c r="V61" i="246"/>
  <c r="U61" i="246"/>
  <c r="T61" i="246"/>
  <c r="S61" i="246"/>
  <c r="R61" i="246"/>
  <c r="Q61" i="246"/>
  <c r="P61" i="246"/>
  <c r="O61" i="246"/>
  <c r="N61" i="246"/>
  <c r="M61" i="246"/>
  <c r="L61" i="246"/>
  <c r="K61" i="246"/>
  <c r="J61" i="246"/>
  <c r="I61" i="246"/>
  <c r="H61" i="246"/>
  <c r="G61" i="246"/>
  <c r="F61" i="246"/>
  <c r="E61" i="246"/>
  <c r="D61" i="246"/>
  <c r="C61" i="246"/>
  <c r="B61" i="246"/>
  <c r="A61" i="246"/>
  <c r="Y60" i="246"/>
  <c r="X60" i="246"/>
  <c r="W60" i="246"/>
  <c r="V60" i="246"/>
  <c r="U60" i="246"/>
  <c r="T60" i="246"/>
  <c r="S60" i="246"/>
  <c r="R60" i="246"/>
  <c r="Q60" i="246"/>
  <c r="P60" i="246"/>
  <c r="O60" i="246"/>
  <c r="N60" i="246"/>
  <c r="M60" i="246"/>
  <c r="L60" i="246"/>
  <c r="K60" i="246"/>
  <c r="J60" i="246"/>
  <c r="I60" i="246"/>
  <c r="H60" i="246"/>
  <c r="G60" i="246"/>
  <c r="F60" i="246"/>
  <c r="E60" i="246"/>
  <c r="D60" i="246"/>
  <c r="C60" i="246"/>
  <c r="B60" i="246"/>
  <c r="A60" i="246"/>
  <c r="Y59" i="246"/>
  <c r="X59" i="246"/>
  <c r="W59" i="246"/>
  <c r="V59" i="246"/>
  <c r="U59" i="246"/>
  <c r="T59" i="246"/>
  <c r="S59" i="246"/>
  <c r="R59" i="246"/>
  <c r="Q59" i="246"/>
  <c r="P59" i="246"/>
  <c r="O59" i="246"/>
  <c r="N59" i="246"/>
  <c r="M59" i="246"/>
  <c r="L59" i="246"/>
  <c r="K59" i="246"/>
  <c r="J59" i="246"/>
  <c r="I59" i="246"/>
  <c r="H59" i="246"/>
  <c r="G59" i="246"/>
  <c r="F59" i="246"/>
  <c r="E59" i="246"/>
  <c r="D59" i="246"/>
  <c r="C59" i="246"/>
  <c r="B59" i="246"/>
  <c r="A59" i="246"/>
  <c r="Y58" i="246"/>
  <c r="X58" i="246"/>
  <c r="W58" i="246"/>
  <c r="V58" i="246"/>
  <c r="U58" i="246"/>
  <c r="T58" i="246"/>
  <c r="S58" i="246"/>
  <c r="R58" i="246"/>
  <c r="Q58" i="246"/>
  <c r="P58" i="246"/>
  <c r="O58" i="246"/>
  <c r="N58" i="246"/>
  <c r="M58" i="246"/>
  <c r="L58" i="246"/>
  <c r="K58" i="246"/>
  <c r="J58" i="246"/>
  <c r="I58" i="246"/>
  <c r="H58" i="246"/>
  <c r="G58" i="246"/>
  <c r="F58" i="246"/>
  <c r="E58" i="246"/>
  <c r="D58" i="246"/>
  <c r="C58" i="246"/>
  <c r="B58" i="246"/>
  <c r="A58" i="246"/>
  <c r="Y57" i="246"/>
  <c r="X57" i="246"/>
  <c r="W57" i="246"/>
  <c r="V57" i="246"/>
  <c r="U57" i="246"/>
  <c r="T57" i="246"/>
  <c r="S57" i="246"/>
  <c r="R57" i="246"/>
  <c r="Q57" i="246"/>
  <c r="P57" i="246"/>
  <c r="O57" i="246"/>
  <c r="N57" i="246"/>
  <c r="M57" i="246"/>
  <c r="L57" i="246"/>
  <c r="K57" i="246"/>
  <c r="J57" i="246"/>
  <c r="I57" i="246"/>
  <c r="H57" i="246"/>
  <c r="G57" i="246"/>
  <c r="F57" i="246"/>
  <c r="E57" i="246"/>
  <c r="D57" i="246"/>
  <c r="C57" i="246"/>
  <c r="B57" i="246"/>
  <c r="A57" i="246"/>
  <c r="Y56" i="246"/>
  <c r="X56" i="246"/>
  <c r="W56" i="246"/>
  <c r="V56" i="246"/>
  <c r="U56" i="246"/>
  <c r="T56" i="246"/>
  <c r="S56" i="246"/>
  <c r="R56" i="246"/>
  <c r="Q56" i="246"/>
  <c r="P56" i="246"/>
  <c r="O56" i="246"/>
  <c r="N56" i="246"/>
  <c r="M56" i="246"/>
  <c r="L56" i="246"/>
  <c r="K56" i="246"/>
  <c r="J56" i="246"/>
  <c r="I56" i="246"/>
  <c r="H56" i="246"/>
  <c r="G56" i="246"/>
  <c r="F56" i="246"/>
  <c r="E56" i="246"/>
  <c r="D56" i="246"/>
  <c r="C56" i="246"/>
  <c r="B56" i="246"/>
  <c r="A56" i="246"/>
  <c r="Y55" i="246"/>
  <c r="X55" i="246"/>
  <c r="W55" i="246"/>
  <c r="V55" i="246"/>
  <c r="U55" i="246"/>
  <c r="T55" i="246"/>
  <c r="S55" i="246"/>
  <c r="R55" i="246"/>
  <c r="Q55" i="246"/>
  <c r="P55" i="246"/>
  <c r="O55" i="246"/>
  <c r="N55" i="246"/>
  <c r="M55" i="246"/>
  <c r="L55" i="246"/>
  <c r="K55" i="246"/>
  <c r="J55" i="246"/>
  <c r="I55" i="246"/>
  <c r="H55" i="246"/>
  <c r="G55" i="246"/>
  <c r="F55" i="246"/>
  <c r="E55" i="246"/>
  <c r="D55" i="246"/>
  <c r="C55" i="246"/>
  <c r="B55" i="246"/>
  <c r="A55" i="246"/>
  <c r="Y54" i="246"/>
  <c r="X54" i="246"/>
  <c r="W54" i="246"/>
  <c r="V54" i="246"/>
  <c r="U54" i="246"/>
  <c r="T54" i="246"/>
  <c r="S54" i="246"/>
  <c r="R54" i="246"/>
  <c r="Q54" i="246"/>
  <c r="P54" i="246"/>
  <c r="O54" i="246"/>
  <c r="N54" i="246"/>
  <c r="M54" i="246"/>
  <c r="L54" i="246"/>
  <c r="K54" i="246"/>
  <c r="J54" i="246"/>
  <c r="I54" i="246"/>
  <c r="H54" i="246"/>
  <c r="G54" i="246"/>
  <c r="F54" i="246"/>
  <c r="E54" i="246"/>
  <c r="D54" i="246"/>
  <c r="C54" i="246"/>
  <c r="B54" i="246"/>
  <c r="A54" i="246"/>
  <c r="Y53" i="246"/>
  <c r="X53" i="246"/>
  <c r="W53" i="246"/>
  <c r="V53" i="246"/>
  <c r="U53" i="246"/>
  <c r="T53" i="246"/>
  <c r="S53" i="246"/>
  <c r="R53" i="246"/>
  <c r="Q53" i="246"/>
  <c r="P53" i="246"/>
  <c r="O53" i="246"/>
  <c r="N53" i="246"/>
  <c r="M53" i="246"/>
  <c r="L53" i="246"/>
  <c r="K53" i="246"/>
  <c r="J53" i="246"/>
  <c r="I53" i="246"/>
  <c r="H53" i="246"/>
  <c r="G53" i="246"/>
  <c r="F53" i="246"/>
  <c r="E53" i="246"/>
  <c r="D53" i="246"/>
  <c r="C53" i="246"/>
  <c r="B53" i="246"/>
  <c r="A53" i="246"/>
  <c r="Y52" i="246"/>
  <c r="X52" i="246"/>
  <c r="W52" i="246"/>
  <c r="V52" i="246"/>
  <c r="U52" i="246"/>
  <c r="T52" i="246"/>
  <c r="S52" i="246"/>
  <c r="R52" i="246"/>
  <c r="Q52" i="246"/>
  <c r="P52" i="246"/>
  <c r="O52" i="246"/>
  <c r="N52" i="246"/>
  <c r="M52" i="246"/>
  <c r="L52" i="246"/>
  <c r="K52" i="246"/>
  <c r="J52" i="246"/>
  <c r="I52" i="246"/>
  <c r="H52" i="246"/>
  <c r="G52" i="246"/>
  <c r="F52" i="246"/>
  <c r="E52" i="246"/>
  <c r="D52" i="246"/>
  <c r="C52" i="246"/>
  <c r="B52" i="246"/>
  <c r="A52" i="246"/>
  <c r="Y51" i="246"/>
  <c r="X51" i="246"/>
  <c r="W51" i="246"/>
  <c r="V51" i="246"/>
  <c r="U51" i="246"/>
  <c r="T51" i="246"/>
  <c r="S51" i="246"/>
  <c r="R51" i="246"/>
  <c r="Q51" i="246"/>
  <c r="P51" i="246"/>
  <c r="O51" i="246"/>
  <c r="N51" i="246"/>
  <c r="M51" i="246"/>
  <c r="L51" i="246"/>
  <c r="K51" i="246"/>
  <c r="J51" i="246"/>
  <c r="I51" i="246"/>
  <c r="H51" i="246"/>
  <c r="G51" i="246"/>
  <c r="F51" i="246"/>
  <c r="E51" i="246"/>
  <c r="D51" i="246"/>
  <c r="C51" i="246"/>
  <c r="B51" i="246"/>
  <c r="A51" i="246"/>
  <c r="Y50" i="246"/>
  <c r="X50" i="246"/>
  <c r="W50" i="246"/>
  <c r="V50" i="246"/>
  <c r="U50" i="246"/>
  <c r="T50" i="246"/>
  <c r="S50" i="246"/>
  <c r="R50" i="246"/>
  <c r="Q50" i="246"/>
  <c r="P50" i="246"/>
  <c r="O50" i="246"/>
  <c r="N50" i="246"/>
  <c r="M50" i="246"/>
  <c r="L50" i="246"/>
  <c r="K50" i="246"/>
  <c r="J50" i="246"/>
  <c r="I50" i="246"/>
  <c r="H50" i="246"/>
  <c r="G50" i="246"/>
  <c r="F50" i="246"/>
  <c r="E50" i="246"/>
  <c r="D50" i="246"/>
  <c r="C50" i="246"/>
  <c r="B50" i="246"/>
  <c r="A50" i="246"/>
  <c r="Y49" i="246"/>
  <c r="X49" i="246"/>
  <c r="W49" i="246"/>
  <c r="V49" i="246"/>
  <c r="U49" i="246"/>
  <c r="T49" i="246"/>
  <c r="S49" i="246"/>
  <c r="R49" i="246"/>
  <c r="Q49" i="246"/>
  <c r="P49" i="246"/>
  <c r="O49" i="246"/>
  <c r="N49" i="246"/>
  <c r="M49" i="246"/>
  <c r="L49" i="246"/>
  <c r="K49" i="246"/>
  <c r="J49" i="246"/>
  <c r="I49" i="246"/>
  <c r="H49" i="246"/>
  <c r="G49" i="246"/>
  <c r="F49" i="246"/>
  <c r="E49" i="246"/>
  <c r="D49" i="246"/>
  <c r="C49" i="246"/>
  <c r="B49" i="246"/>
  <c r="A49" i="246"/>
  <c r="Y48" i="246"/>
  <c r="X48" i="246"/>
  <c r="W48" i="246"/>
  <c r="V48" i="246"/>
  <c r="U48" i="246"/>
  <c r="T48" i="246"/>
  <c r="S48" i="246"/>
  <c r="R48" i="246"/>
  <c r="Q48" i="246"/>
  <c r="P48" i="246"/>
  <c r="O48" i="246"/>
  <c r="N48" i="246"/>
  <c r="M48" i="246"/>
  <c r="L48" i="246"/>
  <c r="K48" i="246"/>
  <c r="J48" i="246"/>
  <c r="I48" i="246"/>
  <c r="H48" i="246"/>
  <c r="G48" i="246"/>
  <c r="F48" i="246"/>
  <c r="E48" i="246"/>
  <c r="D48" i="246"/>
  <c r="C48" i="246"/>
  <c r="B48" i="246"/>
  <c r="A48" i="246"/>
  <c r="Y47" i="246"/>
  <c r="X47" i="246"/>
  <c r="W47" i="246"/>
  <c r="V47" i="246"/>
  <c r="U47" i="246"/>
  <c r="T47" i="246"/>
  <c r="S47" i="246"/>
  <c r="R47" i="246"/>
  <c r="Q47" i="246"/>
  <c r="P47" i="246"/>
  <c r="O47" i="246"/>
  <c r="N47" i="246"/>
  <c r="M47" i="246"/>
  <c r="L47" i="246"/>
  <c r="K47" i="246"/>
  <c r="J47" i="246"/>
  <c r="I47" i="246"/>
  <c r="H47" i="246"/>
  <c r="G47" i="246"/>
  <c r="F47" i="246"/>
  <c r="E47" i="246"/>
  <c r="D47" i="246"/>
  <c r="C47" i="246"/>
  <c r="B47" i="246"/>
  <c r="A47" i="246"/>
  <c r="Y46" i="246"/>
  <c r="X46" i="246"/>
  <c r="W46" i="246"/>
  <c r="V46" i="246"/>
  <c r="U46" i="246"/>
  <c r="T46" i="246"/>
  <c r="S46" i="246"/>
  <c r="R46" i="246"/>
  <c r="Q46" i="246"/>
  <c r="P46" i="246"/>
  <c r="O46" i="246"/>
  <c r="N46" i="246"/>
  <c r="M46" i="246"/>
  <c r="L46" i="246"/>
  <c r="K46" i="246"/>
  <c r="J46" i="246"/>
  <c r="I46" i="246"/>
  <c r="H46" i="246"/>
  <c r="G46" i="246"/>
  <c r="F46" i="246"/>
  <c r="E46" i="246"/>
  <c r="D46" i="246"/>
  <c r="C46" i="246"/>
  <c r="B46" i="246"/>
  <c r="A46" i="246"/>
  <c r="Y45" i="246"/>
  <c r="X45" i="246"/>
  <c r="W45" i="246"/>
  <c r="V45" i="246"/>
  <c r="U45" i="246"/>
  <c r="T45" i="246"/>
  <c r="S45" i="246"/>
  <c r="R45" i="246"/>
  <c r="Q45" i="246"/>
  <c r="P45" i="246"/>
  <c r="O45" i="246"/>
  <c r="N45" i="246"/>
  <c r="M45" i="246"/>
  <c r="L45" i="246"/>
  <c r="K45" i="246"/>
  <c r="J45" i="246"/>
  <c r="I45" i="246"/>
  <c r="H45" i="246"/>
  <c r="G45" i="246"/>
  <c r="F45" i="246"/>
  <c r="E45" i="246"/>
  <c r="D45" i="246"/>
  <c r="C45" i="246"/>
  <c r="B45" i="246"/>
  <c r="A45" i="246"/>
  <c r="Y44" i="246"/>
  <c r="X44" i="246"/>
  <c r="W44" i="246"/>
  <c r="V44" i="246"/>
  <c r="U44" i="246"/>
  <c r="T44" i="246"/>
  <c r="S44" i="246"/>
  <c r="R44" i="246"/>
  <c r="Q44" i="246"/>
  <c r="P44" i="246"/>
  <c r="O44" i="246"/>
  <c r="N44" i="246"/>
  <c r="M44" i="246"/>
  <c r="L44" i="246"/>
  <c r="K44" i="246"/>
  <c r="J44" i="246"/>
  <c r="I44" i="246"/>
  <c r="H44" i="246"/>
  <c r="G44" i="246"/>
  <c r="F44" i="246"/>
  <c r="E44" i="246"/>
  <c r="D44" i="246"/>
  <c r="C44" i="246"/>
  <c r="B44" i="246"/>
  <c r="A44" i="246"/>
  <c r="Y43" i="246"/>
  <c r="X43" i="246"/>
  <c r="W43" i="246"/>
  <c r="V43" i="246"/>
  <c r="U43" i="246"/>
  <c r="T43" i="246"/>
  <c r="S43" i="246"/>
  <c r="R43" i="246"/>
  <c r="Q43" i="246"/>
  <c r="P43" i="246"/>
  <c r="O43" i="246"/>
  <c r="N43" i="246"/>
  <c r="M43" i="246"/>
  <c r="L43" i="246"/>
  <c r="K43" i="246"/>
  <c r="J43" i="246"/>
  <c r="I43" i="246"/>
  <c r="H43" i="246"/>
  <c r="G43" i="246"/>
  <c r="F43" i="246"/>
  <c r="E43" i="246"/>
  <c r="D43" i="246"/>
  <c r="C43" i="246"/>
  <c r="B43" i="246"/>
  <c r="A43" i="246"/>
  <c r="Y42" i="246"/>
  <c r="X42" i="246"/>
  <c r="W42" i="246"/>
  <c r="V42" i="246"/>
  <c r="U42" i="246"/>
  <c r="T42" i="246"/>
  <c r="S42" i="246"/>
  <c r="R42" i="246"/>
  <c r="Q42" i="246"/>
  <c r="P42" i="246"/>
  <c r="O42" i="246"/>
  <c r="N42" i="246"/>
  <c r="M42" i="246"/>
  <c r="L42" i="246"/>
  <c r="K42" i="246"/>
  <c r="J42" i="246"/>
  <c r="I42" i="246"/>
  <c r="H42" i="246"/>
  <c r="G42" i="246"/>
  <c r="F42" i="246"/>
  <c r="E42" i="246"/>
  <c r="D42" i="246"/>
  <c r="C42" i="246"/>
  <c r="B42" i="246"/>
  <c r="A42" i="246"/>
  <c r="Y41" i="246"/>
  <c r="X41" i="246"/>
  <c r="W41" i="246"/>
  <c r="V41" i="246"/>
  <c r="U41" i="246"/>
  <c r="T41" i="246"/>
  <c r="S41" i="246"/>
  <c r="R41" i="246"/>
  <c r="Q41" i="246"/>
  <c r="P41" i="246"/>
  <c r="O41" i="246"/>
  <c r="N41" i="246"/>
  <c r="M41" i="246"/>
  <c r="L41" i="246"/>
  <c r="K41" i="246"/>
  <c r="J41" i="246"/>
  <c r="I41" i="246"/>
  <c r="H41" i="246"/>
  <c r="G41" i="246"/>
  <c r="F41" i="246"/>
  <c r="E41" i="246"/>
  <c r="D41" i="246"/>
  <c r="C41" i="246"/>
  <c r="B41" i="246"/>
  <c r="A41" i="246"/>
  <c r="Y40" i="246"/>
  <c r="X40" i="246"/>
  <c r="W40" i="246"/>
  <c r="V40" i="246"/>
  <c r="U40" i="246"/>
  <c r="T40" i="246"/>
  <c r="S40" i="246"/>
  <c r="R40" i="246"/>
  <c r="Q40" i="246"/>
  <c r="P40" i="246"/>
  <c r="O40" i="246"/>
  <c r="N40" i="246"/>
  <c r="M40" i="246"/>
  <c r="L40" i="246"/>
  <c r="K40" i="246"/>
  <c r="J40" i="246"/>
  <c r="I40" i="246"/>
  <c r="H40" i="246"/>
  <c r="G40" i="246"/>
  <c r="F40" i="246"/>
  <c r="E40" i="246"/>
  <c r="D40" i="246"/>
  <c r="C40" i="246"/>
  <c r="B40" i="246"/>
  <c r="A40" i="246"/>
  <c r="Y39" i="246"/>
  <c r="X39" i="246"/>
  <c r="W39" i="246"/>
  <c r="V39" i="246"/>
  <c r="U39" i="246"/>
  <c r="T39" i="246"/>
  <c r="S39" i="246"/>
  <c r="R39" i="246"/>
  <c r="Q39" i="246"/>
  <c r="P39" i="246"/>
  <c r="O39" i="246"/>
  <c r="N39" i="246"/>
  <c r="M39" i="246"/>
  <c r="L39" i="246"/>
  <c r="K39" i="246"/>
  <c r="J39" i="246"/>
  <c r="I39" i="246"/>
  <c r="H39" i="246"/>
  <c r="G39" i="246"/>
  <c r="F39" i="246"/>
  <c r="E39" i="246"/>
  <c r="D39" i="246"/>
  <c r="C39" i="246"/>
  <c r="B39" i="246"/>
  <c r="A39" i="246"/>
  <c r="Y38" i="246"/>
  <c r="X38" i="246"/>
  <c r="W38" i="246"/>
  <c r="V38" i="246"/>
  <c r="U38" i="246"/>
  <c r="T38" i="246"/>
  <c r="S38" i="246"/>
  <c r="R38" i="246"/>
  <c r="Q38" i="246"/>
  <c r="P38" i="246"/>
  <c r="O38" i="246"/>
  <c r="N38" i="246"/>
  <c r="M38" i="246"/>
  <c r="L38" i="246"/>
  <c r="K38" i="246"/>
  <c r="J38" i="246"/>
  <c r="I38" i="246"/>
  <c r="H38" i="246"/>
  <c r="G38" i="246"/>
  <c r="F38" i="246"/>
  <c r="E38" i="246"/>
  <c r="D38" i="246"/>
  <c r="C38" i="246"/>
  <c r="B38" i="246"/>
  <c r="A38" i="246"/>
  <c r="Y37" i="246"/>
  <c r="X37" i="246"/>
  <c r="W37" i="246"/>
  <c r="V37" i="246"/>
  <c r="U37" i="246"/>
  <c r="T37" i="246"/>
  <c r="S37" i="246"/>
  <c r="R37" i="246"/>
  <c r="Q37" i="246"/>
  <c r="P37" i="246"/>
  <c r="O37" i="246"/>
  <c r="N37" i="246"/>
  <c r="M37" i="246"/>
  <c r="L37" i="246"/>
  <c r="K37" i="246"/>
  <c r="J37" i="246"/>
  <c r="I37" i="246"/>
  <c r="H37" i="246"/>
  <c r="G37" i="246"/>
  <c r="F37" i="246"/>
  <c r="E37" i="246"/>
  <c r="D37" i="246"/>
  <c r="C37" i="246"/>
  <c r="B37" i="246"/>
  <c r="A37" i="246"/>
  <c r="Y36" i="246"/>
  <c r="X36" i="246"/>
  <c r="W36" i="246"/>
  <c r="V36" i="246"/>
  <c r="U36" i="246"/>
  <c r="T36" i="246"/>
  <c r="S36" i="246"/>
  <c r="R36" i="246"/>
  <c r="Q36" i="246"/>
  <c r="P36" i="246"/>
  <c r="O36" i="246"/>
  <c r="N36" i="246"/>
  <c r="M36" i="246"/>
  <c r="L36" i="246"/>
  <c r="K36" i="246"/>
  <c r="J36" i="246"/>
  <c r="I36" i="246"/>
  <c r="H36" i="246"/>
  <c r="G36" i="246"/>
  <c r="F36" i="246"/>
  <c r="E36" i="246"/>
  <c r="D36" i="246"/>
  <c r="C36" i="246"/>
  <c r="B36" i="246"/>
  <c r="A36" i="246"/>
  <c r="Y35" i="246"/>
  <c r="X35" i="246"/>
  <c r="W35" i="246"/>
  <c r="V35" i="246"/>
  <c r="U35" i="246"/>
  <c r="T35" i="246"/>
  <c r="S35" i="246"/>
  <c r="R35" i="246"/>
  <c r="Q35" i="246"/>
  <c r="P35" i="246"/>
  <c r="O35" i="246"/>
  <c r="N35" i="246"/>
  <c r="M35" i="246"/>
  <c r="L35" i="246"/>
  <c r="K35" i="246"/>
  <c r="J35" i="246"/>
  <c r="I35" i="246"/>
  <c r="H35" i="246"/>
  <c r="G35" i="246"/>
  <c r="F35" i="246"/>
  <c r="E35" i="246"/>
  <c r="D35" i="246"/>
  <c r="C35" i="246"/>
  <c r="B35" i="246"/>
  <c r="A35" i="246"/>
  <c r="Y34" i="246"/>
  <c r="X34" i="246"/>
  <c r="W34" i="246"/>
  <c r="V34" i="246"/>
  <c r="U34" i="246"/>
  <c r="T34" i="246"/>
  <c r="S34" i="246"/>
  <c r="R34" i="246"/>
  <c r="Q34" i="246"/>
  <c r="P34" i="246"/>
  <c r="O34" i="246"/>
  <c r="N34" i="246"/>
  <c r="M34" i="246"/>
  <c r="L34" i="246"/>
  <c r="K34" i="246"/>
  <c r="J34" i="246"/>
  <c r="I34" i="246"/>
  <c r="H34" i="246"/>
  <c r="G34" i="246"/>
  <c r="F34" i="246"/>
  <c r="E34" i="246"/>
  <c r="D34" i="246"/>
  <c r="C34" i="246"/>
  <c r="B34" i="246"/>
  <c r="A34" i="246"/>
  <c r="Y33" i="246"/>
  <c r="X33" i="246"/>
  <c r="W33" i="246"/>
  <c r="V33" i="246"/>
  <c r="U33" i="246"/>
  <c r="T33" i="246"/>
  <c r="S33" i="246"/>
  <c r="R33" i="246"/>
  <c r="Q33" i="246"/>
  <c r="P33" i="246"/>
  <c r="O33" i="246"/>
  <c r="N33" i="246"/>
  <c r="M33" i="246"/>
  <c r="L33" i="246"/>
  <c r="K33" i="246"/>
  <c r="J33" i="246"/>
  <c r="I33" i="246"/>
  <c r="H33" i="246"/>
  <c r="G33" i="246"/>
  <c r="F33" i="246"/>
  <c r="E33" i="246"/>
  <c r="D33" i="246"/>
  <c r="C33" i="246"/>
  <c r="B33" i="246"/>
  <c r="A33" i="246"/>
  <c r="Y32" i="246"/>
  <c r="X32" i="246"/>
  <c r="W32" i="246"/>
  <c r="V32" i="246"/>
  <c r="U32" i="246"/>
  <c r="T32" i="246"/>
  <c r="S32" i="246"/>
  <c r="R32" i="246"/>
  <c r="Q32" i="246"/>
  <c r="P32" i="246"/>
  <c r="O32" i="246"/>
  <c r="N32" i="246"/>
  <c r="M32" i="246"/>
  <c r="L32" i="246"/>
  <c r="K32" i="246"/>
  <c r="J32" i="246"/>
  <c r="I32" i="246"/>
  <c r="H32" i="246"/>
  <c r="G32" i="246"/>
  <c r="F32" i="246"/>
  <c r="E32" i="246"/>
  <c r="D32" i="246"/>
  <c r="C32" i="246"/>
  <c r="B32" i="246"/>
  <c r="A32" i="246"/>
  <c r="Y31" i="246"/>
  <c r="X31" i="246"/>
  <c r="W31" i="246"/>
  <c r="V31" i="246"/>
  <c r="U31" i="246"/>
  <c r="T31" i="246"/>
  <c r="S31" i="246"/>
  <c r="R31" i="246"/>
  <c r="Q31" i="246"/>
  <c r="P31" i="246"/>
  <c r="O31" i="246"/>
  <c r="N31" i="246"/>
  <c r="M31" i="246"/>
  <c r="L31" i="246"/>
  <c r="K31" i="246"/>
  <c r="J31" i="246"/>
  <c r="I31" i="246"/>
  <c r="H31" i="246"/>
  <c r="G31" i="246"/>
  <c r="F31" i="246"/>
  <c r="E31" i="246"/>
  <c r="D31" i="246"/>
  <c r="C31" i="246"/>
  <c r="B31" i="246"/>
  <c r="A31" i="246"/>
  <c r="Y30" i="246"/>
  <c r="X30" i="246"/>
  <c r="W30" i="246"/>
  <c r="V30" i="246"/>
  <c r="U30" i="246"/>
  <c r="T30" i="246"/>
  <c r="S30" i="246"/>
  <c r="R30" i="246"/>
  <c r="Q30" i="246"/>
  <c r="P30" i="246"/>
  <c r="O30" i="246"/>
  <c r="N30" i="246"/>
  <c r="M30" i="246"/>
  <c r="L30" i="246"/>
  <c r="K30" i="246"/>
  <c r="J30" i="246"/>
  <c r="I30" i="246"/>
  <c r="H30" i="246"/>
  <c r="G30" i="246"/>
  <c r="F30" i="246"/>
  <c r="E30" i="246"/>
  <c r="D30" i="246"/>
  <c r="C30" i="246"/>
  <c r="B30" i="246"/>
  <c r="A30" i="246"/>
  <c r="Y29" i="246"/>
  <c r="X29" i="246"/>
  <c r="W29" i="246"/>
  <c r="V29" i="246"/>
  <c r="U29" i="246"/>
  <c r="T29" i="246"/>
  <c r="S29" i="246"/>
  <c r="R29" i="246"/>
  <c r="Q29" i="246"/>
  <c r="P29" i="246"/>
  <c r="O29" i="246"/>
  <c r="N29" i="246"/>
  <c r="M29" i="246"/>
  <c r="L29" i="246"/>
  <c r="K29" i="246"/>
  <c r="J29" i="246"/>
  <c r="I29" i="246"/>
  <c r="H29" i="246"/>
  <c r="G29" i="246"/>
  <c r="F29" i="246"/>
  <c r="E29" i="246"/>
  <c r="D29" i="246"/>
  <c r="C29" i="246"/>
  <c r="B29" i="246"/>
  <c r="A29" i="246"/>
  <c r="Y28" i="246"/>
  <c r="X28" i="246"/>
  <c r="W28" i="246"/>
  <c r="V28" i="246"/>
  <c r="U28" i="246"/>
  <c r="T28" i="246"/>
  <c r="S28" i="246"/>
  <c r="R28" i="246"/>
  <c r="Q28" i="246"/>
  <c r="P28" i="246"/>
  <c r="O28" i="246"/>
  <c r="N28" i="246"/>
  <c r="M28" i="246"/>
  <c r="L28" i="246"/>
  <c r="K28" i="246"/>
  <c r="J28" i="246"/>
  <c r="I28" i="246"/>
  <c r="H28" i="246"/>
  <c r="G28" i="246"/>
  <c r="F28" i="246"/>
  <c r="E28" i="246"/>
  <c r="D28" i="246"/>
  <c r="C28" i="246"/>
  <c r="B28" i="246"/>
  <c r="A28" i="246"/>
  <c r="Y27" i="246"/>
  <c r="X27" i="246"/>
  <c r="W27" i="246"/>
  <c r="V27" i="246"/>
  <c r="U27" i="246"/>
  <c r="T27" i="246"/>
  <c r="S27" i="246"/>
  <c r="R27" i="246"/>
  <c r="Q27" i="246"/>
  <c r="P27" i="246"/>
  <c r="O27" i="246"/>
  <c r="N27" i="246"/>
  <c r="M27" i="246"/>
  <c r="L27" i="246"/>
  <c r="K27" i="246"/>
  <c r="J27" i="246"/>
  <c r="I27" i="246"/>
  <c r="H27" i="246"/>
  <c r="G27" i="246"/>
  <c r="F27" i="246"/>
  <c r="E27" i="246"/>
  <c r="D27" i="246"/>
  <c r="C27" i="246"/>
  <c r="B27" i="246"/>
  <c r="A27" i="246"/>
  <c r="Y26" i="246"/>
  <c r="X26" i="246"/>
  <c r="W26" i="246"/>
  <c r="V26" i="246"/>
  <c r="U26" i="246"/>
  <c r="T26" i="246"/>
  <c r="S26" i="246"/>
  <c r="R26" i="246"/>
  <c r="Q26" i="246"/>
  <c r="P26" i="246"/>
  <c r="O26" i="246"/>
  <c r="N26" i="246"/>
  <c r="M26" i="246"/>
  <c r="L26" i="246"/>
  <c r="K26" i="246"/>
  <c r="J26" i="246"/>
  <c r="I26" i="246"/>
  <c r="H26" i="246"/>
  <c r="G26" i="246"/>
  <c r="F26" i="246"/>
  <c r="E26" i="246"/>
  <c r="D26" i="246"/>
  <c r="C26" i="246"/>
  <c r="B26" i="246"/>
  <c r="A26" i="246"/>
  <c r="Y25" i="246"/>
  <c r="X25" i="246"/>
  <c r="W25" i="246"/>
  <c r="V25" i="246"/>
  <c r="U25" i="246"/>
  <c r="T25" i="246"/>
  <c r="S25" i="246"/>
  <c r="R25" i="246"/>
  <c r="Q25" i="246"/>
  <c r="P25" i="246"/>
  <c r="O25" i="246"/>
  <c r="N25" i="246"/>
  <c r="M25" i="246"/>
  <c r="L25" i="246"/>
  <c r="K25" i="246"/>
  <c r="J25" i="246"/>
  <c r="I25" i="246"/>
  <c r="H25" i="246"/>
  <c r="G25" i="246"/>
  <c r="F25" i="246"/>
  <c r="E25" i="246"/>
  <c r="D25" i="246"/>
  <c r="C25" i="246"/>
  <c r="B25" i="246"/>
  <c r="A25" i="246"/>
  <c r="Y24" i="246"/>
  <c r="X24" i="246"/>
  <c r="W24" i="246"/>
  <c r="V24" i="246"/>
  <c r="U24" i="246"/>
  <c r="T24" i="246"/>
  <c r="S24" i="246"/>
  <c r="R24" i="246"/>
  <c r="Q24" i="246"/>
  <c r="P24" i="246"/>
  <c r="O24" i="246"/>
  <c r="N24" i="246"/>
  <c r="M24" i="246"/>
  <c r="L24" i="246"/>
  <c r="K24" i="246"/>
  <c r="J24" i="246"/>
  <c r="I24" i="246"/>
  <c r="H24" i="246"/>
  <c r="G24" i="246"/>
  <c r="F24" i="246"/>
  <c r="E24" i="246"/>
  <c r="D24" i="246"/>
  <c r="C24" i="246"/>
  <c r="B24" i="246"/>
  <c r="A24" i="246"/>
  <c r="Y23" i="246"/>
  <c r="X23" i="246"/>
  <c r="W23" i="246"/>
  <c r="V23" i="246"/>
  <c r="U23" i="246"/>
  <c r="T23" i="246"/>
  <c r="S23" i="246"/>
  <c r="R23" i="246"/>
  <c r="Q23" i="246"/>
  <c r="P23" i="246"/>
  <c r="O23" i="246"/>
  <c r="N23" i="246"/>
  <c r="M23" i="246"/>
  <c r="L23" i="246"/>
  <c r="K23" i="246"/>
  <c r="J23" i="246"/>
  <c r="I23" i="246"/>
  <c r="H23" i="246"/>
  <c r="G23" i="246"/>
  <c r="F23" i="246"/>
  <c r="E23" i="246"/>
  <c r="D23" i="246"/>
  <c r="C23" i="246"/>
  <c r="B23" i="246"/>
  <c r="A23" i="246"/>
  <c r="Y22" i="246"/>
  <c r="X22" i="246"/>
  <c r="W22" i="246"/>
  <c r="V22" i="246"/>
  <c r="U22" i="246"/>
  <c r="T22" i="246"/>
  <c r="S22" i="246"/>
  <c r="R22" i="246"/>
  <c r="Q22" i="246"/>
  <c r="P22" i="246"/>
  <c r="O22" i="246"/>
  <c r="N22" i="246"/>
  <c r="M22" i="246"/>
  <c r="L22" i="246"/>
  <c r="K22" i="246"/>
  <c r="J22" i="246"/>
  <c r="I22" i="246"/>
  <c r="H22" i="246"/>
  <c r="G22" i="246"/>
  <c r="F22" i="246"/>
  <c r="E22" i="246"/>
  <c r="D22" i="246"/>
  <c r="C22" i="246"/>
  <c r="B22" i="246"/>
  <c r="A22" i="246"/>
  <c r="Y21" i="246"/>
  <c r="X21" i="246"/>
  <c r="W21" i="246"/>
  <c r="V21" i="246"/>
  <c r="U21" i="246"/>
  <c r="T21" i="246"/>
  <c r="S21" i="246"/>
  <c r="R21" i="246"/>
  <c r="Q21" i="246"/>
  <c r="P21" i="246"/>
  <c r="O21" i="246"/>
  <c r="N21" i="246"/>
  <c r="M21" i="246"/>
  <c r="L21" i="246"/>
  <c r="K21" i="246"/>
  <c r="J21" i="246"/>
  <c r="I21" i="246"/>
  <c r="H21" i="246"/>
  <c r="G21" i="246"/>
  <c r="F21" i="246"/>
  <c r="E21" i="246"/>
  <c r="D21" i="246"/>
  <c r="C21" i="246"/>
  <c r="B21" i="246"/>
  <c r="A21" i="246"/>
  <c r="Y20" i="246"/>
  <c r="X20" i="246"/>
  <c r="W20" i="246"/>
  <c r="V20" i="246"/>
  <c r="U20" i="246"/>
  <c r="T20" i="246"/>
  <c r="S20" i="246"/>
  <c r="R20" i="246"/>
  <c r="Q20" i="246"/>
  <c r="P20" i="246"/>
  <c r="O20" i="246"/>
  <c r="N20" i="246"/>
  <c r="M20" i="246"/>
  <c r="L20" i="246"/>
  <c r="K20" i="246"/>
  <c r="J20" i="246"/>
  <c r="I20" i="246"/>
  <c r="H20" i="246"/>
  <c r="G20" i="246"/>
  <c r="F20" i="246"/>
  <c r="E20" i="246"/>
  <c r="D20" i="246"/>
  <c r="C20" i="246"/>
  <c r="B20" i="246"/>
  <c r="A20" i="246"/>
  <c r="Y19" i="246"/>
  <c r="X19" i="246"/>
  <c r="W19" i="246"/>
  <c r="V19" i="246"/>
  <c r="U19" i="246"/>
  <c r="T19" i="246"/>
  <c r="S19" i="246"/>
  <c r="R19" i="246"/>
  <c r="Q19" i="246"/>
  <c r="P19" i="246"/>
  <c r="O19" i="246"/>
  <c r="N19" i="246"/>
  <c r="M19" i="246"/>
  <c r="L19" i="246"/>
  <c r="K19" i="246"/>
  <c r="J19" i="246"/>
  <c r="I19" i="246"/>
  <c r="H19" i="246"/>
  <c r="G19" i="246"/>
  <c r="F19" i="246"/>
  <c r="E19" i="246"/>
  <c r="D19" i="246"/>
  <c r="C19" i="246"/>
  <c r="B19" i="246"/>
  <c r="A19" i="246"/>
  <c r="Y18" i="246"/>
  <c r="X18" i="246"/>
  <c r="W18" i="246"/>
  <c r="V18" i="246"/>
  <c r="U18" i="246"/>
  <c r="T18" i="246"/>
  <c r="S18" i="246"/>
  <c r="R18" i="246"/>
  <c r="Q18" i="246"/>
  <c r="P18" i="246"/>
  <c r="O18" i="246"/>
  <c r="N18" i="246"/>
  <c r="M18" i="246"/>
  <c r="L18" i="246"/>
  <c r="K18" i="246"/>
  <c r="J18" i="246"/>
  <c r="I18" i="246"/>
  <c r="H18" i="246"/>
  <c r="G18" i="246"/>
  <c r="F18" i="246"/>
  <c r="E18" i="246"/>
  <c r="D18" i="246"/>
  <c r="C18" i="246"/>
  <c r="B18" i="246"/>
  <c r="A18" i="246"/>
  <c r="Y17" i="246"/>
  <c r="X17" i="246"/>
  <c r="W17" i="246"/>
  <c r="V17" i="246"/>
  <c r="U17" i="246"/>
  <c r="T17" i="246"/>
  <c r="S17" i="246"/>
  <c r="R17" i="246"/>
  <c r="Q17" i="246"/>
  <c r="P17" i="246"/>
  <c r="O17" i="246"/>
  <c r="N17" i="246"/>
  <c r="M17" i="246"/>
  <c r="L17" i="246"/>
  <c r="K17" i="246"/>
  <c r="J17" i="246"/>
  <c r="I17" i="246"/>
  <c r="H17" i="246"/>
  <c r="G17" i="246"/>
  <c r="F17" i="246"/>
  <c r="E17" i="246"/>
  <c r="D17" i="246"/>
  <c r="C17" i="246"/>
  <c r="B17" i="246"/>
  <c r="A17" i="246"/>
  <c r="Y16" i="246"/>
  <c r="X16" i="246"/>
  <c r="W16" i="246"/>
  <c r="V16" i="246"/>
  <c r="U16" i="246"/>
  <c r="T16" i="246"/>
  <c r="S16" i="246"/>
  <c r="R16" i="246"/>
  <c r="Q16" i="246"/>
  <c r="P16" i="246"/>
  <c r="O16" i="246"/>
  <c r="N16" i="246"/>
  <c r="M16" i="246"/>
  <c r="L16" i="246"/>
  <c r="K16" i="246"/>
  <c r="J16" i="246"/>
  <c r="I16" i="246"/>
  <c r="H16" i="246"/>
  <c r="G16" i="246"/>
  <c r="F16" i="246"/>
  <c r="E16" i="246"/>
  <c r="D16" i="246"/>
  <c r="C16" i="246"/>
  <c r="B16" i="246"/>
  <c r="A16" i="246"/>
  <c r="Y15" i="246"/>
  <c r="X15" i="246"/>
  <c r="W15" i="246"/>
  <c r="V15" i="246"/>
  <c r="U15" i="246"/>
  <c r="T15" i="246"/>
  <c r="S15" i="246"/>
  <c r="R15" i="246"/>
  <c r="Q15" i="246"/>
  <c r="P15" i="246"/>
  <c r="O15" i="246"/>
  <c r="N15" i="246"/>
  <c r="M15" i="246"/>
  <c r="L15" i="246"/>
  <c r="K15" i="246"/>
  <c r="J15" i="246"/>
  <c r="I15" i="246"/>
  <c r="H15" i="246"/>
  <c r="G15" i="246"/>
  <c r="F15" i="246"/>
  <c r="E15" i="246"/>
  <c r="D15" i="246"/>
  <c r="C15" i="246"/>
  <c r="B15" i="246"/>
  <c r="A15" i="246"/>
  <c r="Y14" i="246"/>
  <c r="X14" i="246"/>
  <c r="W14" i="246"/>
  <c r="V14" i="246"/>
  <c r="U14" i="246"/>
  <c r="T14" i="246"/>
  <c r="S14" i="246"/>
  <c r="R14" i="246"/>
  <c r="Q14" i="246"/>
  <c r="P14" i="246"/>
  <c r="O14" i="246"/>
  <c r="N14" i="246"/>
  <c r="M14" i="246"/>
  <c r="L14" i="246"/>
  <c r="K14" i="246"/>
  <c r="J14" i="246"/>
  <c r="I14" i="246"/>
  <c r="H14" i="246"/>
  <c r="G14" i="246"/>
  <c r="F14" i="246"/>
  <c r="E14" i="246"/>
  <c r="D14" i="246"/>
  <c r="C14" i="246"/>
  <c r="B14" i="246"/>
  <c r="A14" i="246"/>
  <c r="Y13" i="246"/>
  <c r="X13" i="246"/>
  <c r="W13" i="246"/>
  <c r="V13" i="246"/>
  <c r="U13" i="246"/>
  <c r="T13" i="246"/>
  <c r="S13" i="246"/>
  <c r="R13" i="246"/>
  <c r="Q13" i="246"/>
  <c r="P13" i="246"/>
  <c r="O13" i="246"/>
  <c r="N13" i="246"/>
  <c r="M13" i="246"/>
  <c r="L13" i="246"/>
  <c r="K13" i="246"/>
  <c r="J13" i="246"/>
  <c r="I13" i="246"/>
  <c r="H13" i="246"/>
  <c r="G13" i="246"/>
  <c r="F13" i="246"/>
  <c r="E13" i="246"/>
  <c r="D13" i="246"/>
  <c r="C13" i="246"/>
  <c r="B13" i="246"/>
  <c r="A13" i="246"/>
  <c r="Y12" i="246"/>
  <c r="X12" i="246"/>
  <c r="W12" i="246"/>
  <c r="V12" i="246"/>
  <c r="U12" i="246"/>
  <c r="T12" i="246"/>
  <c r="S12" i="246"/>
  <c r="R12" i="246"/>
  <c r="Q12" i="246"/>
  <c r="P12" i="246"/>
  <c r="O12" i="246"/>
  <c r="N12" i="246"/>
  <c r="M12" i="246"/>
  <c r="L12" i="246"/>
  <c r="K12" i="246"/>
  <c r="J12" i="246"/>
  <c r="I12" i="246"/>
  <c r="H12" i="246"/>
  <c r="G12" i="246"/>
  <c r="F12" i="246"/>
  <c r="E12" i="246"/>
  <c r="D12" i="246"/>
  <c r="C12" i="246"/>
  <c r="B12" i="246"/>
  <c r="A12" i="246"/>
  <c r="Y11" i="246"/>
  <c r="X11" i="246"/>
  <c r="W11" i="246"/>
  <c r="V11" i="246"/>
  <c r="U11" i="246"/>
  <c r="T11" i="246"/>
  <c r="S11" i="246"/>
  <c r="R11" i="246"/>
  <c r="Q11" i="246"/>
  <c r="P11" i="246"/>
  <c r="O11" i="246"/>
  <c r="N11" i="246"/>
  <c r="M11" i="246"/>
  <c r="L11" i="246"/>
  <c r="K11" i="246"/>
  <c r="J11" i="246"/>
  <c r="I11" i="246"/>
  <c r="H11" i="246"/>
  <c r="G11" i="246"/>
  <c r="F11" i="246"/>
  <c r="E11" i="246"/>
  <c r="D11" i="246"/>
  <c r="C11" i="246"/>
  <c r="B11" i="246"/>
  <c r="A11" i="246"/>
  <c r="Y10" i="246"/>
  <c r="X10" i="246"/>
  <c r="W10" i="246"/>
  <c r="V10" i="246"/>
  <c r="U10" i="246"/>
  <c r="T10" i="246"/>
  <c r="S10" i="246"/>
  <c r="R10" i="246"/>
  <c r="Q10" i="246"/>
  <c r="P10" i="246"/>
  <c r="O10" i="246"/>
  <c r="N10" i="246"/>
  <c r="M10" i="246"/>
  <c r="L10" i="246"/>
  <c r="K10" i="246"/>
  <c r="J10" i="246"/>
  <c r="I10" i="246"/>
  <c r="H10" i="246"/>
  <c r="G10" i="246"/>
  <c r="F10" i="246"/>
  <c r="E10" i="246"/>
  <c r="D10" i="246"/>
  <c r="C10" i="246"/>
  <c r="B10" i="246"/>
  <c r="A10" i="246"/>
  <c r="Y9" i="246"/>
  <c r="X9" i="246"/>
  <c r="W9" i="246"/>
  <c r="V9" i="246"/>
  <c r="U9" i="246"/>
  <c r="T9" i="246"/>
  <c r="S9" i="246"/>
  <c r="R9" i="246"/>
  <c r="Q9" i="246"/>
  <c r="P9" i="246"/>
  <c r="O9" i="246"/>
  <c r="N9" i="246"/>
  <c r="M9" i="246"/>
  <c r="L9" i="246"/>
  <c r="K9" i="246"/>
  <c r="J9" i="246"/>
  <c r="I9" i="246"/>
  <c r="H9" i="246"/>
  <c r="G9" i="246"/>
  <c r="F9" i="246"/>
  <c r="E9" i="246"/>
  <c r="D9" i="246"/>
  <c r="C9" i="246"/>
  <c r="B9" i="246"/>
  <c r="A9" i="246"/>
  <c r="Y8" i="246"/>
  <c r="X8" i="246"/>
  <c r="W8" i="246"/>
  <c r="V8" i="246"/>
  <c r="U8" i="246"/>
  <c r="T8" i="246"/>
  <c r="S8" i="246"/>
  <c r="R8" i="246"/>
  <c r="Q8" i="246"/>
  <c r="P8" i="246"/>
  <c r="O8" i="246"/>
  <c r="N8" i="246"/>
  <c r="M8" i="246"/>
  <c r="L8" i="246"/>
  <c r="K8" i="246"/>
  <c r="J8" i="246"/>
  <c r="I8" i="246"/>
  <c r="H8" i="246"/>
  <c r="G8" i="246"/>
  <c r="F8" i="246"/>
  <c r="E8" i="246"/>
  <c r="D8" i="246"/>
  <c r="C8" i="246"/>
  <c r="B8" i="246"/>
  <c r="A8" i="246"/>
  <c r="Y7" i="246"/>
  <c r="X7" i="246"/>
  <c r="W7" i="246"/>
  <c r="V7" i="246"/>
  <c r="U7" i="246"/>
  <c r="T7" i="246"/>
  <c r="S7" i="246"/>
  <c r="R7" i="246"/>
  <c r="Q7" i="246"/>
  <c r="P7" i="246"/>
  <c r="O7" i="246"/>
  <c r="N7" i="246"/>
  <c r="M7" i="246"/>
  <c r="L7" i="246"/>
  <c r="K7" i="246"/>
  <c r="J7" i="246"/>
  <c r="I7" i="246"/>
  <c r="H7" i="246"/>
  <c r="G7" i="246"/>
  <c r="F7" i="246"/>
  <c r="E7" i="246"/>
  <c r="D7" i="246"/>
  <c r="C7" i="246"/>
  <c r="B7" i="246"/>
  <c r="A7" i="246"/>
  <c r="Y6" i="246"/>
  <c r="X6" i="246"/>
  <c r="W6" i="246"/>
  <c r="V6" i="246"/>
  <c r="U6" i="246"/>
  <c r="T6" i="246"/>
  <c r="S6" i="246"/>
  <c r="R6" i="246"/>
  <c r="Q6" i="246"/>
  <c r="P6" i="246"/>
  <c r="O6" i="246"/>
  <c r="N6" i="246"/>
  <c r="M6" i="246"/>
  <c r="L6" i="246"/>
  <c r="K6" i="246"/>
  <c r="J6" i="246"/>
  <c r="I6" i="246"/>
  <c r="H6" i="246"/>
  <c r="G6" i="246"/>
  <c r="F6" i="246"/>
  <c r="E6" i="246"/>
  <c r="D6" i="246"/>
  <c r="C6" i="246"/>
  <c r="B6" i="246"/>
  <c r="A6" i="246"/>
  <c r="Y5" i="246"/>
  <c r="X5" i="246"/>
  <c r="W5" i="246"/>
  <c r="V5" i="246"/>
  <c r="U5" i="246"/>
  <c r="T5" i="246"/>
  <c r="S5" i="246"/>
  <c r="R5" i="246"/>
  <c r="Q5" i="246"/>
  <c r="P5" i="246"/>
  <c r="O5" i="246"/>
  <c r="N5" i="246"/>
  <c r="M5" i="246"/>
  <c r="L5" i="246"/>
  <c r="K5" i="246"/>
  <c r="J5" i="246"/>
  <c r="I5" i="246"/>
  <c r="H5" i="246"/>
  <c r="G5" i="246"/>
  <c r="F5" i="246"/>
  <c r="E5" i="246"/>
  <c r="D5" i="246"/>
  <c r="C5" i="246"/>
  <c r="B5" i="246"/>
  <c r="A5" i="246"/>
  <c r="Y4" i="246"/>
  <c r="X4" i="246"/>
  <c r="W4" i="246"/>
  <c r="V4" i="246"/>
  <c r="U4" i="246"/>
  <c r="T4" i="246"/>
  <c r="S4" i="246"/>
  <c r="R4" i="246"/>
  <c r="Q4" i="246"/>
  <c r="P4" i="246"/>
  <c r="O4" i="246"/>
  <c r="N4" i="246"/>
  <c r="M4" i="246"/>
  <c r="L4" i="246"/>
  <c r="K4" i="246"/>
  <c r="J4" i="246"/>
  <c r="I4" i="246"/>
  <c r="H4" i="246"/>
  <c r="G4" i="246"/>
  <c r="F4" i="246"/>
  <c r="E4" i="246"/>
  <c r="D4" i="246"/>
  <c r="C4" i="246"/>
  <c r="B4" i="246"/>
  <c r="A4" i="246"/>
  <c r="Y3" i="246"/>
  <c r="X3" i="246"/>
  <c r="W3" i="246"/>
  <c r="V3" i="246"/>
  <c r="U3" i="246"/>
  <c r="T3" i="246"/>
  <c r="S3" i="246"/>
  <c r="R3" i="246"/>
  <c r="Q3" i="246"/>
  <c r="P3" i="246"/>
  <c r="O3" i="246"/>
  <c r="N3" i="246"/>
  <c r="M3" i="246"/>
  <c r="L3" i="246"/>
  <c r="K3" i="246"/>
  <c r="J3" i="246"/>
  <c r="I3" i="246"/>
  <c r="H3" i="246"/>
  <c r="G3" i="246"/>
  <c r="F3" i="246"/>
  <c r="E3" i="246"/>
  <c r="D3" i="246"/>
  <c r="C3" i="246"/>
  <c r="B3" i="246"/>
  <c r="A3" i="246"/>
  <c r="Y2" i="246"/>
  <c r="X2" i="246"/>
  <c r="W2" i="246"/>
  <c r="V2" i="246"/>
  <c r="U2" i="246"/>
  <c r="T2" i="246"/>
  <c r="S2" i="246"/>
  <c r="R2" i="246"/>
  <c r="Q2" i="246"/>
  <c r="P2" i="246"/>
  <c r="O2" i="246"/>
  <c r="N2" i="246"/>
  <c r="M2" i="246"/>
  <c r="L2" i="246"/>
  <c r="K2" i="246"/>
  <c r="J2" i="246"/>
  <c r="I2" i="246"/>
  <c r="H2" i="246"/>
  <c r="G2" i="246"/>
  <c r="F2" i="246"/>
  <c r="E2" i="246"/>
  <c r="D2" i="246"/>
  <c r="C2" i="246"/>
  <c r="B2" i="246"/>
  <c r="A2" i="246"/>
  <c r="Y1" i="246"/>
  <c r="X1" i="246"/>
  <c r="W1" i="246"/>
  <c r="V1" i="246"/>
  <c r="U1" i="246"/>
  <c r="T1" i="246"/>
  <c r="S1" i="246"/>
  <c r="R1" i="246"/>
  <c r="Q1" i="246"/>
  <c r="P1" i="246"/>
  <c r="O1" i="246"/>
  <c r="N1" i="246"/>
  <c r="M1" i="246"/>
  <c r="L1" i="246"/>
  <c r="K1" i="246"/>
  <c r="J1" i="246"/>
  <c r="I1" i="246"/>
  <c r="H1" i="246"/>
  <c r="G1" i="246"/>
  <c r="F1" i="246"/>
  <c r="E1" i="246"/>
  <c r="D1" i="246"/>
  <c r="C1" i="246"/>
  <c r="B1" i="246"/>
  <c r="A1" i="246"/>
  <c r="F7" i="263" l="1"/>
  <c r="B9" i="69"/>
  <c r="F5" i="263"/>
  <c r="B7" i="69" s="1"/>
  <c r="F6" i="263"/>
  <c r="B8" i="69" s="1"/>
  <c r="I22" i="263"/>
  <c r="D5" i="245"/>
  <c r="B13" i="254"/>
  <c r="C13" i="254" s="1"/>
  <c r="D13" i="254" s="1"/>
  <c r="E13" i="254" s="1"/>
  <c r="F13" i="254" s="1"/>
  <c r="G13" i="254" s="1"/>
  <c r="H13" i="254" s="1"/>
  <c r="I13" i="254" s="1"/>
  <c r="J13" i="254" s="1"/>
  <c r="K13" i="254" s="1"/>
  <c r="L13" i="254" s="1"/>
  <c r="M13" i="254" s="1"/>
  <c r="N13" i="254" s="1"/>
  <c r="O13" i="254" s="1"/>
  <c r="P13" i="254" s="1"/>
  <c r="Q13" i="254" s="1"/>
  <c r="R13" i="254" s="1"/>
  <c r="S13" i="254" s="1"/>
  <c r="T13" i="254" s="1"/>
  <c r="U13" i="254" s="1"/>
  <c r="V13" i="254" s="1"/>
  <c r="W13" i="254" s="1"/>
  <c r="X13" i="254" s="1"/>
  <c r="Y13" i="254" s="1"/>
  <c r="Z13" i="254" s="1"/>
  <c r="AA13" i="254" s="1"/>
  <c r="AB13" i="254" s="1"/>
  <c r="AC13" i="254" s="1"/>
  <c r="AD13" i="254" s="1"/>
  <c r="AE13" i="254" s="1"/>
  <c r="C4" i="254"/>
  <c r="C2" i="254"/>
  <c r="C14" i="257"/>
  <c r="D14" i="257" s="1"/>
  <c r="E14" i="257" s="1"/>
  <c r="F13" i="257"/>
  <c r="D13" i="257"/>
  <c r="B13" i="257"/>
  <c r="JY14" i="255"/>
  <c r="JZ14" i="255" s="1"/>
  <c r="KA14" i="255" s="1"/>
  <c r="KB14" i="255" s="1"/>
  <c r="KC14" i="255" s="1"/>
  <c r="KD14" i="255" s="1"/>
  <c r="KE14" i="255" s="1"/>
  <c r="KF14" i="255" s="1"/>
  <c r="KG14" i="255" s="1"/>
  <c r="KH14" i="255" s="1"/>
  <c r="KI14" i="255" s="1"/>
  <c r="KJ14" i="255" s="1"/>
  <c r="KK14" i="255" s="1"/>
  <c r="KL14" i="255" s="1"/>
  <c r="KM14" i="255" s="1"/>
  <c r="KN14" i="255" s="1"/>
  <c r="KO14" i="255" s="1"/>
  <c r="JF14" i="255"/>
  <c r="JG14" i="255" s="1"/>
  <c r="JH14" i="255" s="1"/>
  <c r="JI14" i="255" s="1"/>
  <c r="JJ14" i="255" s="1"/>
  <c r="JK14" i="255" s="1"/>
  <c r="JL14" i="255" s="1"/>
  <c r="JM14" i="255" s="1"/>
  <c r="JN14" i="255" s="1"/>
  <c r="JO14" i="255" s="1"/>
  <c r="JP14" i="255" s="1"/>
  <c r="JQ14" i="255" s="1"/>
  <c r="JR14" i="255" s="1"/>
  <c r="JS14" i="255" s="1"/>
  <c r="JT14" i="255" s="1"/>
  <c r="JU14" i="255" s="1"/>
  <c r="JV14" i="255" s="1"/>
  <c r="IM14" i="255"/>
  <c r="IN14" i="255" s="1"/>
  <c r="IO14" i="255" s="1"/>
  <c r="IP14" i="255" s="1"/>
  <c r="IQ14" i="255" s="1"/>
  <c r="IR14" i="255" s="1"/>
  <c r="IS14" i="255" s="1"/>
  <c r="IT14" i="255" s="1"/>
  <c r="IU14" i="255" s="1"/>
  <c r="IV14" i="255" s="1"/>
  <c r="IW14" i="255" s="1"/>
  <c r="IX14" i="255" s="1"/>
  <c r="IY14" i="255" s="1"/>
  <c r="IZ14" i="255" s="1"/>
  <c r="JA14" i="255" s="1"/>
  <c r="JB14" i="255" s="1"/>
  <c r="JC14" i="255" s="1"/>
  <c r="HT14" i="255"/>
  <c r="HU14" i="255" s="1"/>
  <c r="HV14" i="255" s="1"/>
  <c r="HW14" i="255" s="1"/>
  <c r="HX14" i="255" s="1"/>
  <c r="HY14" i="255" s="1"/>
  <c r="HZ14" i="255" s="1"/>
  <c r="IA14" i="255" s="1"/>
  <c r="IB14" i="255" s="1"/>
  <c r="IC14" i="255" s="1"/>
  <c r="ID14" i="255" s="1"/>
  <c r="IE14" i="255" s="1"/>
  <c r="IF14" i="255" s="1"/>
  <c r="IG14" i="255" s="1"/>
  <c r="IH14" i="255" s="1"/>
  <c r="II14" i="255" s="1"/>
  <c r="IJ14" i="255" s="1"/>
  <c r="HA14" i="255"/>
  <c r="HB14" i="255" s="1"/>
  <c r="HC14" i="255" s="1"/>
  <c r="HD14" i="255" s="1"/>
  <c r="HE14" i="255" s="1"/>
  <c r="HF14" i="255" s="1"/>
  <c r="HG14" i="255" s="1"/>
  <c r="HH14" i="255" s="1"/>
  <c r="HI14" i="255" s="1"/>
  <c r="HJ14" i="255" s="1"/>
  <c r="HK14" i="255" s="1"/>
  <c r="HL14" i="255" s="1"/>
  <c r="HM14" i="255" s="1"/>
  <c r="HN14" i="255" s="1"/>
  <c r="HO14" i="255" s="1"/>
  <c r="HP14" i="255" s="1"/>
  <c r="HQ14" i="255" s="1"/>
  <c r="GH14" i="255"/>
  <c r="GI14" i="255" s="1"/>
  <c r="GJ14" i="255" s="1"/>
  <c r="GK14" i="255" s="1"/>
  <c r="GL14" i="255" s="1"/>
  <c r="GM14" i="255" s="1"/>
  <c r="GN14" i="255" s="1"/>
  <c r="GO14" i="255" s="1"/>
  <c r="GP14" i="255" s="1"/>
  <c r="GQ14" i="255" s="1"/>
  <c r="GR14" i="255" s="1"/>
  <c r="GS14" i="255" s="1"/>
  <c r="GT14" i="255" s="1"/>
  <c r="GU14" i="255" s="1"/>
  <c r="GV14" i="255" s="1"/>
  <c r="GW14" i="255" s="1"/>
  <c r="GX14" i="255" s="1"/>
  <c r="FO14" i="255"/>
  <c r="FP14" i="255" s="1"/>
  <c r="FQ14" i="255" s="1"/>
  <c r="FR14" i="255" s="1"/>
  <c r="FS14" i="255" s="1"/>
  <c r="FT14" i="255" s="1"/>
  <c r="FU14" i="255" s="1"/>
  <c r="FV14" i="255" s="1"/>
  <c r="FW14" i="255" s="1"/>
  <c r="FX14" i="255" s="1"/>
  <c r="FY14" i="255" s="1"/>
  <c r="FZ14" i="255" s="1"/>
  <c r="GA14" i="255" s="1"/>
  <c r="GB14" i="255" s="1"/>
  <c r="GC14" i="255" s="1"/>
  <c r="GD14" i="255" s="1"/>
  <c r="GE14" i="255" s="1"/>
  <c r="EV14" i="255"/>
  <c r="EW14" i="255" s="1"/>
  <c r="EX14" i="255" s="1"/>
  <c r="EY14" i="255" s="1"/>
  <c r="EZ14" i="255" s="1"/>
  <c r="FA14" i="255" s="1"/>
  <c r="FB14" i="255" s="1"/>
  <c r="FC14" i="255" s="1"/>
  <c r="FD14" i="255" s="1"/>
  <c r="FE14" i="255" s="1"/>
  <c r="FF14" i="255" s="1"/>
  <c r="FG14" i="255" s="1"/>
  <c r="FH14" i="255" s="1"/>
  <c r="FI14" i="255" s="1"/>
  <c r="FJ14" i="255" s="1"/>
  <c r="FK14" i="255" s="1"/>
  <c r="FL14" i="255" s="1"/>
  <c r="EC14" i="255"/>
  <c r="ED14" i="255" s="1"/>
  <c r="EE14" i="255" s="1"/>
  <c r="EF14" i="255" s="1"/>
  <c r="EG14" i="255" s="1"/>
  <c r="EH14" i="255" s="1"/>
  <c r="EI14" i="255" s="1"/>
  <c r="EJ14" i="255" s="1"/>
  <c r="EK14" i="255" s="1"/>
  <c r="EL14" i="255" s="1"/>
  <c r="EM14" i="255" s="1"/>
  <c r="EN14" i="255" s="1"/>
  <c r="EO14" i="255" s="1"/>
  <c r="EP14" i="255" s="1"/>
  <c r="EQ14" i="255" s="1"/>
  <c r="ER14" i="255" s="1"/>
  <c r="ES14" i="255" s="1"/>
  <c r="DJ14" i="255"/>
  <c r="DK14" i="255" s="1"/>
  <c r="DL14" i="255" s="1"/>
  <c r="DM14" i="255" s="1"/>
  <c r="DN14" i="255" s="1"/>
  <c r="DO14" i="255" s="1"/>
  <c r="DP14" i="255" s="1"/>
  <c r="DQ14" i="255" s="1"/>
  <c r="DR14" i="255" s="1"/>
  <c r="DS14" i="255" s="1"/>
  <c r="DT14" i="255" s="1"/>
  <c r="DU14" i="255" s="1"/>
  <c r="DV14" i="255" s="1"/>
  <c r="DW14" i="255" s="1"/>
  <c r="DX14" i="255" s="1"/>
  <c r="DY14" i="255" s="1"/>
  <c r="DZ14" i="255" s="1"/>
  <c r="CQ14" i="255"/>
  <c r="CR14" i="255" s="1"/>
  <c r="CS14" i="255" s="1"/>
  <c r="CT14" i="255" s="1"/>
  <c r="CU14" i="255" s="1"/>
  <c r="CV14" i="255" s="1"/>
  <c r="CW14" i="255" s="1"/>
  <c r="CX14" i="255" s="1"/>
  <c r="CY14" i="255" s="1"/>
  <c r="CZ14" i="255" s="1"/>
  <c r="DA14" i="255" s="1"/>
  <c r="DB14" i="255" s="1"/>
  <c r="DC14" i="255" s="1"/>
  <c r="DD14" i="255" s="1"/>
  <c r="DE14" i="255" s="1"/>
  <c r="DF14" i="255" s="1"/>
  <c r="DG14" i="255" s="1"/>
  <c r="BX14" i="255"/>
  <c r="BY14" i="255" s="1"/>
  <c r="BZ14" i="255" s="1"/>
  <c r="CA14" i="255" s="1"/>
  <c r="CB14" i="255" s="1"/>
  <c r="CC14" i="255" s="1"/>
  <c r="CD14" i="255" s="1"/>
  <c r="CE14" i="255" s="1"/>
  <c r="CF14" i="255" s="1"/>
  <c r="CG14" i="255" s="1"/>
  <c r="CH14" i="255" s="1"/>
  <c r="CI14" i="255" s="1"/>
  <c r="CJ14" i="255" s="1"/>
  <c r="CK14" i="255" s="1"/>
  <c r="CL14" i="255" s="1"/>
  <c r="CM14" i="255" s="1"/>
  <c r="CN14" i="255" s="1"/>
  <c r="BE14" i="255"/>
  <c r="BF14" i="255" s="1"/>
  <c r="BG14" i="255" s="1"/>
  <c r="BH14" i="255" s="1"/>
  <c r="BI14" i="255" s="1"/>
  <c r="BJ14" i="255" s="1"/>
  <c r="BK14" i="255" s="1"/>
  <c r="BL14" i="255" s="1"/>
  <c r="BM14" i="255" s="1"/>
  <c r="BN14" i="255" s="1"/>
  <c r="BO14" i="255" s="1"/>
  <c r="BP14" i="255" s="1"/>
  <c r="BQ14" i="255" s="1"/>
  <c r="BR14" i="255" s="1"/>
  <c r="BS14" i="255" s="1"/>
  <c r="BT14" i="255" s="1"/>
  <c r="BU14" i="255" s="1"/>
  <c r="AL14" i="255"/>
  <c r="AM14" i="255" s="1"/>
  <c r="AN14" i="255" s="1"/>
  <c r="AO14" i="255" s="1"/>
  <c r="AP14" i="255" s="1"/>
  <c r="AQ14" i="255" s="1"/>
  <c r="AR14" i="255" s="1"/>
  <c r="AS14" i="255" s="1"/>
  <c r="AT14" i="255" s="1"/>
  <c r="AU14" i="255" s="1"/>
  <c r="AV14" i="255" s="1"/>
  <c r="AW14" i="255" s="1"/>
  <c r="AX14" i="255" s="1"/>
  <c r="AY14" i="255" s="1"/>
  <c r="AZ14" i="255" s="1"/>
  <c r="BA14" i="255" s="1"/>
  <c r="BB14" i="255" s="1"/>
  <c r="B13" i="255"/>
  <c r="C13" i="255" s="1"/>
  <c r="D13" i="255" s="1"/>
  <c r="E13" i="255" s="1"/>
  <c r="F13" i="255" s="1"/>
  <c r="G13" i="255" s="1"/>
  <c r="H13" i="255" s="1"/>
  <c r="I13" i="255" s="1"/>
  <c r="J13" i="255" s="1"/>
  <c r="K13" i="255" s="1"/>
  <c r="L13" i="255" s="1"/>
  <c r="M13" i="255" s="1"/>
  <c r="N13" i="255" s="1"/>
  <c r="O13" i="255" s="1"/>
  <c r="P13" i="255" s="1"/>
  <c r="Q13" i="255" s="1"/>
  <c r="R13" i="255" s="1"/>
  <c r="S13" i="255" s="1"/>
  <c r="T13" i="255" s="1"/>
  <c r="U13" i="255" s="1"/>
  <c r="V13" i="255" s="1"/>
  <c r="W13" i="255" s="1"/>
  <c r="X13" i="255" s="1"/>
  <c r="Y13" i="255" s="1"/>
  <c r="Z13" i="255" s="1"/>
  <c r="AA13" i="255" s="1"/>
  <c r="AB13" i="255" s="1"/>
  <c r="AC13" i="255" s="1"/>
  <c r="AD13" i="255" s="1"/>
  <c r="AE13" i="255" s="1"/>
  <c r="AF13" i="255" s="1"/>
  <c r="AG13" i="255" s="1"/>
  <c r="AH13" i="255" s="1"/>
  <c r="AI13" i="255" s="1"/>
  <c r="AJ13" i="255" s="1"/>
  <c r="AK13" i="255" s="1"/>
  <c r="AL13" i="255" s="1"/>
  <c r="AM13" i="255" s="1"/>
  <c r="AN13" i="255" s="1"/>
  <c r="AO13" i="255" s="1"/>
  <c r="AP13" i="255" s="1"/>
  <c r="AQ13" i="255" s="1"/>
  <c r="AR13" i="255" s="1"/>
  <c r="AS13" i="255" s="1"/>
  <c r="AT13" i="255" s="1"/>
  <c r="AU13" i="255" s="1"/>
  <c r="AV13" i="255" s="1"/>
  <c r="AW13" i="255" s="1"/>
  <c r="AX13" i="255" s="1"/>
  <c r="AY13" i="255" s="1"/>
  <c r="AZ13" i="255" s="1"/>
  <c r="BA13" i="255" s="1"/>
  <c r="BB13" i="255" s="1"/>
  <c r="BC13" i="255" s="1"/>
  <c r="BD13" i="255" s="1"/>
  <c r="BE13" i="255" s="1"/>
  <c r="BF13" i="255" s="1"/>
  <c r="BG13" i="255" s="1"/>
  <c r="BH13" i="255" s="1"/>
  <c r="BI13" i="255" s="1"/>
  <c r="BJ13" i="255" s="1"/>
  <c r="BK13" i="255" s="1"/>
  <c r="BL13" i="255" s="1"/>
  <c r="BM13" i="255" s="1"/>
  <c r="BN13" i="255" s="1"/>
  <c r="BO13" i="255" s="1"/>
  <c r="BP13" i="255" s="1"/>
  <c r="BQ13" i="255" s="1"/>
  <c r="BR13" i="255" s="1"/>
  <c r="BS13" i="255" s="1"/>
  <c r="BT13" i="255" s="1"/>
  <c r="BU13" i="255" s="1"/>
  <c r="BV13" i="255" s="1"/>
  <c r="BW13" i="255" s="1"/>
  <c r="BX13" i="255" s="1"/>
  <c r="BY13" i="255" s="1"/>
  <c r="BZ13" i="255" s="1"/>
  <c r="CA13" i="255" s="1"/>
  <c r="CB13" i="255" s="1"/>
  <c r="CC13" i="255" s="1"/>
  <c r="CD13" i="255" s="1"/>
  <c r="CE13" i="255" s="1"/>
  <c r="CF13" i="255" s="1"/>
  <c r="CG13" i="255" s="1"/>
  <c r="CH13" i="255" s="1"/>
  <c r="CI13" i="255" s="1"/>
  <c r="CJ13" i="255" s="1"/>
  <c r="CK13" i="255" s="1"/>
  <c r="CL13" i="255" s="1"/>
  <c r="CM13" i="255" s="1"/>
  <c r="CN13" i="255" s="1"/>
  <c r="CO13" i="255" s="1"/>
  <c r="CP13" i="255" s="1"/>
  <c r="CQ13" i="255" s="1"/>
  <c r="CR13" i="255" s="1"/>
  <c r="CS13" i="255" s="1"/>
  <c r="CT13" i="255" s="1"/>
  <c r="CU13" i="255" s="1"/>
  <c r="CV13" i="255" s="1"/>
  <c r="CW13" i="255" s="1"/>
  <c r="CX13" i="255" s="1"/>
  <c r="CY13" i="255" s="1"/>
  <c r="CZ13" i="255" s="1"/>
  <c r="DA13" i="255" s="1"/>
  <c r="DB13" i="255" s="1"/>
  <c r="DC13" i="255" s="1"/>
  <c r="DD13" i="255" s="1"/>
  <c r="DE13" i="255" s="1"/>
  <c r="DF13" i="255" s="1"/>
  <c r="DG13" i="255" s="1"/>
  <c r="DH13" i="255" s="1"/>
  <c r="DI13" i="255" s="1"/>
  <c r="DJ13" i="255" s="1"/>
  <c r="DK13" i="255" s="1"/>
  <c r="DL13" i="255" s="1"/>
  <c r="DM13" i="255" s="1"/>
  <c r="DN13" i="255" s="1"/>
  <c r="DO13" i="255" s="1"/>
  <c r="DP13" i="255" s="1"/>
  <c r="DQ13" i="255" s="1"/>
  <c r="DR13" i="255" s="1"/>
  <c r="DS13" i="255" s="1"/>
  <c r="DT13" i="255" s="1"/>
  <c r="DU13" i="255" s="1"/>
  <c r="DV13" i="255" s="1"/>
  <c r="DW13" i="255" s="1"/>
  <c r="DX13" i="255" s="1"/>
  <c r="DY13" i="255" s="1"/>
  <c r="DZ13" i="255" s="1"/>
  <c r="EA13" i="255" s="1"/>
  <c r="EB13" i="255" s="1"/>
  <c r="EC13" i="255" s="1"/>
  <c r="ED13" i="255" s="1"/>
  <c r="EE13" i="255" s="1"/>
  <c r="EF13" i="255" s="1"/>
  <c r="EG13" i="255" s="1"/>
  <c r="EH13" i="255" s="1"/>
  <c r="EI13" i="255" s="1"/>
  <c r="EJ13" i="255" s="1"/>
  <c r="EK13" i="255" s="1"/>
  <c r="EL13" i="255" s="1"/>
  <c r="EM13" i="255" s="1"/>
  <c r="EN13" i="255" s="1"/>
  <c r="EO13" i="255" s="1"/>
  <c r="EP13" i="255" s="1"/>
  <c r="EQ13" i="255" s="1"/>
  <c r="ER13" i="255" s="1"/>
  <c r="ES13" i="255" s="1"/>
  <c r="ET13" i="255" s="1"/>
  <c r="EU13" i="255" s="1"/>
  <c r="EV13" i="255" s="1"/>
  <c r="EW13" i="255" s="1"/>
  <c r="EX13" i="255" s="1"/>
  <c r="EY13" i="255" s="1"/>
  <c r="EZ13" i="255" s="1"/>
  <c r="FA13" i="255" s="1"/>
  <c r="FB13" i="255" s="1"/>
  <c r="FC13" i="255" s="1"/>
  <c r="FD13" i="255" s="1"/>
  <c r="FE13" i="255" s="1"/>
  <c r="FF13" i="255" s="1"/>
  <c r="FG13" i="255" s="1"/>
  <c r="FH13" i="255" s="1"/>
  <c r="FI13" i="255" s="1"/>
  <c r="FJ13" i="255" s="1"/>
  <c r="FK13" i="255" s="1"/>
  <c r="FL13" i="255" s="1"/>
  <c r="FM13" i="255" s="1"/>
  <c r="FN13" i="255" s="1"/>
  <c r="FO13" i="255" s="1"/>
  <c r="FP13" i="255" s="1"/>
  <c r="FQ13" i="255" s="1"/>
  <c r="FR13" i="255" s="1"/>
  <c r="FS13" i="255" s="1"/>
  <c r="FT13" i="255" s="1"/>
  <c r="FU13" i="255" s="1"/>
  <c r="FV13" i="255" s="1"/>
  <c r="FW13" i="255" s="1"/>
  <c r="FX13" i="255" s="1"/>
  <c r="FY13" i="255" s="1"/>
  <c r="FZ13" i="255" s="1"/>
  <c r="GA13" i="255" s="1"/>
  <c r="GB13" i="255" s="1"/>
  <c r="GC13" i="255" s="1"/>
  <c r="GD13" i="255" s="1"/>
  <c r="GE13" i="255" s="1"/>
  <c r="GF13" i="255" s="1"/>
  <c r="GG13" i="255" s="1"/>
  <c r="GH13" i="255" s="1"/>
  <c r="GI13" i="255" s="1"/>
  <c r="GJ13" i="255" s="1"/>
  <c r="GK13" i="255" s="1"/>
  <c r="GL13" i="255" s="1"/>
  <c r="GM13" i="255" s="1"/>
  <c r="GN13" i="255" s="1"/>
  <c r="GO13" i="255" s="1"/>
  <c r="GP13" i="255" s="1"/>
  <c r="GQ13" i="255" s="1"/>
  <c r="GR13" i="255" s="1"/>
  <c r="GS13" i="255" s="1"/>
  <c r="GT13" i="255" s="1"/>
  <c r="GU13" i="255" s="1"/>
  <c r="GV13" i="255" s="1"/>
  <c r="GW13" i="255" s="1"/>
  <c r="GX13" i="255" s="1"/>
  <c r="GY13" i="255" s="1"/>
  <c r="GZ13" i="255" s="1"/>
  <c r="HA13" i="255" s="1"/>
  <c r="HB13" i="255" s="1"/>
  <c r="HC13" i="255" s="1"/>
  <c r="HD13" i="255" s="1"/>
  <c r="HE13" i="255" s="1"/>
  <c r="HF13" i="255" s="1"/>
  <c r="HG13" i="255" s="1"/>
  <c r="HH13" i="255" s="1"/>
  <c r="HI13" i="255" s="1"/>
  <c r="HJ13" i="255" s="1"/>
  <c r="HK13" i="255" s="1"/>
  <c r="HL13" i="255" s="1"/>
  <c r="HM13" i="255" s="1"/>
  <c r="HN13" i="255" s="1"/>
  <c r="HO13" i="255" s="1"/>
  <c r="HP13" i="255" s="1"/>
  <c r="HQ13" i="255" s="1"/>
  <c r="HR13" i="255" s="1"/>
  <c r="HS13" i="255" s="1"/>
  <c r="HT13" i="255" s="1"/>
  <c r="HU13" i="255" s="1"/>
  <c r="HV13" i="255" s="1"/>
  <c r="HW13" i="255" s="1"/>
  <c r="HX13" i="255" s="1"/>
  <c r="HY13" i="255" s="1"/>
  <c r="HZ13" i="255" s="1"/>
  <c r="IA13" i="255" s="1"/>
  <c r="IB13" i="255" s="1"/>
  <c r="IC13" i="255" s="1"/>
  <c r="ID13" i="255" s="1"/>
  <c r="IE13" i="255" s="1"/>
  <c r="IF13" i="255" s="1"/>
  <c r="IG13" i="255" s="1"/>
  <c r="IH13" i="255" s="1"/>
  <c r="II13" i="255" s="1"/>
  <c r="IJ13" i="255" s="1"/>
  <c r="IK13" i="255" s="1"/>
  <c r="IL13" i="255" s="1"/>
  <c r="IM13" i="255" s="1"/>
  <c r="IN13" i="255" s="1"/>
  <c r="IO13" i="255" s="1"/>
  <c r="IP13" i="255" s="1"/>
  <c r="IQ13" i="255" s="1"/>
  <c r="IR13" i="255" s="1"/>
  <c r="IS13" i="255" s="1"/>
  <c r="IT13" i="255" s="1"/>
  <c r="IU13" i="255" s="1"/>
  <c r="IV13" i="255" s="1"/>
  <c r="IW13" i="255" s="1"/>
  <c r="IX13" i="255" s="1"/>
  <c r="IY13" i="255" s="1"/>
  <c r="IZ13" i="255" s="1"/>
  <c r="JA13" i="255" s="1"/>
  <c r="JB13" i="255" s="1"/>
  <c r="JC13" i="255" s="1"/>
  <c r="JD13" i="255" s="1"/>
  <c r="JE13" i="255" s="1"/>
  <c r="JF13" i="255" s="1"/>
  <c r="JG13" i="255" s="1"/>
  <c r="JH13" i="255" s="1"/>
  <c r="JI13" i="255" s="1"/>
  <c r="JJ13" i="255" s="1"/>
  <c r="JK13" i="255" s="1"/>
  <c r="JL13" i="255" s="1"/>
  <c r="JM13" i="255" s="1"/>
  <c r="JN13" i="255" s="1"/>
  <c r="JO13" i="255" s="1"/>
  <c r="JP13" i="255" s="1"/>
  <c r="JQ13" i="255" s="1"/>
  <c r="JR13" i="255" s="1"/>
  <c r="JS13" i="255" s="1"/>
  <c r="JT13" i="255" s="1"/>
  <c r="JU13" i="255" s="1"/>
  <c r="JV13" i="255" s="1"/>
  <c r="JW13" i="255" s="1"/>
  <c r="JX13" i="255" s="1"/>
  <c r="JY13" i="255" s="1"/>
  <c r="JZ13" i="255" s="1"/>
  <c r="KA13" i="255" s="1"/>
  <c r="KB13" i="255" s="1"/>
  <c r="KC13" i="255" s="1"/>
  <c r="KD13" i="255" s="1"/>
  <c r="KE13" i="255" s="1"/>
  <c r="KF13" i="255" s="1"/>
  <c r="KG13" i="255" s="1"/>
  <c r="KH13" i="255" s="1"/>
  <c r="KI13" i="255" s="1"/>
  <c r="KJ13" i="255" s="1"/>
  <c r="KK13" i="255" s="1"/>
  <c r="KL13" i="255" s="1"/>
  <c r="KM13" i="255" s="1"/>
  <c r="KN13" i="255" s="1"/>
  <c r="KO13" i="255" s="1"/>
  <c r="H15" i="263" l="1"/>
  <c r="J11" i="263"/>
  <c r="M11" i="263" s="1"/>
  <c r="H38" i="263" s="1"/>
  <c r="D11" i="263" s="1"/>
  <c r="B12" i="69" s="1"/>
  <c r="F14" i="257"/>
  <c r="G14" i="257" s="1"/>
  <c r="H14" i="257" s="1"/>
  <c r="I14" i="257" s="1"/>
  <c r="J14" i="257" s="1"/>
  <c r="K14" i="257" s="1"/>
  <c r="L14" i="257" s="1"/>
  <c r="M14" i="257" s="1"/>
  <c r="N14" i="257" s="1"/>
  <c r="O14" i="257" s="1"/>
  <c r="P14" i="257" s="1"/>
  <c r="Q14" i="257" s="1"/>
  <c r="R14" i="257" s="1"/>
  <c r="S14" i="257" s="1"/>
  <c r="T14" i="257" s="1"/>
  <c r="U14" i="257" s="1"/>
  <c r="V14" i="257" s="1"/>
  <c r="W14" i="257" s="1"/>
  <c r="X14" i="257" s="1"/>
  <c r="Y14" i="257" s="1"/>
  <c r="B3" i="257"/>
  <c r="H16" i="263" l="1"/>
  <c r="H39" i="263" s="1"/>
  <c r="J6" i="263"/>
  <c r="M6" i="263" s="1"/>
  <c r="K38" i="263" s="1"/>
  <c r="D10" i="263" s="1"/>
  <c r="B1" i="257"/>
  <c r="A14" i="257"/>
  <c r="C2" i="261" l="1"/>
  <c r="C2" i="142"/>
  <c r="C2" i="259"/>
  <c r="C2" i="260"/>
  <c r="C2" i="253"/>
  <c r="U74" i="69" l="1"/>
  <c r="U73" i="69"/>
  <c r="U72" i="69"/>
  <c r="U71" i="69"/>
  <c r="U70" i="69"/>
  <c r="U69" i="69"/>
  <c r="U68" i="69"/>
  <c r="U67" i="69"/>
  <c r="U66" i="69"/>
  <c r="U65" i="69"/>
  <c r="U64" i="69"/>
  <c r="U63" i="69"/>
  <c r="U62" i="69"/>
  <c r="U61" i="69"/>
  <c r="U60" i="69"/>
  <c r="U59" i="69"/>
  <c r="U58" i="69"/>
  <c r="U57" i="69"/>
  <c r="U56" i="69"/>
  <c r="U55" i="69"/>
  <c r="U54" i="69"/>
  <c r="U53" i="69"/>
  <c r="U52" i="69"/>
  <c r="U51" i="69"/>
  <c r="U50" i="69"/>
  <c r="U49" i="69"/>
  <c r="U48" i="69"/>
  <c r="U47" i="69"/>
  <c r="U46" i="69"/>
  <c r="U45" i="69"/>
  <c r="U44" i="69"/>
  <c r="K74" i="69"/>
  <c r="K73" i="69"/>
  <c r="K72" i="69"/>
  <c r="K71" i="69"/>
  <c r="K70" i="69"/>
  <c r="K69" i="69"/>
  <c r="K68" i="69"/>
  <c r="K67" i="69"/>
  <c r="K66" i="69"/>
  <c r="K65" i="69"/>
  <c r="K64" i="69"/>
  <c r="K63" i="69"/>
  <c r="K62" i="69"/>
  <c r="K61" i="69"/>
  <c r="K60" i="69"/>
  <c r="K59" i="69"/>
  <c r="K58" i="69"/>
  <c r="K57" i="69"/>
  <c r="K56" i="69"/>
  <c r="K55" i="69"/>
  <c r="K54" i="69"/>
  <c r="K53" i="69"/>
  <c r="K52" i="69"/>
  <c r="K51" i="69"/>
  <c r="K50" i="69"/>
  <c r="K49" i="69"/>
  <c r="K48" i="69"/>
  <c r="K47" i="69"/>
  <c r="K46" i="69"/>
  <c r="K45" i="69"/>
  <c r="K44" i="69"/>
  <c r="K65" i="261" l="1"/>
  <c r="G65" i="261"/>
  <c r="B63" i="261"/>
  <c r="N57" i="261"/>
  <c r="M57" i="261"/>
  <c r="N47" i="261"/>
  <c r="M47" i="261"/>
  <c r="M37" i="261"/>
  <c r="C26" i="69" l="1"/>
  <c r="J84" i="260"/>
  <c r="I84" i="260"/>
  <c r="H84" i="260"/>
  <c r="G84" i="260"/>
  <c r="F84" i="260"/>
  <c r="E84" i="260"/>
  <c r="D84" i="260"/>
  <c r="J83" i="260"/>
  <c r="I83" i="260"/>
  <c r="H83" i="260"/>
  <c r="G83" i="260"/>
  <c r="F83" i="260"/>
  <c r="E83" i="260"/>
  <c r="D83" i="260"/>
  <c r="J82" i="260"/>
  <c r="I82" i="260"/>
  <c r="H82" i="260"/>
  <c r="G82" i="260"/>
  <c r="F82" i="260"/>
  <c r="E82" i="260"/>
  <c r="D82" i="260"/>
  <c r="J81" i="260"/>
  <c r="I81" i="260"/>
  <c r="H81" i="260"/>
  <c r="G81" i="260"/>
  <c r="F81" i="260"/>
  <c r="E81" i="260"/>
  <c r="D81" i="260"/>
  <c r="J80" i="260"/>
  <c r="I80" i="260"/>
  <c r="H80" i="260"/>
  <c r="G80" i="260"/>
  <c r="F80" i="260"/>
  <c r="E80" i="260"/>
  <c r="D80" i="260"/>
  <c r="C74" i="260"/>
  <c r="J74" i="260" s="1"/>
  <c r="A71" i="260"/>
  <c r="C65" i="260"/>
  <c r="B48" i="260"/>
  <c r="AB25" i="223" l="1"/>
  <c r="S31" i="223" s="1"/>
  <c r="AB23" i="223"/>
  <c r="S21" i="223" s="1"/>
  <c r="D74" i="260"/>
  <c r="H74" i="260"/>
  <c r="G74" i="260"/>
  <c r="E74" i="260"/>
  <c r="I74" i="260"/>
  <c r="F74" i="260"/>
  <c r="J84" i="259"/>
  <c r="I84" i="259"/>
  <c r="H84" i="259"/>
  <c r="G84" i="259"/>
  <c r="F84" i="259"/>
  <c r="E84" i="259"/>
  <c r="D84" i="259"/>
  <c r="J83" i="259"/>
  <c r="I83" i="259"/>
  <c r="H83" i="259"/>
  <c r="G83" i="259"/>
  <c r="F83" i="259"/>
  <c r="E83" i="259"/>
  <c r="D83" i="259"/>
  <c r="J82" i="259"/>
  <c r="I82" i="259"/>
  <c r="H82" i="259"/>
  <c r="G82" i="259"/>
  <c r="F82" i="259"/>
  <c r="E82" i="259"/>
  <c r="D82" i="259"/>
  <c r="J81" i="259"/>
  <c r="I81" i="259"/>
  <c r="H81" i="259"/>
  <c r="G81" i="259"/>
  <c r="F81" i="259"/>
  <c r="E81" i="259"/>
  <c r="D81" i="259"/>
  <c r="J80" i="259"/>
  <c r="I80" i="259"/>
  <c r="H80" i="259"/>
  <c r="G80" i="259"/>
  <c r="F80" i="259"/>
  <c r="E80" i="259"/>
  <c r="D80" i="259"/>
  <c r="C74" i="259"/>
  <c r="G74" i="259" s="1"/>
  <c r="A71" i="259"/>
  <c r="C65" i="259"/>
  <c r="B48" i="259"/>
  <c r="H74" i="259" l="1"/>
  <c r="D74" i="259"/>
  <c r="E74" i="259"/>
  <c r="I74" i="259"/>
  <c r="F74" i="259"/>
  <c r="J74" i="259"/>
  <c r="G27" i="2"/>
  <c r="D27" i="2"/>
  <c r="G26" i="2"/>
  <c r="G25" i="2"/>
  <c r="G24" i="2"/>
  <c r="G23" i="2"/>
  <c r="G22" i="2"/>
  <c r="G21" i="2"/>
  <c r="G20" i="2"/>
  <c r="G19" i="2"/>
  <c r="C27" i="2"/>
  <c r="D26" i="2"/>
  <c r="C26" i="2"/>
  <c r="D25" i="2"/>
  <c r="C25" i="2"/>
  <c r="D24" i="2"/>
  <c r="C24" i="2"/>
  <c r="D23" i="2"/>
  <c r="C23" i="2"/>
  <c r="L2" i="261" l="1"/>
  <c r="L2" i="259"/>
  <c r="L2" i="253"/>
  <c r="L2" i="142"/>
  <c r="L2" i="260"/>
  <c r="C1" i="259"/>
  <c r="C1" i="142"/>
  <c r="C1" i="261"/>
  <c r="C1" i="253"/>
  <c r="C1" i="260"/>
  <c r="A300" i="134"/>
  <c r="D300" i="134" s="1"/>
  <c r="A299" i="134"/>
  <c r="D299" i="134" s="1"/>
  <c r="A298" i="134"/>
  <c r="D298" i="134" s="1"/>
  <c r="A297" i="134"/>
  <c r="D297" i="134" s="1"/>
  <c r="A296" i="134"/>
  <c r="D296" i="134" s="1"/>
  <c r="A295" i="134"/>
  <c r="D295" i="134" s="1"/>
  <c r="A294" i="134"/>
  <c r="D294" i="134" s="1"/>
  <c r="A293" i="134"/>
  <c r="D293" i="134" s="1"/>
  <c r="A292" i="134"/>
  <c r="D292" i="134" s="1"/>
  <c r="A291" i="134"/>
  <c r="D291" i="134" s="1"/>
  <c r="A290" i="134"/>
  <c r="D290" i="134" s="1"/>
  <c r="A289" i="134"/>
  <c r="D289" i="134" s="1"/>
  <c r="A288" i="134"/>
  <c r="D288" i="134" s="1"/>
  <c r="A287" i="134"/>
  <c r="D287" i="134" s="1"/>
  <c r="A286" i="134"/>
  <c r="D286" i="134" s="1"/>
  <c r="A285" i="134"/>
  <c r="D285" i="134" s="1"/>
  <c r="A284" i="134"/>
  <c r="D284" i="134" s="1"/>
  <c r="A283" i="134"/>
  <c r="D283" i="134" s="1"/>
  <c r="A282" i="134"/>
  <c r="D282" i="134" s="1"/>
  <c r="A281" i="134"/>
  <c r="D281" i="134" s="1"/>
  <c r="A280" i="134"/>
  <c r="D280" i="134" s="1"/>
  <c r="A279" i="134"/>
  <c r="D279" i="134" s="1"/>
  <c r="A278" i="134"/>
  <c r="D278" i="134" s="1"/>
  <c r="A277" i="134"/>
  <c r="D277" i="134" s="1"/>
  <c r="A276" i="134"/>
  <c r="D276" i="134" s="1"/>
  <c r="A275" i="134"/>
  <c r="D275" i="134" s="1"/>
  <c r="A274" i="134"/>
  <c r="D274" i="134" s="1"/>
  <c r="A273" i="134"/>
  <c r="D273" i="134" s="1"/>
  <c r="A272" i="134"/>
  <c r="D272" i="134" s="1"/>
  <c r="A271" i="134"/>
  <c r="D271" i="134" s="1"/>
  <c r="A270" i="134"/>
  <c r="D270" i="134" s="1"/>
  <c r="A269" i="134"/>
  <c r="D269" i="134" s="1"/>
  <c r="A268" i="134"/>
  <c r="D268" i="134" s="1"/>
  <c r="A267" i="134"/>
  <c r="D267" i="134" s="1"/>
  <c r="A266" i="134"/>
  <c r="D266" i="134" s="1"/>
  <c r="A265" i="134"/>
  <c r="D265" i="134" s="1"/>
  <c r="A264" i="134"/>
  <c r="D264" i="134" s="1"/>
  <c r="A263" i="134"/>
  <c r="D263" i="134" s="1"/>
  <c r="A262" i="134"/>
  <c r="D262" i="134" s="1"/>
  <c r="A261" i="134"/>
  <c r="D261" i="134" s="1"/>
  <c r="A260" i="134"/>
  <c r="D260" i="134" s="1"/>
  <c r="A259" i="134"/>
  <c r="D259" i="134" s="1"/>
  <c r="A258" i="134"/>
  <c r="D258" i="134" s="1"/>
  <c r="A257" i="134"/>
  <c r="D257" i="134" s="1"/>
  <c r="A256" i="134"/>
  <c r="D256" i="134" s="1"/>
  <c r="A255" i="134"/>
  <c r="D255" i="134" s="1"/>
  <c r="A254" i="134"/>
  <c r="D254" i="134" s="1"/>
  <c r="A253" i="134"/>
  <c r="D253" i="134" s="1"/>
  <c r="A252" i="134"/>
  <c r="D252" i="134" s="1"/>
  <c r="A251" i="134"/>
  <c r="D251" i="134" s="1"/>
  <c r="A250" i="134"/>
  <c r="D250" i="134" s="1"/>
  <c r="A249" i="134"/>
  <c r="D249" i="134" s="1"/>
  <c r="A248" i="134"/>
  <c r="D248" i="134" s="1"/>
  <c r="A247" i="134"/>
  <c r="D247" i="134" s="1"/>
  <c r="A246" i="134"/>
  <c r="D246" i="134" s="1"/>
  <c r="A245" i="134"/>
  <c r="D245" i="134" s="1"/>
  <c r="A244" i="134"/>
  <c r="D244" i="134" s="1"/>
  <c r="A243" i="134"/>
  <c r="D243" i="134" s="1"/>
  <c r="A242" i="134"/>
  <c r="D242" i="134" s="1"/>
  <c r="A241" i="134"/>
  <c r="D241" i="134" s="1"/>
  <c r="A240" i="134"/>
  <c r="D240" i="134" s="1"/>
  <c r="A239" i="134"/>
  <c r="D239" i="134" s="1"/>
  <c r="A238" i="134"/>
  <c r="D238" i="134" s="1"/>
  <c r="A237" i="134"/>
  <c r="D237" i="134" s="1"/>
  <c r="A236" i="134"/>
  <c r="D236" i="134" s="1"/>
  <c r="A235" i="134"/>
  <c r="D235" i="134" s="1"/>
  <c r="R97" i="2" l="1"/>
  <c r="H97" i="2"/>
  <c r="R96" i="2"/>
  <c r="H96" i="2"/>
  <c r="R94" i="2"/>
  <c r="H94" i="2"/>
  <c r="R93" i="2"/>
  <c r="H93" i="2"/>
  <c r="R91" i="2"/>
  <c r="H91" i="2"/>
  <c r="R90" i="2"/>
  <c r="H90" i="2"/>
  <c r="R88" i="2"/>
  <c r="H88" i="2"/>
  <c r="R87" i="2"/>
  <c r="H87" i="2"/>
  <c r="R85" i="2"/>
  <c r="H85" i="2"/>
  <c r="R84" i="2"/>
  <c r="H84" i="2"/>
  <c r="R82" i="2"/>
  <c r="H82" i="2"/>
  <c r="R81" i="2"/>
  <c r="H81" i="2"/>
  <c r="R79" i="2"/>
  <c r="H79" i="2"/>
  <c r="R78" i="2"/>
  <c r="H78" i="2"/>
  <c r="B28" i="2"/>
  <c r="D22" i="2"/>
  <c r="C22" i="2"/>
  <c r="D21" i="2"/>
  <c r="C21" i="2"/>
  <c r="D19" i="2"/>
  <c r="C19" i="2"/>
  <c r="G18" i="2"/>
  <c r="D18" i="2"/>
  <c r="C18" i="2"/>
  <c r="B18" i="2"/>
  <c r="L63" i="231"/>
  <c r="L62" i="231"/>
  <c r="L61" i="231"/>
  <c r="L60" i="231"/>
  <c r="L59" i="231"/>
  <c r="L58" i="231"/>
  <c r="L57" i="231"/>
  <c r="L56" i="231"/>
  <c r="L55" i="231"/>
  <c r="L54" i="231"/>
  <c r="L53" i="231"/>
  <c r="L52" i="231"/>
  <c r="L51" i="231"/>
  <c r="L50" i="231"/>
  <c r="L49" i="231"/>
  <c r="L48" i="231"/>
  <c r="L47" i="231"/>
  <c r="L46" i="231"/>
  <c r="D20" i="2"/>
  <c r="C20" i="2"/>
  <c r="F63" i="2" l="1"/>
  <c r="F62" i="2"/>
  <c r="G61" i="2"/>
  <c r="G63" i="2"/>
  <c r="G64" i="2"/>
  <c r="F65" i="2"/>
  <c r="G70" i="2"/>
  <c r="G68" i="2"/>
  <c r="G66" i="2"/>
  <c r="F67" i="2"/>
  <c r="F66" i="2"/>
  <c r="G67" i="2"/>
  <c r="F68" i="2"/>
  <c r="G69" i="2"/>
  <c r="F70" i="2"/>
  <c r="F69" i="2"/>
  <c r="F61" i="2"/>
  <c r="G62" i="2"/>
  <c r="G65" i="2"/>
  <c r="F64" i="2"/>
  <c r="D29" i="2"/>
  <c r="D31" i="2"/>
  <c r="D32" i="2"/>
  <c r="D28" i="2"/>
  <c r="D30" i="2"/>
  <c r="D34" i="2"/>
  <c r="D36" i="2"/>
  <c r="D37" i="2"/>
  <c r="C37" i="2"/>
  <c r="D33" i="2"/>
  <c r="D35" i="2"/>
  <c r="C29" i="2"/>
  <c r="C28" i="2"/>
  <c r="C31" i="2"/>
  <c r="C30" i="2"/>
  <c r="C32" i="2"/>
  <c r="C35" i="2"/>
  <c r="C34" i="2"/>
  <c r="C36" i="2"/>
  <c r="C33" i="2"/>
  <c r="B13" i="256"/>
  <c r="C13" i="256" s="1"/>
  <c r="D13" i="256" s="1"/>
  <c r="E13" i="256" s="1"/>
  <c r="F13" i="256" s="1"/>
  <c r="G13" i="256" s="1"/>
  <c r="H13" i="256" s="1"/>
  <c r="I13" i="256" s="1"/>
  <c r="J13" i="256" s="1"/>
  <c r="K13" i="256" s="1"/>
  <c r="L13" i="256" s="1"/>
  <c r="M13" i="256" s="1"/>
  <c r="N13" i="256" s="1"/>
  <c r="O13" i="256" s="1"/>
  <c r="P13" i="256" s="1"/>
  <c r="Q13" i="256" s="1"/>
  <c r="R13" i="256" s="1"/>
  <c r="S13" i="256" s="1"/>
  <c r="T13" i="256" s="1"/>
  <c r="U13" i="256" s="1"/>
  <c r="V13" i="256" s="1"/>
  <c r="W13" i="256" s="1"/>
  <c r="X13" i="256" s="1"/>
  <c r="Y13" i="256" s="1"/>
  <c r="Z13" i="256" s="1"/>
  <c r="AA13" i="256" s="1"/>
  <c r="AB13" i="256" s="1"/>
  <c r="AC13" i="256" s="1"/>
  <c r="AD13" i="256" s="1"/>
  <c r="AE13" i="256" s="1"/>
  <c r="AF13" i="256" s="1"/>
  <c r="AG13" i="256" s="1"/>
  <c r="AH13" i="256" s="1"/>
  <c r="AI13" i="256" s="1"/>
  <c r="AJ13" i="256" s="1"/>
  <c r="AK13" i="256" s="1"/>
  <c r="AL13" i="256" s="1"/>
  <c r="AM13" i="256" s="1"/>
  <c r="A95" i="134"/>
  <c r="D95" i="134" s="1"/>
  <c r="A109" i="134"/>
  <c r="D109" i="134" s="1"/>
  <c r="A108" i="134"/>
  <c r="D108" i="134" s="1"/>
  <c r="A107" i="134"/>
  <c r="D107" i="134" s="1"/>
  <c r="A106" i="134"/>
  <c r="D106" i="134" s="1"/>
  <c r="A105" i="134"/>
  <c r="D105" i="134" s="1"/>
  <c r="A104" i="134"/>
  <c r="D104" i="134" s="1"/>
  <c r="A103" i="134"/>
  <c r="D103" i="134" s="1"/>
  <c r="A102" i="134"/>
  <c r="D102" i="134" s="1"/>
  <c r="A101" i="134"/>
  <c r="D101" i="134" s="1"/>
  <c r="A97" i="134"/>
  <c r="D97" i="134" s="1"/>
  <c r="A93" i="134" l="1"/>
  <c r="D93" i="134" s="1"/>
  <c r="A94" i="134"/>
  <c r="D94" i="134" s="1"/>
  <c r="A99" i="134"/>
  <c r="D99" i="134" s="1"/>
  <c r="A96" i="134"/>
  <c r="D96" i="134" s="1"/>
  <c r="A98" i="134"/>
  <c r="D98" i="134" s="1"/>
  <c r="A100" i="134"/>
  <c r="D100" i="134" s="1"/>
  <c r="A71" i="253" l="1"/>
  <c r="E73" i="69" l="1"/>
  <c r="D26" i="69" l="1"/>
  <c r="A65" i="223"/>
  <c r="D26" i="223" l="1"/>
  <c r="I17" i="69" l="1"/>
  <c r="U70" i="223" l="1"/>
  <c r="AB89" i="223"/>
  <c r="AA89" i="223"/>
  <c r="Z89" i="223"/>
  <c r="Y89" i="223"/>
  <c r="X89" i="223"/>
  <c r="W89" i="223"/>
  <c r="V89" i="223"/>
  <c r="AB88" i="223"/>
  <c r="AA88" i="223"/>
  <c r="Z88" i="223"/>
  <c r="Y88" i="223"/>
  <c r="X88" i="223"/>
  <c r="W88" i="223"/>
  <c r="V88" i="223"/>
  <c r="AB87" i="223"/>
  <c r="AA87" i="223"/>
  <c r="Z87" i="223"/>
  <c r="Y87" i="223"/>
  <c r="X87" i="223"/>
  <c r="W87" i="223"/>
  <c r="V87" i="223"/>
  <c r="AB86" i="223"/>
  <c r="AA86" i="223"/>
  <c r="Z86" i="223"/>
  <c r="Y86" i="223"/>
  <c r="X86" i="223"/>
  <c r="W86" i="223"/>
  <c r="V86" i="223"/>
  <c r="AB85" i="223"/>
  <c r="AA85" i="223"/>
  <c r="Z85" i="223"/>
  <c r="Y85" i="223"/>
  <c r="X85" i="223"/>
  <c r="W85" i="223"/>
  <c r="V85" i="223"/>
  <c r="AB79" i="223" l="1"/>
  <c r="N50" i="141"/>
  <c r="O56" i="140"/>
  <c r="B48" i="253"/>
  <c r="B63" i="142"/>
  <c r="M1" i="231" l="1"/>
  <c r="L1" i="231" s="1"/>
  <c r="L39" i="231" s="1"/>
  <c r="L37" i="231" l="1"/>
  <c r="L24" i="231"/>
  <c r="L13" i="231"/>
  <c r="L27" i="231"/>
  <c r="L32" i="231"/>
  <c r="L29" i="231"/>
  <c r="L12" i="231"/>
  <c r="L15" i="231"/>
  <c r="L14" i="231"/>
  <c r="L3" i="231"/>
  <c r="L31" i="231"/>
  <c r="L42" i="231"/>
  <c r="L28" i="231"/>
  <c r="L11" i="231"/>
  <c r="L8" i="231"/>
  <c r="L22" i="231"/>
  <c r="L17" i="231"/>
  <c r="L36" i="231"/>
  <c r="L45" i="231"/>
  <c r="L44" i="231"/>
  <c r="L41" i="231"/>
  <c r="L23" i="231"/>
  <c r="L10" i="231"/>
  <c r="L5" i="231"/>
  <c r="L33" i="231"/>
  <c r="L9" i="231"/>
  <c r="L7" i="231"/>
  <c r="L26" i="231"/>
  <c r="L40" i="231"/>
  <c r="L25" i="231"/>
  <c r="L19" i="231"/>
  <c r="L38" i="231"/>
  <c r="L2" i="231"/>
  <c r="L16" i="231"/>
  <c r="L20" i="231"/>
  <c r="L35" i="231"/>
  <c r="L34" i="231"/>
  <c r="L6" i="231"/>
  <c r="L43" i="231"/>
  <c r="L21" i="231"/>
  <c r="L4" i="231"/>
  <c r="L18" i="231"/>
  <c r="L30" i="231"/>
  <c r="E48" i="223"/>
  <c r="Q44" i="223"/>
  <c r="K44" i="223"/>
  <c r="Q42" i="223"/>
  <c r="K42" i="223"/>
  <c r="Q40" i="223"/>
  <c r="K40" i="223"/>
  <c r="B57" i="69"/>
  <c r="D57" i="69" s="1"/>
  <c r="C27" i="69" l="1"/>
  <c r="D27" i="69"/>
  <c r="A62" i="223"/>
  <c r="M2" i="2"/>
  <c r="N1" i="2" s="1"/>
  <c r="K2" i="2"/>
  <c r="L1" i="2" s="1"/>
  <c r="I2" i="2"/>
  <c r="J1" i="2" s="1"/>
  <c r="G2" i="2"/>
  <c r="H1" i="2" s="1"/>
  <c r="I18" i="2" l="1"/>
  <c r="AC27" i="223"/>
  <c r="AC23" i="223"/>
  <c r="AG30" i="223"/>
  <c r="X30" i="223" s="1"/>
  <c r="X40" i="223" s="1"/>
  <c r="AD29" i="223"/>
  <c r="AC28" i="223"/>
  <c r="AG26" i="223"/>
  <c r="X26" i="223" s="1"/>
  <c r="X36" i="223" s="1"/>
  <c r="AD25" i="223"/>
  <c r="AC24" i="223"/>
  <c r="AG22" i="223"/>
  <c r="X22" i="223" s="1"/>
  <c r="AC21" i="223"/>
  <c r="AC30" i="223"/>
  <c r="AG28" i="223"/>
  <c r="X28" i="223" s="1"/>
  <c r="AD27" i="223"/>
  <c r="AC26" i="223"/>
  <c r="AG24" i="223"/>
  <c r="X24" i="223" s="1"/>
  <c r="AC22" i="223"/>
  <c r="AD28" i="223"/>
  <c r="AD24" i="223"/>
  <c r="AD30" i="223"/>
  <c r="AC29" i="223"/>
  <c r="AG27" i="223"/>
  <c r="X27" i="223" s="1"/>
  <c r="AD26" i="223"/>
  <c r="AC25" i="223"/>
  <c r="AG23" i="223"/>
  <c r="X23" i="223" s="1"/>
  <c r="AD22" i="223"/>
  <c r="AD23" i="223"/>
  <c r="AG29" i="223"/>
  <c r="X29" i="223" s="1"/>
  <c r="AG25" i="223"/>
  <c r="X25" i="223" s="1"/>
  <c r="AD21" i="223"/>
  <c r="AB21" i="223"/>
  <c r="I20" i="2"/>
  <c r="I24" i="2"/>
  <c r="I27" i="2"/>
  <c r="I25" i="2"/>
  <c r="I22" i="2"/>
  <c r="I21" i="2"/>
  <c r="I26" i="2"/>
  <c r="I23" i="2"/>
  <c r="I19" i="2"/>
  <c r="D10" i="223"/>
  <c r="D9" i="223"/>
  <c r="D12" i="223"/>
  <c r="AG21" i="223"/>
  <c r="D11" i="223"/>
  <c r="F1" i="245"/>
  <c r="C24" i="245" s="1"/>
  <c r="U26" i="223" l="1"/>
  <c r="U28" i="223"/>
  <c r="U27" i="223"/>
  <c r="U30" i="223"/>
  <c r="U29" i="223"/>
  <c r="X34" i="223"/>
  <c r="R31" i="141" s="1"/>
  <c r="X33" i="223"/>
  <c r="R30" i="140" s="1"/>
  <c r="X38" i="223"/>
  <c r="R35" i="140" s="1"/>
  <c r="X35" i="223"/>
  <c r="R32" i="140" s="1"/>
  <c r="X37" i="223"/>
  <c r="R34" i="141" s="1"/>
  <c r="X32" i="223"/>
  <c r="R29" i="141" s="1"/>
  <c r="X19" i="223"/>
  <c r="R26" i="141"/>
  <c r="R26" i="140"/>
  <c r="X14" i="223"/>
  <c r="R21" i="141"/>
  <c r="R21" i="140"/>
  <c r="X20" i="223"/>
  <c r="R27" i="141"/>
  <c r="R27" i="140"/>
  <c r="X39" i="223"/>
  <c r="X16" i="223"/>
  <c r="R23" i="141"/>
  <c r="R23" i="140"/>
  <c r="X13" i="223"/>
  <c r="R20" i="140"/>
  <c r="R20" i="141"/>
  <c r="X18" i="223"/>
  <c r="R25" i="141"/>
  <c r="R25" i="140"/>
  <c r="X15" i="223"/>
  <c r="R22" i="140"/>
  <c r="R22" i="141"/>
  <c r="X17" i="223"/>
  <c r="R24" i="140"/>
  <c r="R24" i="141"/>
  <c r="X12" i="223"/>
  <c r="R19" i="141"/>
  <c r="R19" i="140"/>
  <c r="R33" i="140"/>
  <c r="R33" i="141"/>
  <c r="R37" i="140"/>
  <c r="R37" i="141"/>
  <c r="U22" i="223"/>
  <c r="U23" i="223"/>
  <c r="U24" i="223"/>
  <c r="U25" i="223"/>
  <c r="U21" i="223"/>
  <c r="E24" i="245"/>
  <c r="D18" i="223"/>
  <c r="G10" i="223"/>
  <c r="X21" i="223"/>
  <c r="G12" i="223"/>
  <c r="C66" i="140"/>
  <c r="C66" i="260" s="1"/>
  <c r="G11" i="223"/>
  <c r="M28" i="141"/>
  <c r="M28" i="140"/>
  <c r="M13" i="253"/>
  <c r="M18" i="141"/>
  <c r="M18" i="140"/>
  <c r="D40" i="223"/>
  <c r="G9" i="223"/>
  <c r="A17" i="134"/>
  <c r="A29" i="134"/>
  <c r="D29" i="134" s="1"/>
  <c r="A28" i="134"/>
  <c r="D28" i="134" s="1"/>
  <c r="A27" i="134"/>
  <c r="D27" i="134" s="1"/>
  <c r="A26" i="134"/>
  <c r="D26" i="134" s="1"/>
  <c r="A25" i="134"/>
  <c r="D25" i="134" s="1"/>
  <c r="A24" i="134"/>
  <c r="D24" i="134" s="1"/>
  <c r="A23" i="134"/>
  <c r="D23" i="134" s="1"/>
  <c r="A22" i="134"/>
  <c r="D22" i="134" s="1"/>
  <c r="A21" i="134"/>
  <c r="D21" i="134" s="1"/>
  <c r="A20" i="134"/>
  <c r="D20" i="134" s="1"/>
  <c r="A19" i="134"/>
  <c r="D19" i="134" s="1"/>
  <c r="A18" i="134"/>
  <c r="D18" i="134" s="1"/>
  <c r="M18" i="260" l="1"/>
  <c r="N17" i="261"/>
  <c r="E47" i="260"/>
  <c r="E62" i="261"/>
  <c r="M28" i="260"/>
  <c r="N27" i="261"/>
  <c r="R29" i="140"/>
  <c r="R30" i="141"/>
  <c r="R34" i="140"/>
  <c r="R31" i="140"/>
  <c r="R35" i="141"/>
  <c r="R32" i="141"/>
  <c r="E47" i="259"/>
  <c r="M28" i="259"/>
  <c r="C66" i="259"/>
  <c r="M18" i="259"/>
  <c r="R18" i="140"/>
  <c r="O27" i="141"/>
  <c r="O19" i="141"/>
  <c r="R36" i="141"/>
  <c r="O22" i="141"/>
  <c r="R36" i="140"/>
  <c r="R14" i="140"/>
  <c r="R14" i="141"/>
  <c r="R17" i="140"/>
  <c r="R17" i="141"/>
  <c r="R9" i="140"/>
  <c r="R9" i="141"/>
  <c r="R10" i="140"/>
  <c r="R10" i="141"/>
  <c r="R12" i="140"/>
  <c r="R12" i="141"/>
  <c r="R11" i="140"/>
  <c r="R11" i="141"/>
  <c r="R13" i="140"/>
  <c r="R13" i="141"/>
  <c r="R15" i="140"/>
  <c r="R15" i="141"/>
  <c r="R16" i="140"/>
  <c r="R16" i="141"/>
  <c r="O26" i="140"/>
  <c r="O26" i="141"/>
  <c r="O25" i="140"/>
  <c r="O25" i="141"/>
  <c r="O21" i="140"/>
  <c r="O21" i="141"/>
  <c r="O23" i="140"/>
  <c r="O23" i="141"/>
  <c r="O20" i="140"/>
  <c r="O20" i="141"/>
  <c r="O24" i="140"/>
  <c r="O24" i="141"/>
  <c r="U37" i="223"/>
  <c r="U33" i="223"/>
  <c r="U36" i="223"/>
  <c r="U35" i="223"/>
  <c r="O22" i="140"/>
  <c r="U40" i="223"/>
  <c r="O27" i="140"/>
  <c r="U32" i="223"/>
  <c r="O19" i="140"/>
  <c r="U39" i="223"/>
  <c r="U38" i="223"/>
  <c r="E22" i="245"/>
  <c r="C65" i="140"/>
  <c r="B47" i="69"/>
  <c r="R18" i="141"/>
  <c r="B60" i="69"/>
  <c r="D54" i="223"/>
  <c r="O18" i="140"/>
  <c r="E62" i="142"/>
  <c r="E47" i="253"/>
  <c r="N51" i="141"/>
  <c r="O57" i="140"/>
  <c r="R12" i="260" l="1"/>
  <c r="R22" i="260" s="1"/>
  <c r="S11" i="261"/>
  <c r="R9" i="260"/>
  <c r="R19" i="260" s="1"/>
  <c r="S8" i="261"/>
  <c r="R13" i="260"/>
  <c r="R23" i="260" s="1"/>
  <c r="S12" i="261"/>
  <c r="R14" i="260"/>
  <c r="R34" i="260" s="1"/>
  <c r="S13" i="261"/>
  <c r="R15" i="260"/>
  <c r="R35" i="260" s="1"/>
  <c r="S14" i="261"/>
  <c r="R11" i="260"/>
  <c r="R21" i="260" s="1"/>
  <c r="S10" i="261"/>
  <c r="R10" i="260"/>
  <c r="R20" i="260" s="1"/>
  <c r="S9" i="261"/>
  <c r="R17" i="260"/>
  <c r="R37" i="260" s="1"/>
  <c r="S16" i="261"/>
  <c r="R16" i="260"/>
  <c r="R26" i="260" s="1"/>
  <c r="S15" i="261"/>
  <c r="C64" i="259"/>
  <c r="C64" i="260"/>
  <c r="R16" i="259"/>
  <c r="R9" i="259"/>
  <c r="R15" i="259"/>
  <c r="R11" i="259"/>
  <c r="R10" i="259"/>
  <c r="R17" i="259"/>
  <c r="R13" i="259"/>
  <c r="R12" i="259"/>
  <c r="R14" i="259"/>
  <c r="U69" i="223"/>
  <c r="S15" i="142"/>
  <c r="S12" i="142"/>
  <c r="S11" i="142"/>
  <c r="S8" i="142"/>
  <c r="S13" i="142"/>
  <c r="S14" i="142"/>
  <c r="S10" i="142"/>
  <c r="S9" i="142"/>
  <c r="S16" i="142"/>
  <c r="O32" i="140"/>
  <c r="O32" i="141"/>
  <c r="O35" i="140"/>
  <c r="O35" i="141"/>
  <c r="O33" i="140"/>
  <c r="O33" i="141"/>
  <c r="O36" i="140"/>
  <c r="O36" i="141"/>
  <c r="O37" i="140"/>
  <c r="O37" i="141"/>
  <c r="O30" i="140"/>
  <c r="O30" i="141"/>
  <c r="O29" i="140"/>
  <c r="O29" i="141"/>
  <c r="O34" i="140"/>
  <c r="O34" i="141"/>
  <c r="U34" i="223"/>
  <c r="B38" i="2"/>
  <c r="O18" i="141"/>
  <c r="A30" i="134"/>
  <c r="D30" i="134" s="1"/>
  <c r="F50" i="253"/>
  <c r="R32" i="260" l="1"/>
  <c r="R29" i="260"/>
  <c r="R31" i="260"/>
  <c r="R27" i="260"/>
  <c r="R24" i="260"/>
  <c r="R25" i="260"/>
  <c r="R30" i="260"/>
  <c r="R33" i="260"/>
  <c r="R36" i="260"/>
  <c r="S56" i="261"/>
  <c r="S46" i="261"/>
  <c r="S66" i="261"/>
  <c r="S36" i="261"/>
  <c r="S26" i="261"/>
  <c r="S30" i="261"/>
  <c r="S40" i="261"/>
  <c r="S60" i="261"/>
  <c r="S50" i="261"/>
  <c r="S20" i="261"/>
  <c r="S53" i="261"/>
  <c r="S63" i="261"/>
  <c r="S43" i="261"/>
  <c r="S33" i="261"/>
  <c r="S23" i="261"/>
  <c r="S58" i="261"/>
  <c r="S48" i="261"/>
  <c r="S38" i="261"/>
  <c r="S28" i="261"/>
  <c r="S18" i="261"/>
  <c r="S61" i="261"/>
  <c r="S51" i="261"/>
  <c r="S21" i="261"/>
  <c r="S31" i="261"/>
  <c r="S41" i="261"/>
  <c r="S55" i="261"/>
  <c r="S65" i="261"/>
  <c r="S25" i="261"/>
  <c r="S45" i="261"/>
  <c r="S35" i="261"/>
  <c r="S49" i="261"/>
  <c r="S39" i="261"/>
  <c r="S29" i="261"/>
  <c r="S19" i="261"/>
  <c r="S59" i="261"/>
  <c r="S34" i="261"/>
  <c r="S44" i="261"/>
  <c r="S64" i="261"/>
  <c r="S54" i="261"/>
  <c r="S24" i="261"/>
  <c r="S52" i="261"/>
  <c r="S42" i="261"/>
  <c r="S62" i="261"/>
  <c r="S32" i="261"/>
  <c r="S22" i="261"/>
  <c r="R22" i="259"/>
  <c r="R32" i="259"/>
  <c r="R27" i="259"/>
  <c r="R37" i="259"/>
  <c r="R31" i="259"/>
  <c r="R21" i="259"/>
  <c r="R19" i="259"/>
  <c r="R29" i="259"/>
  <c r="R30" i="259"/>
  <c r="R20" i="259"/>
  <c r="R26" i="259"/>
  <c r="R36" i="259"/>
  <c r="R34" i="259"/>
  <c r="R24" i="259"/>
  <c r="R23" i="259"/>
  <c r="R33" i="259"/>
  <c r="R25" i="259"/>
  <c r="R35" i="259"/>
  <c r="S52" i="142"/>
  <c r="S32" i="142"/>
  <c r="S62" i="142"/>
  <c r="S42" i="142"/>
  <c r="S22" i="142"/>
  <c r="S41" i="142"/>
  <c r="S61" i="142"/>
  <c r="S51" i="142"/>
  <c r="S31" i="142"/>
  <c r="S21" i="142"/>
  <c r="S45" i="142"/>
  <c r="S25" i="142"/>
  <c r="S55" i="142"/>
  <c r="S65" i="142"/>
  <c r="S35" i="142"/>
  <c r="S63" i="142"/>
  <c r="S43" i="142"/>
  <c r="S33" i="142"/>
  <c r="S23" i="142"/>
  <c r="S53" i="142"/>
  <c r="S49" i="142"/>
  <c r="S39" i="142"/>
  <c r="S59" i="142"/>
  <c r="S29" i="142"/>
  <c r="S19" i="142"/>
  <c r="S36" i="142"/>
  <c r="S56" i="142"/>
  <c r="S66" i="142"/>
  <c r="S26" i="142"/>
  <c r="S46" i="142"/>
  <c r="S30" i="142"/>
  <c r="S20" i="142"/>
  <c r="S50" i="142"/>
  <c r="S40" i="142"/>
  <c r="S60" i="142"/>
  <c r="S54" i="142"/>
  <c r="S44" i="142"/>
  <c r="S64" i="142"/>
  <c r="S24" i="142"/>
  <c r="S34" i="142"/>
  <c r="S38" i="142"/>
  <c r="S28" i="142"/>
  <c r="S18" i="142"/>
  <c r="S58" i="142"/>
  <c r="S48" i="142"/>
  <c r="O31" i="140"/>
  <c r="O31" i="141"/>
  <c r="D43" i="2"/>
  <c r="C46" i="2"/>
  <c r="C43" i="2"/>
  <c r="D47" i="2"/>
  <c r="C39" i="2"/>
  <c r="C42" i="2"/>
  <c r="D39" i="2"/>
  <c r="C44" i="2"/>
  <c r="C38" i="2"/>
  <c r="D41" i="2"/>
  <c r="D44" i="2"/>
  <c r="D45" i="2"/>
  <c r="D40" i="2"/>
  <c r="D38" i="2"/>
  <c r="D46" i="2"/>
  <c r="C45" i="2"/>
  <c r="C47" i="2"/>
  <c r="D42" i="2"/>
  <c r="C40" i="2"/>
  <c r="C41" i="2"/>
  <c r="A31" i="134"/>
  <c r="D31" i="134" s="1"/>
  <c r="C2" i="223"/>
  <c r="B2" i="68"/>
  <c r="D11" i="245"/>
  <c r="A32" i="134" l="1"/>
  <c r="D32" i="134" s="1"/>
  <c r="A33" i="134" l="1"/>
  <c r="D33" i="134" s="1"/>
  <c r="B1" i="68"/>
  <c r="C1" i="223"/>
  <c r="A34" i="134" l="1"/>
  <c r="D34" i="134" s="1"/>
  <c r="O13" i="245"/>
  <c r="N13" i="245"/>
  <c r="L13" i="245"/>
  <c r="K13" i="245"/>
  <c r="A35" i="134" l="1"/>
  <c r="D35" i="134" s="1"/>
  <c r="Y45" i="69"/>
  <c r="Y44" i="69"/>
  <c r="Y74" i="69"/>
  <c r="Y73" i="69"/>
  <c r="Y72" i="69"/>
  <c r="Y71" i="69"/>
  <c r="Y70" i="69"/>
  <c r="Y69" i="69"/>
  <c r="Y68" i="69"/>
  <c r="Y67" i="69"/>
  <c r="Y66" i="69"/>
  <c r="Y65" i="69"/>
  <c r="Y64" i="69"/>
  <c r="Y63" i="69"/>
  <c r="Y62" i="69"/>
  <c r="Y61" i="69"/>
  <c r="Y60" i="69"/>
  <c r="Y59" i="69"/>
  <c r="Y58" i="69"/>
  <c r="Y57" i="69"/>
  <c r="Y56" i="69"/>
  <c r="Y55" i="69"/>
  <c r="Y54" i="69"/>
  <c r="Y53" i="69"/>
  <c r="Y52" i="69"/>
  <c r="Y51" i="69"/>
  <c r="Y50" i="69"/>
  <c r="Y49" i="69"/>
  <c r="Y48" i="69"/>
  <c r="Y47" i="69"/>
  <c r="Y46" i="69"/>
  <c r="O74" i="69"/>
  <c r="O73" i="69"/>
  <c r="O72" i="69"/>
  <c r="O71" i="69"/>
  <c r="O70" i="69"/>
  <c r="O69" i="69"/>
  <c r="O68" i="69"/>
  <c r="O67" i="69"/>
  <c r="O66" i="69"/>
  <c r="O65" i="69"/>
  <c r="O64" i="69"/>
  <c r="O63" i="69"/>
  <c r="O62" i="69"/>
  <c r="O61" i="69"/>
  <c r="O60" i="69"/>
  <c r="O59" i="69"/>
  <c r="O58" i="69"/>
  <c r="O57" i="69"/>
  <c r="O56" i="69"/>
  <c r="O55" i="69"/>
  <c r="O54" i="69"/>
  <c r="O53" i="69"/>
  <c r="O52" i="69"/>
  <c r="O51" i="69"/>
  <c r="O50" i="69"/>
  <c r="O49" i="69"/>
  <c r="O48" i="69"/>
  <c r="O47" i="69"/>
  <c r="O46" i="69"/>
  <c r="O45" i="69"/>
  <c r="O44" i="69"/>
  <c r="A36" i="134" l="1"/>
  <c r="D36" i="134" s="1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G49" i="69"/>
  <c r="G48" i="69"/>
  <c r="G47" i="69"/>
  <c r="G46" i="69"/>
  <c r="G45" i="69"/>
  <c r="G44" i="69"/>
  <c r="A37" i="134" l="1"/>
  <c r="D37" i="134" s="1"/>
  <c r="A38" i="134" l="1"/>
  <c r="D38" i="134" s="1"/>
  <c r="Q2" i="223"/>
  <c r="P2" i="68"/>
  <c r="C73" i="141"/>
  <c r="J83" i="141"/>
  <c r="I83" i="141"/>
  <c r="H83" i="141"/>
  <c r="G83" i="141"/>
  <c r="F83" i="141"/>
  <c r="E83" i="141"/>
  <c r="D83" i="141"/>
  <c r="J82" i="141"/>
  <c r="I82" i="141"/>
  <c r="H82" i="141"/>
  <c r="G82" i="141"/>
  <c r="F82" i="141"/>
  <c r="E82" i="141"/>
  <c r="D82" i="141"/>
  <c r="J81" i="141"/>
  <c r="I81" i="141"/>
  <c r="H81" i="141"/>
  <c r="G81" i="141"/>
  <c r="F81" i="141"/>
  <c r="E81" i="141"/>
  <c r="D81" i="141"/>
  <c r="J80" i="141"/>
  <c r="I80" i="141"/>
  <c r="H80" i="141"/>
  <c r="G80" i="141"/>
  <c r="F80" i="141"/>
  <c r="E80" i="141"/>
  <c r="D80" i="141"/>
  <c r="J79" i="141"/>
  <c r="I79" i="141"/>
  <c r="H79" i="141"/>
  <c r="G79" i="141"/>
  <c r="F79" i="141"/>
  <c r="E79" i="141"/>
  <c r="D79" i="141"/>
  <c r="A39" i="134" l="1"/>
  <c r="D39" i="134" s="1"/>
  <c r="Z62" i="261" l="1"/>
  <c r="T51" i="260"/>
  <c r="T51" i="259"/>
  <c r="F25" i="2"/>
  <c r="E25" i="2" s="1"/>
  <c r="F26" i="2"/>
  <c r="E26" i="2" s="1"/>
  <c r="F23" i="2"/>
  <c r="E23" i="2" s="1"/>
  <c r="F27" i="2"/>
  <c r="E27" i="2" s="1"/>
  <c r="F24" i="2"/>
  <c r="E24" i="2" s="1"/>
  <c r="F20" i="2"/>
  <c r="E20" i="2" s="1"/>
  <c r="F21" i="2"/>
  <c r="E21" i="2" s="1"/>
  <c r="F19" i="2"/>
  <c r="E19" i="2" s="1"/>
  <c r="F22" i="2"/>
  <c r="E22" i="2" s="1"/>
  <c r="F34" i="2"/>
  <c r="I62" i="2"/>
  <c r="I66" i="2"/>
  <c r="I69" i="2"/>
  <c r="F33" i="2"/>
  <c r="F31" i="2"/>
  <c r="I63" i="2"/>
  <c r="F30" i="2"/>
  <c r="I70" i="2"/>
  <c r="I67" i="2"/>
  <c r="I64" i="2"/>
  <c r="I65" i="2"/>
  <c r="F32" i="2"/>
  <c r="F36" i="2"/>
  <c r="F37" i="2"/>
  <c r="I68" i="2"/>
  <c r="F35" i="2"/>
  <c r="F29" i="2"/>
  <c r="K23" i="2"/>
  <c r="H24" i="2"/>
  <c r="J24" i="2" s="1"/>
  <c r="K20" i="2"/>
  <c r="K19" i="2"/>
  <c r="K26" i="2"/>
  <c r="K21" i="2"/>
  <c r="K22" i="2"/>
  <c r="H25" i="2"/>
  <c r="J25" i="2" s="1"/>
  <c r="H27" i="2"/>
  <c r="J27" i="2" s="1"/>
  <c r="K25" i="2"/>
  <c r="K27" i="2"/>
  <c r="H22" i="2"/>
  <c r="J22" i="2" s="1"/>
  <c r="H26" i="2"/>
  <c r="J26" i="2" s="1"/>
  <c r="K24" i="2"/>
  <c r="H19" i="2"/>
  <c r="J19" i="2" s="1"/>
  <c r="H23" i="2"/>
  <c r="J23" i="2" s="1"/>
  <c r="H20" i="2"/>
  <c r="J20" i="2" s="1"/>
  <c r="H21" i="2"/>
  <c r="J21" i="2" s="1"/>
  <c r="F43" i="2"/>
  <c r="F41" i="2"/>
  <c r="F44" i="2"/>
  <c r="F40" i="2"/>
  <c r="F42" i="2"/>
  <c r="F45" i="2"/>
  <c r="F46" i="2"/>
  <c r="F47" i="2"/>
  <c r="F39" i="2"/>
  <c r="T6" i="223"/>
  <c r="Z62" i="142"/>
  <c r="A40" i="134"/>
  <c r="D40" i="134" s="1"/>
  <c r="AD29" i="68"/>
  <c r="AE29" i="68" s="1"/>
  <c r="AD13" i="68"/>
  <c r="AE13" i="68" s="1"/>
  <c r="AB11" i="68"/>
  <c r="AC11" i="68" s="1"/>
  <c r="AD9" i="68"/>
  <c r="AE9" i="68" s="1"/>
  <c r="AB7" i="68"/>
  <c r="AC7" i="68" s="1"/>
  <c r="AD14" i="68"/>
  <c r="AE14" i="68" s="1"/>
  <c r="AB12" i="68"/>
  <c r="AC12" i="68" s="1"/>
  <c r="AD10" i="68"/>
  <c r="AE10" i="68" s="1"/>
  <c r="AB8" i="68"/>
  <c r="AC8" i="68" s="1"/>
  <c r="AB29" i="68"/>
  <c r="AC29" i="68" s="1"/>
  <c r="AB13" i="68"/>
  <c r="AC13" i="68" s="1"/>
  <c r="AD11" i="68"/>
  <c r="AE11" i="68" s="1"/>
  <c r="AB9" i="68"/>
  <c r="AC9" i="68" s="1"/>
  <c r="AD7" i="68"/>
  <c r="AE7" i="68" s="1"/>
  <c r="AB14" i="68"/>
  <c r="AC14" i="68" s="1"/>
  <c r="AD12" i="68"/>
  <c r="AE12" i="68" s="1"/>
  <c r="AB10" i="68"/>
  <c r="AC10" i="68" s="1"/>
  <c r="AD8" i="68"/>
  <c r="AE8" i="68" s="1"/>
  <c r="D54" i="69"/>
  <c r="K18" i="2"/>
  <c r="H18" i="2"/>
  <c r="C66" i="69"/>
  <c r="C71" i="69"/>
  <c r="D8" i="69"/>
  <c r="C72" i="69"/>
  <c r="C73" i="69"/>
  <c r="D7" i="69"/>
  <c r="H65" i="2" l="1"/>
  <c r="J65" i="2" s="1"/>
  <c r="E32" i="2"/>
  <c r="G32" i="2" s="1"/>
  <c r="E42" i="2"/>
  <c r="G42" i="2" s="1"/>
  <c r="E34" i="2"/>
  <c r="G34" i="2" s="1"/>
  <c r="H67" i="2"/>
  <c r="J67" i="2" s="1"/>
  <c r="E44" i="2"/>
  <c r="G44" i="2" s="1"/>
  <c r="H68" i="2"/>
  <c r="J68" i="2" s="1"/>
  <c r="E35" i="2"/>
  <c r="G35" i="2" s="1"/>
  <c r="E45" i="2"/>
  <c r="G45" i="2" s="1"/>
  <c r="H62" i="2"/>
  <c r="J62" i="2" s="1"/>
  <c r="E29" i="2"/>
  <c r="G29" i="2" s="1"/>
  <c r="E39" i="2"/>
  <c r="G39" i="2" s="1"/>
  <c r="H70" i="2"/>
  <c r="J70" i="2" s="1"/>
  <c r="E37" i="2"/>
  <c r="G37" i="2" s="1"/>
  <c r="E47" i="2"/>
  <c r="G47" i="2" s="1"/>
  <c r="H64" i="2"/>
  <c r="J64" i="2" s="1"/>
  <c r="E31" i="2"/>
  <c r="G31" i="2" s="1"/>
  <c r="E41" i="2"/>
  <c r="G41" i="2" s="1"/>
  <c r="H66" i="2"/>
  <c r="J66" i="2" s="1"/>
  <c r="E33" i="2"/>
  <c r="G33" i="2" s="1"/>
  <c r="E43" i="2"/>
  <c r="G43" i="2" s="1"/>
  <c r="H63" i="2"/>
  <c r="J63" i="2" s="1"/>
  <c r="E30" i="2"/>
  <c r="G30" i="2" s="1"/>
  <c r="E40" i="2"/>
  <c r="G40" i="2" s="1"/>
  <c r="H69" i="2"/>
  <c r="J69" i="2" s="1"/>
  <c r="E36" i="2"/>
  <c r="G36" i="2" s="1"/>
  <c r="E46" i="2"/>
  <c r="G46" i="2" s="1"/>
  <c r="AF24" i="223"/>
  <c r="AE24" i="223" s="1"/>
  <c r="AF30" i="223"/>
  <c r="AE30" i="223" s="1"/>
  <c r="AF23" i="223"/>
  <c r="AE23" i="223" s="1"/>
  <c r="AF27" i="223"/>
  <c r="AE27" i="223" s="1"/>
  <c r="AF29" i="223"/>
  <c r="AE29" i="223" s="1"/>
  <c r="AF22" i="223"/>
  <c r="AE22" i="223" s="1"/>
  <c r="AF26" i="223"/>
  <c r="AE26" i="223" s="1"/>
  <c r="AF28" i="223"/>
  <c r="AE28" i="223" s="1"/>
  <c r="AF25" i="223"/>
  <c r="AE25" i="223" s="1"/>
  <c r="AF21" i="223"/>
  <c r="AE21" i="223" s="1"/>
  <c r="A41" i="134"/>
  <c r="D41" i="134" s="1"/>
  <c r="D9" i="69"/>
  <c r="A42" i="134" l="1"/>
  <c r="D42" i="134" s="1"/>
  <c r="O52" i="141"/>
  <c r="A43" i="134" l="1"/>
  <c r="D43" i="134" s="1"/>
  <c r="A44" i="134" l="1"/>
  <c r="D44" i="134" s="1"/>
  <c r="A45" i="134" l="1"/>
  <c r="D45" i="134" s="1"/>
  <c r="C56" i="140"/>
  <c r="A46" i="134" l="1"/>
  <c r="D46" i="134" s="1"/>
  <c r="J73" i="141"/>
  <c r="I73" i="141"/>
  <c r="H73" i="141"/>
  <c r="G73" i="141"/>
  <c r="F73" i="141"/>
  <c r="E73" i="141"/>
  <c r="D73" i="141"/>
  <c r="A47" i="134" l="1"/>
  <c r="D47" i="134" s="1"/>
  <c r="A48" i="134" l="1"/>
  <c r="D48" i="134" s="1"/>
  <c r="I17" i="245"/>
  <c r="I19" i="245" s="1"/>
  <c r="H17" i="245"/>
  <c r="H19" i="245" s="1"/>
  <c r="I12" i="245"/>
  <c r="H12" i="245"/>
  <c r="A49" i="134" l="1"/>
  <c r="D49" i="134" s="1"/>
  <c r="I18" i="245"/>
  <c r="I20" i="245"/>
  <c r="H18" i="245"/>
  <c r="H20" i="245"/>
  <c r="A50" i="134" l="1"/>
  <c r="D50" i="134" s="1"/>
  <c r="J74" i="69"/>
  <c r="J73" i="69"/>
  <c r="J72" i="69"/>
  <c r="J71" i="69"/>
  <c r="J70" i="69"/>
  <c r="J69" i="69"/>
  <c r="J68" i="69"/>
  <c r="J67" i="69"/>
  <c r="J66" i="69"/>
  <c r="J65" i="69"/>
  <c r="J64" i="69"/>
  <c r="J63" i="69"/>
  <c r="J62" i="69"/>
  <c r="J61" i="69"/>
  <c r="J60" i="69"/>
  <c r="J59" i="69"/>
  <c r="J58" i="69"/>
  <c r="J57" i="69"/>
  <c r="J56" i="69"/>
  <c r="J55" i="69"/>
  <c r="J54" i="69"/>
  <c r="J53" i="69"/>
  <c r="J52" i="69"/>
  <c r="J51" i="69"/>
  <c r="J50" i="69"/>
  <c r="J49" i="69"/>
  <c r="J48" i="69"/>
  <c r="J47" i="69"/>
  <c r="J46" i="69"/>
  <c r="J45" i="69"/>
  <c r="A51" i="134" l="1"/>
  <c r="D51" i="134" s="1"/>
  <c r="X74" i="69"/>
  <c r="T74" i="69"/>
  <c r="S74" i="69"/>
  <c r="R74" i="69"/>
  <c r="X73" i="69"/>
  <c r="T73" i="69"/>
  <c r="S73" i="69"/>
  <c r="R73" i="69"/>
  <c r="X72" i="69"/>
  <c r="T72" i="69"/>
  <c r="S72" i="69"/>
  <c r="R72" i="69"/>
  <c r="X71" i="69"/>
  <c r="T71" i="69"/>
  <c r="S71" i="69"/>
  <c r="R71" i="69"/>
  <c r="X70" i="69"/>
  <c r="T70" i="69"/>
  <c r="S70" i="69"/>
  <c r="R70" i="69"/>
  <c r="X69" i="69"/>
  <c r="T69" i="69"/>
  <c r="S69" i="69"/>
  <c r="R69" i="69"/>
  <c r="X68" i="69"/>
  <c r="T68" i="69"/>
  <c r="S68" i="69"/>
  <c r="R68" i="69"/>
  <c r="X67" i="69"/>
  <c r="T67" i="69"/>
  <c r="S67" i="69"/>
  <c r="R67" i="69"/>
  <c r="X66" i="69"/>
  <c r="T66" i="69"/>
  <c r="S66" i="69"/>
  <c r="R66" i="69"/>
  <c r="X65" i="69"/>
  <c r="T65" i="69"/>
  <c r="S65" i="69"/>
  <c r="R65" i="69"/>
  <c r="X64" i="69"/>
  <c r="T64" i="69"/>
  <c r="S64" i="69"/>
  <c r="R64" i="69"/>
  <c r="X63" i="69"/>
  <c r="T63" i="69"/>
  <c r="S63" i="69"/>
  <c r="R63" i="69"/>
  <c r="X62" i="69"/>
  <c r="T62" i="69"/>
  <c r="S62" i="69"/>
  <c r="R62" i="69"/>
  <c r="X61" i="69"/>
  <c r="T61" i="69"/>
  <c r="S61" i="69"/>
  <c r="R61" i="69"/>
  <c r="X60" i="69"/>
  <c r="T60" i="69"/>
  <c r="S60" i="69"/>
  <c r="R60" i="69"/>
  <c r="X59" i="69"/>
  <c r="T59" i="69"/>
  <c r="S59" i="69"/>
  <c r="R59" i="69"/>
  <c r="X58" i="69"/>
  <c r="T58" i="69"/>
  <c r="S58" i="69"/>
  <c r="R58" i="69"/>
  <c r="X57" i="69"/>
  <c r="T57" i="69"/>
  <c r="S57" i="69"/>
  <c r="R57" i="69"/>
  <c r="X56" i="69"/>
  <c r="T56" i="69"/>
  <c r="S56" i="69"/>
  <c r="R56" i="69"/>
  <c r="X55" i="69"/>
  <c r="T55" i="69"/>
  <c r="S55" i="69"/>
  <c r="R55" i="69"/>
  <c r="X54" i="69"/>
  <c r="T54" i="69"/>
  <c r="S54" i="69"/>
  <c r="R54" i="69"/>
  <c r="X53" i="69"/>
  <c r="T53" i="69"/>
  <c r="S53" i="69"/>
  <c r="R53" i="69"/>
  <c r="X52" i="69"/>
  <c r="T52" i="69"/>
  <c r="S52" i="69"/>
  <c r="R52" i="69"/>
  <c r="X51" i="69"/>
  <c r="T51" i="69"/>
  <c r="S51" i="69"/>
  <c r="R51" i="69"/>
  <c r="X50" i="69"/>
  <c r="T50" i="69"/>
  <c r="S50" i="69"/>
  <c r="R50" i="69"/>
  <c r="X49" i="69"/>
  <c r="T49" i="69"/>
  <c r="S49" i="69"/>
  <c r="R49" i="69"/>
  <c r="X48" i="69"/>
  <c r="T48" i="69"/>
  <c r="S48" i="69"/>
  <c r="R48" i="69"/>
  <c r="X47" i="69"/>
  <c r="T47" i="69"/>
  <c r="S47" i="69"/>
  <c r="R47" i="69"/>
  <c r="X46" i="69"/>
  <c r="T46" i="69"/>
  <c r="S46" i="69"/>
  <c r="R46" i="69"/>
  <c r="X45" i="69"/>
  <c r="T45" i="69"/>
  <c r="S45" i="69"/>
  <c r="R45" i="69"/>
  <c r="X44" i="69"/>
  <c r="T44" i="69"/>
  <c r="S44" i="69"/>
  <c r="A52" i="134" l="1"/>
  <c r="D52" i="134" s="1"/>
  <c r="N74" i="69"/>
  <c r="N73" i="69"/>
  <c r="N72" i="69"/>
  <c r="N71" i="69"/>
  <c r="N70" i="69"/>
  <c r="N69" i="69"/>
  <c r="N68" i="69"/>
  <c r="N67" i="69"/>
  <c r="N66" i="69"/>
  <c r="N65" i="69"/>
  <c r="N64" i="69"/>
  <c r="N63" i="69"/>
  <c r="N62" i="69"/>
  <c r="N61" i="69"/>
  <c r="N60" i="69"/>
  <c r="N59" i="69"/>
  <c r="N58" i="69"/>
  <c r="N57" i="69"/>
  <c r="N56" i="69"/>
  <c r="N55" i="69"/>
  <c r="N54" i="69"/>
  <c r="N53" i="69"/>
  <c r="N52" i="69"/>
  <c r="N51" i="69"/>
  <c r="N50" i="69"/>
  <c r="N49" i="69"/>
  <c r="N48" i="69"/>
  <c r="N47" i="69"/>
  <c r="N46" i="69"/>
  <c r="N45" i="69"/>
  <c r="N44" i="69"/>
  <c r="Q74" i="69"/>
  <c r="Q73" i="69"/>
  <c r="Q72" i="69"/>
  <c r="Q71" i="69"/>
  <c r="Q70" i="69"/>
  <c r="Q69" i="69"/>
  <c r="Q68" i="69"/>
  <c r="Q67" i="69"/>
  <c r="Q66" i="69"/>
  <c r="Q65" i="69"/>
  <c r="Q64" i="69"/>
  <c r="Q63" i="69"/>
  <c r="Q62" i="69"/>
  <c r="Q61" i="69"/>
  <c r="Q60" i="69"/>
  <c r="Q59" i="69"/>
  <c r="Q58" i="69"/>
  <c r="Q57" i="69"/>
  <c r="Q56" i="69"/>
  <c r="Q55" i="69"/>
  <c r="Q54" i="69"/>
  <c r="Q53" i="69"/>
  <c r="Q52" i="69"/>
  <c r="Q51" i="69"/>
  <c r="Q50" i="69"/>
  <c r="Q49" i="69"/>
  <c r="Q48" i="69"/>
  <c r="Q47" i="69"/>
  <c r="Q46" i="69"/>
  <c r="Q45" i="69"/>
  <c r="Q44" i="69"/>
  <c r="R44" i="69"/>
  <c r="I74" i="69"/>
  <c r="H74" i="69"/>
  <c r="I73" i="69"/>
  <c r="H73" i="69"/>
  <c r="I72" i="69"/>
  <c r="H72" i="69"/>
  <c r="I71" i="69"/>
  <c r="H71" i="69"/>
  <c r="I70" i="69"/>
  <c r="H70" i="69"/>
  <c r="I69" i="69"/>
  <c r="H69" i="69"/>
  <c r="I68" i="69"/>
  <c r="H68" i="69"/>
  <c r="I67" i="69"/>
  <c r="H67" i="69"/>
  <c r="I66" i="69"/>
  <c r="H66" i="69"/>
  <c r="I65" i="69"/>
  <c r="H65" i="69"/>
  <c r="I64" i="69"/>
  <c r="H64" i="69"/>
  <c r="I63" i="69"/>
  <c r="H63" i="69"/>
  <c r="I62" i="69"/>
  <c r="H62" i="69"/>
  <c r="I61" i="69"/>
  <c r="H61" i="69"/>
  <c r="I60" i="69"/>
  <c r="H60" i="69"/>
  <c r="I59" i="69"/>
  <c r="H59" i="69"/>
  <c r="I58" i="69"/>
  <c r="H58" i="69"/>
  <c r="I57" i="69"/>
  <c r="H57" i="69"/>
  <c r="I56" i="69"/>
  <c r="H56" i="69"/>
  <c r="I55" i="69"/>
  <c r="H55" i="69"/>
  <c r="I54" i="69"/>
  <c r="H54" i="69"/>
  <c r="I53" i="69"/>
  <c r="H53" i="69"/>
  <c r="I52" i="69"/>
  <c r="H52" i="69"/>
  <c r="I51" i="69"/>
  <c r="H51" i="69"/>
  <c r="I50" i="69"/>
  <c r="H50" i="69"/>
  <c r="I49" i="69"/>
  <c r="H49" i="69"/>
  <c r="I48" i="69"/>
  <c r="H48" i="69"/>
  <c r="I47" i="69"/>
  <c r="H47" i="69"/>
  <c r="I46" i="69"/>
  <c r="H46" i="69"/>
  <c r="I45" i="69"/>
  <c r="H45" i="69"/>
  <c r="J44" i="69"/>
  <c r="I44" i="69"/>
  <c r="H44" i="69"/>
  <c r="A53" i="134" l="1"/>
  <c r="D53" i="134" s="1"/>
  <c r="H10" i="69"/>
  <c r="A54" i="134" l="1"/>
  <c r="D54" i="134" s="1"/>
  <c r="L14" i="69"/>
  <c r="A55" i="134" l="1"/>
  <c r="D55" i="134" s="1"/>
  <c r="B68" i="68"/>
  <c r="A111" i="140"/>
  <c r="J114" i="140"/>
  <c r="I114" i="140"/>
  <c r="H114" i="140"/>
  <c r="G114" i="140"/>
  <c r="F114" i="140"/>
  <c r="E114" i="140"/>
  <c r="D114" i="140"/>
  <c r="A56" i="134" l="1"/>
  <c r="D56" i="134" s="1"/>
  <c r="K65" i="142"/>
  <c r="G65" i="142"/>
  <c r="B7" i="223"/>
  <c r="G165" i="223" l="1"/>
  <c r="I165" i="223" s="1"/>
  <c r="G65" i="223"/>
  <c r="I65" i="223" s="1"/>
  <c r="A57" i="134"/>
  <c r="D57" i="134" s="1"/>
  <c r="G205" i="223"/>
  <c r="I205" i="223" s="1"/>
  <c r="G125" i="223"/>
  <c r="I125" i="223" s="1"/>
  <c r="G145" i="223"/>
  <c r="I145" i="223" s="1"/>
  <c r="G85" i="223"/>
  <c r="I85" i="223" s="1"/>
  <c r="G185" i="223"/>
  <c r="I185" i="223" s="1"/>
  <c r="G105" i="223"/>
  <c r="I105" i="223" s="1"/>
  <c r="M57" i="142"/>
  <c r="M47" i="142"/>
  <c r="M37" i="142"/>
  <c r="D94" i="223" l="1"/>
  <c r="G86" i="223"/>
  <c r="D114" i="223"/>
  <c r="G106" i="223"/>
  <c r="D214" i="223"/>
  <c r="G206" i="223"/>
  <c r="G186" i="223"/>
  <c r="D194" i="223"/>
  <c r="D154" i="223"/>
  <c r="G146" i="223"/>
  <c r="D74" i="223"/>
  <c r="D39" i="69" s="1"/>
  <c r="G66" i="223"/>
  <c r="G126" i="223"/>
  <c r="D134" i="223"/>
  <c r="D174" i="223"/>
  <c r="G166" i="223"/>
  <c r="A58" i="134"/>
  <c r="D58" i="134" s="1"/>
  <c r="Z1" i="69"/>
  <c r="D7" i="223" l="1"/>
  <c r="B3" i="245"/>
  <c r="A59" i="134"/>
  <c r="D59" i="134" s="1"/>
  <c r="C2" i="2"/>
  <c r="C69" i="69"/>
  <c r="D10" i="69"/>
  <c r="I10" i="69" s="1"/>
  <c r="A68" i="69"/>
  <c r="I14" i="69"/>
  <c r="I13" i="69"/>
  <c r="E12" i="69"/>
  <c r="C12" i="69"/>
  <c r="I9" i="69"/>
  <c r="I8" i="69"/>
  <c r="I7" i="69"/>
  <c r="D19" i="223" s="1"/>
  <c r="E49" i="140" s="1"/>
  <c r="C49" i="140" s="1"/>
  <c r="C10" i="69"/>
  <c r="E10" i="69"/>
  <c r="E9" i="69"/>
  <c r="E8" i="69"/>
  <c r="E7" i="69"/>
  <c r="D6" i="69"/>
  <c r="B6" i="69"/>
  <c r="C9" i="69"/>
  <c r="C8" i="69"/>
  <c r="C7" i="69"/>
  <c r="C66" i="261" l="1"/>
  <c r="C66" i="142"/>
  <c r="B9" i="245"/>
  <c r="C10" i="245" s="1"/>
  <c r="C3" i="245"/>
  <c r="H5" i="245"/>
  <c r="V66" i="261"/>
  <c r="D23" i="223"/>
  <c r="D67" i="69"/>
  <c r="D70" i="69"/>
  <c r="D46" i="223"/>
  <c r="J36" i="223"/>
  <c r="B45" i="68"/>
  <c r="B44" i="68"/>
  <c r="B43" i="68"/>
  <c r="A60" i="134"/>
  <c r="D60" i="134" s="1"/>
  <c r="M8" i="69"/>
  <c r="J12" i="69"/>
  <c r="M7" i="69"/>
  <c r="M9" i="69"/>
  <c r="J10" i="69"/>
  <c r="M12" i="69"/>
  <c r="J8" i="69"/>
  <c r="L8" i="69"/>
  <c r="L10" i="69"/>
  <c r="J7" i="69"/>
  <c r="J9" i="69"/>
  <c r="M10" i="69"/>
  <c r="L7" i="69"/>
  <c r="B18" i="69" s="1"/>
  <c r="L9" i="69"/>
  <c r="C74" i="69"/>
  <c r="E72" i="69"/>
  <c r="E71" i="69"/>
  <c r="C52" i="253" l="1"/>
  <c r="C52" i="260"/>
  <c r="C70" i="261"/>
  <c r="C70" i="142"/>
  <c r="C52" i="259"/>
  <c r="D4" i="245"/>
  <c r="H4" i="245"/>
  <c r="F4" i="245"/>
  <c r="B4" i="245" s="1"/>
  <c r="E4" i="245"/>
  <c r="P52" i="259"/>
  <c r="P52" i="260"/>
  <c r="V70" i="261"/>
  <c r="P36" i="223"/>
  <c r="V70" i="142"/>
  <c r="P52" i="253"/>
  <c r="B44" i="69"/>
  <c r="D44" i="69" s="1"/>
  <c r="N36" i="223"/>
  <c r="N42" i="223"/>
  <c r="C53" i="141"/>
  <c r="N44" i="223"/>
  <c r="N40" i="223"/>
  <c r="N46" i="223"/>
  <c r="B41" i="69"/>
  <c r="D41" i="69" s="1"/>
  <c r="V66" i="142"/>
  <c r="E49" i="141"/>
  <c r="C49" i="141" s="1"/>
  <c r="I19" i="69"/>
  <c r="I18" i="69"/>
  <c r="C70" i="69"/>
  <c r="A61" i="134"/>
  <c r="D61" i="134" s="1"/>
  <c r="B19" i="69"/>
  <c r="C55" i="253" l="1"/>
  <c r="C55" i="260"/>
  <c r="C73" i="261"/>
  <c r="C73" i="142"/>
  <c r="C55" i="259"/>
  <c r="G70" i="261"/>
  <c r="K70" i="261"/>
  <c r="P55" i="260"/>
  <c r="P55" i="259"/>
  <c r="G66" i="261"/>
  <c r="K66" i="261"/>
  <c r="V73" i="261"/>
  <c r="T22" i="223"/>
  <c r="T26" i="223"/>
  <c r="T27" i="223"/>
  <c r="T25" i="223"/>
  <c r="T24" i="223"/>
  <c r="T21" i="223"/>
  <c r="T30" i="223"/>
  <c r="T23" i="223"/>
  <c r="T28" i="223"/>
  <c r="T29" i="223"/>
  <c r="P55" i="253"/>
  <c r="C56" i="141"/>
  <c r="V73" i="142"/>
  <c r="B48" i="69"/>
  <c r="A62" i="134"/>
  <c r="D62" i="134" s="1"/>
  <c r="Z15" i="68"/>
  <c r="G73" i="261" l="1"/>
  <c r="G69" i="261" s="1"/>
  <c r="G68" i="261" s="1"/>
  <c r="K73" i="261"/>
  <c r="K69" i="261" s="1"/>
  <c r="K68" i="261" s="1"/>
  <c r="W21" i="223"/>
  <c r="N20" i="140"/>
  <c r="Q20" i="140" s="1"/>
  <c r="P20" i="140" s="1"/>
  <c r="N20" i="141"/>
  <c r="N22" i="140"/>
  <c r="Q22" i="140" s="1"/>
  <c r="P22" i="140" s="1"/>
  <c r="N22" i="141"/>
  <c r="N27" i="140"/>
  <c r="Q27" i="140" s="1"/>
  <c r="P27" i="140" s="1"/>
  <c r="N27" i="141"/>
  <c r="N24" i="140"/>
  <c r="Q24" i="140" s="1"/>
  <c r="P24" i="140" s="1"/>
  <c r="N24" i="141"/>
  <c r="N26" i="140"/>
  <c r="Q26" i="140" s="1"/>
  <c r="P26" i="140" s="1"/>
  <c r="N26" i="141"/>
  <c r="N23" i="140"/>
  <c r="Q23" i="140" s="1"/>
  <c r="P23" i="140" s="1"/>
  <c r="N23" i="141"/>
  <c r="N25" i="140"/>
  <c r="Q25" i="140" s="1"/>
  <c r="P25" i="140" s="1"/>
  <c r="N25" i="141"/>
  <c r="N21" i="140"/>
  <c r="Q21" i="140" s="1"/>
  <c r="P21" i="140" s="1"/>
  <c r="N21" i="141"/>
  <c r="N19" i="140"/>
  <c r="Q19" i="140" s="1"/>
  <c r="P19" i="140" s="1"/>
  <c r="N19" i="141"/>
  <c r="W27" i="223"/>
  <c r="W29" i="223"/>
  <c r="W28" i="223"/>
  <c r="W24" i="223"/>
  <c r="W26" i="223"/>
  <c r="W30" i="223"/>
  <c r="W23" i="223"/>
  <c r="W25" i="223"/>
  <c r="W22" i="223"/>
  <c r="T39" i="223"/>
  <c r="T38" i="223"/>
  <c r="T32" i="223"/>
  <c r="T35" i="223"/>
  <c r="T34" i="223"/>
  <c r="T37" i="223"/>
  <c r="T36" i="223"/>
  <c r="T33" i="223"/>
  <c r="T40" i="223"/>
  <c r="Z16" i="68"/>
  <c r="AB15" i="68"/>
  <c r="AC15" i="68" s="1"/>
  <c r="AD15" i="68"/>
  <c r="AE15" i="68" s="1"/>
  <c r="P50" i="253"/>
  <c r="N18" i="141"/>
  <c r="N18" i="140"/>
  <c r="Q18" i="140" s="1"/>
  <c r="P18" i="140" s="1"/>
  <c r="A63" i="134"/>
  <c r="D63" i="134" s="1"/>
  <c r="M9" i="253"/>
  <c r="M10" i="253" s="1"/>
  <c r="N33" i="141" l="1"/>
  <c r="N37" i="141"/>
  <c r="N31" i="141"/>
  <c r="N36" i="141"/>
  <c r="N29" i="141"/>
  <c r="N34" i="141"/>
  <c r="N35" i="141"/>
  <c r="N30" i="141"/>
  <c r="N32" i="141"/>
  <c r="V26" i="223"/>
  <c r="Q23" i="141"/>
  <c r="V30" i="223"/>
  <c r="Q27" i="141"/>
  <c r="V29" i="223"/>
  <c r="Q26" i="141"/>
  <c r="V22" i="223"/>
  <c r="Q19" i="141"/>
  <c r="V27" i="223"/>
  <c r="Q24" i="141"/>
  <c r="V25" i="223"/>
  <c r="Q22" i="141"/>
  <c r="V24" i="223"/>
  <c r="Q21" i="141"/>
  <c r="V23" i="223"/>
  <c r="Q20" i="141"/>
  <c r="V28" i="223"/>
  <c r="Q25" i="141"/>
  <c r="W35" i="223"/>
  <c r="N32" i="140"/>
  <c r="Q32" i="140" s="1"/>
  <c r="P32" i="140" s="1"/>
  <c r="W40" i="223"/>
  <c r="N37" i="140"/>
  <c r="Q37" i="140" s="1"/>
  <c r="P37" i="140" s="1"/>
  <c r="W37" i="223"/>
  <c r="N34" i="140"/>
  <c r="Q34" i="140" s="1"/>
  <c r="P34" i="140" s="1"/>
  <c r="W32" i="223"/>
  <c r="N29" i="140"/>
  <c r="Q29" i="140" s="1"/>
  <c r="P29" i="140" s="1"/>
  <c r="W39" i="223"/>
  <c r="N36" i="140"/>
  <c r="Q36" i="140" s="1"/>
  <c r="P36" i="140" s="1"/>
  <c r="W33" i="223"/>
  <c r="N30" i="140"/>
  <c r="Q30" i="140" s="1"/>
  <c r="P30" i="140" s="1"/>
  <c r="W36" i="223"/>
  <c r="N33" i="140"/>
  <c r="Q33" i="140" s="1"/>
  <c r="P33" i="140" s="1"/>
  <c r="W34" i="223"/>
  <c r="N31" i="140"/>
  <c r="Q31" i="140" s="1"/>
  <c r="P31" i="140" s="1"/>
  <c r="W38" i="223"/>
  <c r="N35" i="140"/>
  <c r="Q35" i="140" s="1"/>
  <c r="P35" i="140" s="1"/>
  <c r="Z17" i="68"/>
  <c r="AD16" i="68"/>
  <c r="AE16" i="68" s="1"/>
  <c r="AB16" i="68"/>
  <c r="AC16" i="68" s="1"/>
  <c r="A64" i="134"/>
  <c r="D64" i="134" s="1"/>
  <c r="M11" i="253"/>
  <c r="Q30" i="141" l="1"/>
  <c r="Q37" i="141"/>
  <c r="Q31" i="141"/>
  <c r="Q29" i="141"/>
  <c r="Q35" i="141"/>
  <c r="Q33" i="141"/>
  <c r="Q36" i="141"/>
  <c r="Q34" i="141"/>
  <c r="Q32" i="141"/>
  <c r="V33" i="223"/>
  <c r="P20" i="141"/>
  <c r="V35" i="223"/>
  <c r="P22" i="141"/>
  <c r="V32" i="223"/>
  <c r="P19" i="141"/>
  <c r="V40" i="223"/>
  <c r="P27" i="141"/>
  <c r="P25" i="141"/>
  <c r="V38" i="223"/>
  <c r="V34" i="223"/>
  <c r="P21" i="141"/>
  <c r="P24" i="141"/>
  <c r="V37" i="223"/>
  <c r="P26" i="141"/>
  <c r="V39" i="223"/>
  <c r="V36" i="223"/>
  <c r="P23" i="141"/>
  <c r="Z18" i="68"/>
  <c r="AB17" i="68"/>
  <c r="AC17" i="68" s="1"/>
  <c r="AD17" i="68"/>
  <c r="AE17" i="68" s="1"/>
  <c r="A65" i="134"/>
  <c r="D65" i="134" s="1"/>
  <c r="M12" i="253"/>
  <c r="P34" i="141" l="1"/>
  <c r="P33" i="141"/>
  <c r="P29" i="141"/>
  <c r="P30" i="141"/>
  <c r="P36" i="141"/>
  <c r="P35" i="141"/>
  <c r="P31" i="141"/>
  <c r="P37" i="141"/>
  <c r="P32" i="141"/>
  <c r="Z19" i="68"/>
  <c r="AB18" i="68"/>
  <c r="AC18" i="68" s="1"/>
  <c r="AD18" i="68"/>
  <c r="AE18" i="68" s="1"/>
  <c r="A66" i="134"/>
  <c r="D66" i="134" s="1"/>
  <c r="K66" i="142"/>
  <c r="G66" i="142"/>
  <c r="Z20" i="68" l="1"/>
  <c r="AD19" i="68"/>
  <c r="AE19" i="68" s="1"/>
  <c r="AB19" i="68"/>
  <c r="AC19" i="68" s="1"/>
  <c r="A67" i="134"/>
  <c r="D67" i="134" s="1"/>
  <c r="N47" i="142"/>
  <c r="N57" i="142"/>
  <c r="Z21" i="68" l="1"/>
  <c r="AD20" i="68"/>
  <c r="AE20" i="68" s="1"/>
  <c r="AB20" i="68"/>
  <c r="AC20" i="68" s="1"/>
  <c r="A68" i="134"/>
  <c r="D68" i="134" s="1"/>
  <c r="B50" i="68"/>
  <c r="B65" i="68" s="1"/>
  <c r="B49" i="68"/>
  <c r="C8" i="2"/>
  <c r="C7" i="2"/>
  <c r="Z22" i="68" l="1"/>
  <c r="AB21" i="68"/>
  <c r="AC21" i="68" s="1"/>
  <c r="AD21" i="68"/>
  <c r="AE21" i="68" s="1"/>
  <c r="A69" i="134"/>
  <c r="D69" i="134" s="1"/>
  <c r="B64" i="68"/>
  <c r="G48" i="68"/>
  <c r="H48" i="68"/>
  <c r="Z23" i="68" l="1"/>
  <c r="AD22" i="68"/>
  <c r="AE22" i="68" s="1"/>
  <c r="AB22" i="68"/>
  <c r="AC22" i="68" s="1"/>
  <c r="A70" i="134"/>
  <c r="D70" i="134" s="1"/>
  <c r="C13" i="2"/>
  <c r="A61" i="69"/>
  <c r="A58" i="69"/>
  <c r="A57" i="69"/>
  <c r="A56" i="69"/>
  <c r="A55" i="69"/>
  <c r="Z24" i="68" l="1"/>
  <c r="AB23" i="68"/>
  <c r="AC23" i="68" s="1"/>
  <c r="AD23" i="68"/>
  <c r="AE23" i="68" s="1"/>
  <c r="A71" i="134"/>
  <c r="D71" i="134" s="1"/>
  <c r="F18" i="2"/>
  <c r="E18" i="2" s="1"/>
  <c r="H61" i="2" s="1"/>
  <c r="T93" i="2"/>
  <c r="T97" i="2"/>
  <c r="T91" i="2"/>
  <c r="T87" i="2"/>
  <c r="T81" i="2"/>
  <c r="T90" i="2"/>
  <c r="T82" i="2"/>
  <c r="T96" i="2"/>
  <c r="T85" i="2"/>
  <c r="T79" i="2"/>
  <c r="T88" i="2"/>
  <c r="T78" i="2"/>
  <c r="T94" i="2"/>
  <c r="T84" i="2"/>
  <c r="E38" i="2" l="1"/>
  <c r="E28" i="2"/>
  <c r="Z25" i="68"/>
  <c r="AD24" i="68"/>
  <c r="AE24" i="68" s="1"/>
  <c r="AB24" i="68"/>
  <c r="AC24" i="68" s="1"/>
  <c r="A72" i="134"/>
  <c r="D72" i="134" s="1"/>
  <c r="I61" i="2"/>
  <c r="J61" i="2" s="1"/>
  <c r="F28" i="2"/>
  <c r="Z26" i="68" l="1"/>
  <c r="AB25" i="68"/>
  <c r="AC25" i="68" s="1"/>
  <c r="AD25" i="68"/>
  <c r="AE25" i="68" s="1"/>
  <c r="A73" i="134"/>
  <c r="D73" i="134" s="1"/>
  <c r="G28" i="2"/>
  <c r="Z27" i="68" l="1"/>
  <c r="AB26" i="68"/>
  <c r="AC26" i="68" s="1"/>
  <c r="AD26" i="68"/>
  <c r="AE26" i="68" s="1"/>
  <c r="A74" i="134"/>
  <c r="D74" i="134" s="1"/>
  <c r="F6" i="2"/>
  <c r="F4" i="2"/>
  <c r="D6" i="2"/>
  <c r="D4" i="2"/>
  <c r="D43" i="68"/>
  <c r="H52" i="68"/>
  <c r="D46" i="68"/>
  <c r="Z28" i="68" l="1"/>
  <c r="AD27" i="68"/>
  <c r="AE27" i="68" s="1"/>
  <c r="AB27" i="68"/>
  <c r="AC27" i="68" s="1"/>
  <c r="A75" i="134"/>
  <c r="D75" i="134" s="1"/>
  <c r="B53" i="68"/>
  <c r="AD28" i="68" l="1"/>
  <c r="AE28" i="68" s="1"/>
  <c r="AB28" i="68"/>
  <c r="AC28" i="68" s="1"/>
  <c r="A76" i="134"/>
  <c r="D76" i="134" s="1"/>
  <c r="K49" i="68"/>
  <c r="K45" i="68"/>
  <c r="K53" i="68"/>
  <c r="B54" i="68"/>
  <c r="A77" i="134" l="1"/>
  <c r="D77" i="134" s="1"/>
  <c r="T26" i="68"/>
  <c r="T25" i="68" s="1"/>
  <c r="U25" i="68" s="1"/>
  <c r="A78" i="134" l="1"/>
  <c r="D78" i="134" s="1"/>
  <c r="U26" i="68"/>
  <c r="X26" i="68" s="1"/>
  <c r="X25" i="68"/>
  <c r="V25" i="68"/>
  <c r="W25" i="68" s="1"/>
  <c r="T24" i="68"/>
  <c r="A79" i="134" l="1"/>
  <c r="D79" i="134" s="1"/>
  <c r="V26" i="68"/>
  <c r="W26" i="68" s="1"/>
  <c r="U24" i="68"/>
  <c r="T23" i="68"/>
  <c r="A80" i="134" l="1"/>
  <c r="D80" i="134" s="1"/>
  <c r="U23" i="68"/>
  <c r="T22" i="68"/>
  <c r="X24" i="68"/>
  <c r="V24" i="68"/>
  <c r="W24" i="68" s="1"/>
  <c r="A81" i="134" l="1"/>
  <c r="D81" i="134" s="1"/>
  <c r="U22" i="68"/>
  <c r="T21" i="68"/>
  <c r="X23" i="68"/>
  <c r="V23" i="68"/>
  <c r="W23" i="68" s="1"/>
  <c r="A82" i="134" l="1"/>
  <c r="D82" i="134" s="1"/>
  <c r="U21" i="68"/>
  <c r="T20" i="68"/>
  <c r="X22" i="68"/>
  <c r="V22" i="68"/>
  <c r="W22" i="68" s="1"/>
  <c r="A83" i="134" l="1"/>
  <c r="D83" i="134" s="1"/>
  <c r="U20" i="68"/>
  <c r="T19" i="68"/>
  <c r="X21" i="68"/>
  <c r="V21" i="68"/>
  <c r="W21" i="68" s="1"/>
  <c r="A84" i="134" l="1"/>
  <c r="D84" i="134" s="1"/>
  <c r="U19" i="68"/>
  <c r="T18" i="68"/>
  <c r="X20" i="68"/>
  <c r="V20" i="68"/>
  <c r="W20" i="68" s="1"/>
  <c r="A85" i="134" l="1"/>
  <c r="D85" i="134" s="1"/>
  <c r="U18" i="68"/>
  <c r="T17" i="68"/>
  <c r="X19" i="68"/>
  <c r="V19" i="68"/>
  <c r="W19" i="68" s="1"/>
  <c r="A86" i="134" l="1"/>
  <c r="D86" i="134" s="1"/>
  <c r="U17" i="68"/>
  <c r="T16" i="68"/>
  <c r="X18" i="68"/>
  <c r="V18" i="68"/>
  <c r="W18" i="68" s="1"/>
  <c r="A87" i="134" l="1"/>
  <c r="D87" i="134" s="1"/>
  <c r="U16" i="68"/>
  <c r="T15" i="68"/>
  <c r="X17" i="68"/>
  <c r="V17" i="68"/>
  <c r="W17" i="68" s="1"/>
  <c r="A88" i="134" l="1"/>
  <c r="D88" i="134" s="1"/>
  <c r="U15" i="68"/>
  <c r="T14" i="68"/>
  <c r="X16" i="68"/>
  <c r="V16" i="68"/>
  <c r="W16" i="68" s="1"/>
  <c r="A89" i="134" l="1"/>
  <c r="D89" i="134" s="1"/>
  <c r="X15" i="68"/>
  <c r="V15" i="68"/>
  <c r="W15" i="68" s="1"/>
  <c r="U14" i="68"/>
  <c r="T13" i="68"/>
  <c r="A90" i="134" l="1"/>
  <c r="D90" i="134" s="1"/>
  <c r="X14" i="68"/>
  <c r="V14" i="68"/>
  <c r="W14" i="68" s="1"/>
  <c r="U13" i="68"/>
  <c r="T12" i="68"/>
  <c r="A91" i="134" l="1"/>
  <c r="D91" i="134" s="1"/>
  <c r="X13" i="68"/>
  <c r="V13" i="68"/>
  <c r="W13" i="68" s="1"/>
  <c r="U12" i="68"/>
  <c r="T11" i="68"/>
  <c r="A92" i="134" l="1"/>
  <c r="D92" i="134" s="1"/>
  <c r="X12" i="68"/>
  <c r="V12" i="68"/>
  <c r="W12" i="68" s="1"/>
  <c r="U11" i="68"/>
  <c r="T10" i="68"/>
  <c r="A110" i="134" l="1"/>
  <c r="D110" i="134" s="1"/>
  <c r="X11" i="68"/>
  <c r="V11" i="68"/>
  <c r="W11" i="68" s="1"/>
  <c r="U10" i="68"/>
  <c r="T9" i="68"/>
  <c r="A111" i="134" l="1"/>
  <c r="D111" i="134" s="1"/>
  <c r="X10" i="68"/>
  <c r="V10" i="68"/>
  <c r="W10" i="68" s="1"/>
  <c r="U9" i="68"/>
  <c r="T8" i="68"/>
  <c r="A112" i="134" l="1"/>
  <c r="D112" i="134" s="1"/>
  <c r="X9" i="68"/>
  <c r="V9" i="68"/>
  <c r="W9" i="68" s="1"/>
  <c r="U8" i="68"/>
  <c r="T7" i="68"/>
  <c r="A113" i="134" l="1"/>
  <c r="D113" i="134" s="1"/>
  <c r="X8" i="68"/>
  <c r="V8" i="68"/>
  <c r="W8" i="68" s="1"/>
  <c r="U7" i="68"/>
  <c r="T6" i="68"/>
  <c r="A114" i="134" l="1"/>
  <c r="D114" i="134" s="1"/>
  <c r="X7" i="68"/>
  <c r="V7" i="68"/>
  <c r="W7" i="68" s="1"/>
  <c r="U6" i="68"/>
  <c r="T5" i="68"/>
  <c r="U5" i="68" s="1"/>
  <c r="A115" i="134" l="1"/>
  <c r="D115" i="134" s="1"/>
  <c r="X6" i="68"/>
  <c r="V6" i="68"/>
  <c r="W6" i="68" s="1"/>
  <c r="X5" i="68"/>
  <c r="V5" i="68"/>
  <c r="W5" i="68" s="1"/>
  <c r="A116" i="134" l="1"/>
  <c r="D116" i="134" s="1"/>
  <c r="U27" i="68"/>
  <c r="A117" i="134" l="1"/>
  <c r="D117" i="134" s="1"/>
  <c r="V27" i="68"/>
  <c r="W27" i="68" s="1"/>
  <c r="X27" i="68"/>
  <c r="A118" i="134" l="1"/>
  <c r="D118" i="134" s="1"/>
  <c r="A119" i="134" l="1"/>
  <c r="D119" i="134" s="1"/>
  <c r="J18" i="2"/>
  <c r="A120" i="134" l="1"/>
  <c r="D120" i="134" s="1"/>
  <c r="M58" i="2" a="1"/>
  <c r="O58" i="2" s="1"/>
  <c r="A121" i="134" l="1"/>
  <c r="D121" i="134" s="1"/>
  <c r="M58" i="2"/>
  <c r="N58" i="2"/>
  <c r="A122" i="134" l="1"/>
  <c r="D122" i="134" s="1"/>
  <c r="M56" i="2" a="1"/>
  <c r="M56" i="2" s="1"/>
  <c r="A123" i="134" l="1"/>
  <c r="D123" i="134" s="1"/>
  <c r="N56" i="2"/>
  <c r="A124" i="134" l="1"/>
  <c r="D124" i="134" s="1"/>
  <c r="E13" i="2"/>
  <c r="H13" i="2" s="1"/>
  <c r="A13" i="2" s="1"/>
  <c r="A125" i="134" l="1"/>
  <c r="D125" i="134" s="1"/>
  <c r="H7" i="2"/>
  <c r="J7" i="2" s="1"/>
  <c r="A126" i="134" l="1"/>
  <c r="D126" i="134" s="1"/>
  <c r="M61" i="2" a="1"/>
  <c r="N61" i="2" s="1"/>
  <c r="A127" i="134" l="1"/>
  <c r="D127" i="134" s="1"/>
  <c r="N62" i="2"/>
  <c r="M65" i="2"/>
  <c r="O64" i="2"/>
  <c r="N63" i="2"/>
  <c r="O65" i="2"/>
  <c r="M61" i="2"/>
  <c r="N64" i="2"/>
  <c r="M62" i="2"/>
  <c r="O61" i="2"/>
  <c r="O63" i="2"/>
  <c r="M63" i="2"/>
  <c r="N65" i="2"/>
  <c r="M64" i="2"/>
  <c r="O62" i="2"/>
  <c r="A128" i="134" l="1"/>
  <c r="D128" i="134" s="1"/>
  <c r="A129" i="134" l="1"/>
  <c r="D129" i="134" s="1"/>
  <c r="G70" i="142"/>
  <c r="K70" i="142"/>
  <c r="A130" i="134" l="1"/>
  <c r="D130" i="134" s="1"/>
  <c r="A131" i="134" l="1"/>
  <c r="D131" i="134" s="1"/>
  <c r="F38" i="2"/>
  <c r="G38" i="2" s="1"/>
  <c r="A132" i="134" l="1"/>
  <c r="D132" i="134" s="1"/>
  <c r="A133" i="134" l="1"/>
  <c r="D133" i="134" s="1"/>
  <c r="M2" i="231"/>
  <c r="K20" i="231" s="1"/>
  <c r="N17" i="142"/>
  <c r="D25" i="223"/>
  <c r="G44" i="68"/>
  <c r="H44" i="68" s="1"/>
  <c r="C54" i="253" l="1"/>
  <c r="C54" i="260"/>
  <c r="M8" i="260" s="1"/>
  <c r="C72" i="261"/>
  <c r="N37" i="261" s="1"/>
  <c r="C72" i="142"/>
  <c r="C54" i="259"/>
  <c r="M8" i="259" s="1"/>
  <c r="D86" i="223"/>
  <c r="D106" i="223"/>
  <c r="P54" i="259"/>
  <c r="P54" i="260"/>
  <c r="V72" i="261"/>
  <c r="D66" i="223"/>
  <c r="A134" i="134"/>
  <c r="D134" i="134" s="1"/>
  <c r="K5" i="231"/>
  <c r="K3" i="231"/>
  <c r="K44" i="231"/>
  <c r="K7" i="231"/>
  <c r="K9" i="231"/>
  <c r="K30" i="231"/>
  <c r="K38" i="231"/>
  <c r="K17" i="231"/>
  <c r="K34" i="231"/>
  <c r="K11" i="231"/>
  <c r="K26" i="231"/>
  <c r="K62" i="231"/>
  <c r="K48" i="231"/>
  <c r="Z59" i="69" s="1"/>
  <c r="K43" i="231"/>
  <c r="K57" i="231"/>
  <c r="K50" i="231"/>
  <c r="K14" i="231"/>
  <c r="K59" i="231"/>
  <c r="K52" i="231"/>
  <c r="K13" i="231"/>
  <c r="K61" i="231"/>
  <c r="K47" i="231"/>
  <c r="Z58" i="69" s="1"/>
  <c r="K63" i="231"/>
  <c r="K54" i="231"/>
  <c r="K56" i="231"/>
  <c r="K49" i="231"/>
  <c r="Z60" i="69" s="1"/>
  <c r="K35" i="231"/>
  <c r="K58" i="231"/>
  <c r="K51" i="231"/>
  <c r="K29" i="231"/>
  <c r="K60" i="231"/>
  <c r="K53" i="231"/>
  <c r="K46" i="231"/>
  <c r="Z57" i="69" s="1"/>
  <c r="K55" i="231"/>
  <c r="K21" i="231"/>
  <c r="K45" i="231"/>
  <c r="K12" i="231"/>
  <c r="K15" i="231"/>
  <c r="K28" i="231"/>
  <c r="K16" i="231"/>
  <c r="K22" i="231"/>
  <c r="K6" i="231"/>
  <c r="K4" i="231"/>
  <c r="K33" i="231"/>
  <c r="K31" i="231"/>
  <c r="K25" i="231"/>
  <c r="K10" i="231"/>
  <c r="K2" i="231"/>
  <c r="K40" i="231"/>
  <c r="K42" i="231"/>
  <c r="K39" i="231"/>
  <c r="K23" i="231"/>
  <c r="K36" i="231"/>
  <c r="K18" i="231"/>
  <c r="K24" i="231"/>
  <c r="K41" i="231"/>
  <c r="K8" i="231"/>
  <c r="K19" i="231"/>
  <c r="K37" i="231"/>
  <c r="K32" i="231"/>
  <c r="K27" i="231"/>
  <c r="V72" i="142"/>
  <c r="P54" i="253"/>
  <c r="S11" i="223"/>
  <c r="C55" i="140"/>
  <c r="C55" i="141"/>
  <c r="B46" i="69"/>
  <c r="B59" i="69"/>
  <c r="B11" i="245"/>
  <c r="E11" i="245" s="1"/>
  <c r="D186" i="223"/>
  <c r="D206" i="223"/>
  <c r="D126" i="223"/>
  <c r="D146" i="223"/>
  <c r="D166" i="223"/>
  <c r="D56" i="223"/>
  <c r="Z56" i="69" l="1"/>
  <c r="D107" i="223"/>
  <c r="D110" i="223"/>
  <c r="D113" i="223"/>
  <c r="D116" i="223"/>
  <c r="D121" i="223"/>
  <c r="G107" i="223"/>
  <c r="D111" i="223"/>
  <c r="G122" i="223"/>
  <c r="D109" i="223"/>
  <c r="G108" i="223"/>
  <c r="G111" i="223"/>
  <c r="G114" i="223"/>
  <c r="D118" i="223"/>
  <c r="D112" i="223"/>
  <c r="G115" i="223"/>
  <c r="G118" i="223"/>
  <c r="G112" i="223"/>
  <c r="D122" i="223"/>
  <c r="G110" i="223"/>
  <c r="D115" i="223"/>
  <c r="D117" i="223"/>
  <c r="D108" i="223"/>
  <c r="D87" i="223"/>
  <c r="D90" i="223"/>
  <c r="D101" i="223"/>
  <c r="D98" i="223"/>
  <c r="D91" i="223"/>
  <c r="G94" i="223"/>
  <c r="G102" i="223"/>
  <c r="G87" i="223"/>
  <c r="D92" i="223"/>
  <c r="G95" i="223"/>
  <c r="G88" i="223"/>
  <c r="D93" i="223"/>
  <c r="D89" i="223"/>
  <c r="D97" i="223"/>
  <c r="G90" i="223"/>
  <c r="G98" i="223"/>
  <c r="D95" i="223"/>
  <c r="D96" i="223"/>
  <c r="G92" i="223"/>
  <c r="G91" i="223"/>
  <c r="D102" i="223"/>
  <c r="D88" i="223"/>
  <c r="Z55" i="69"/>
  <c r="Z54" i="69"/>
  <c r="U19" i="223"/>
  <c r="U15" i="223"/>
  <c r="U16" i="223"/>
  <c r="U20" i="223"/>
  <c r="U13" i="223"/>
  <c r="U14" i="223"/>
  <c r="U18" i="223"/>
  <c r="U17" i="223"/>
  <c r="U12" i="223"/>
  <c r="T18" i="223"/>
  <c r="T19" i="223"/>
  <c r="T20" i="223"/>
  <c r="T17" i="223"/>
  <c r="T16" i="223"/>
  <c r="T13" i="223"/>
  <c r="T12" i="223"/>
  <c r="T14" i="223"/>
  <c r="T15" i="223"/>
  <c r="V15" i="223"/>
  <c r="V18" i="223"/>
  <c r="V17" i="223"/>
  <c r="V20" i="223"/>
  <c r="V12" i="223"/>
  <c r="V14" i="223"/>
  <c r="V13" i="223"/>
  <c r="V19" i="223"/>
  <c r="V16" i="223"/>
  <c r="D157" i="223"/>
  <c r="D148" i="223"/>
  <c r="D158" i="223"/>
  <c r="D153" i="223"/>
  <c r="G147" i="223"/>
  <c r="D162" i="223"/>
  <c r="G150" i="223"/>
  <c r="G162" i="223"/>
  <c r="D152" i="223"/>
  <c r="G155" i="223"/>
  <c r="D149" i="223"/>
  <c r="D150" i="223"/>
  <c r="G152" i="223"/>
  <c r="D156" i="223"/>
  <c r="G148" i="223"/>
  <c r="G151" i="223"/>
  <c r="G154" i="223"/>
  <c r="D155" i="223"/>
  <c r="D161" i="223"/>
  <c r="D151" i="223"/>
  <c r="G158" i="223"/>
  <c r="G195" i="223"/>
  <c r="G192" i="223"/>
  <c r="D188" i="223"/>
  <c r="G190" i="223"/>
  <c r="D198" i="223"/>
  <c r="G188" i="223"/>
  <c r="G202" i="223"/>
  <c r="D195" i="223"/>
  <c r="D191" i="223"/>
  <c r="G198" i="223"/>
  <c r="D193" i="223"/>
  <c r="D196" i="223"/>
  <c r="G194" i="223"/>
  <c r="D201" i="223"/>
  <c r="G187" i="223"/>
  <c r="D197" i="223"/>
  <c r="D189" i="223"/>
  <c r="D190" i="223"/>
  <c r="G191" i="223"/>
  <c r="D192" i="223"/>
  <c r="D202" i="223"/>
  <c r="G135" i="223"/>
  <c r="G128" i="223"/>
  <c r="G138" i="223"/>
  <c r="D133" i="223"/>
  <c r="D131" i="223"/>
  <c r="D136" i="223"/>
  <c r="D132" i="223"/>
  <c r="D141" i="223"/>
  <c r="D135" i="223"/>
  <c r="G134" i="223"/>
  <c r="D128" i="223"/>
  <c r="D138" i="223"/>
  <c r="D129" i="223"/>
  <c r="G127" i="223"/>
  <c r="D137" i="223"/>
  <c r="G130" i="223"/>
  <c r="G131" i="223"/>
  <c r="D130" i="223"/>
  <c r="D142" i="223"/>
  <c r="G132" i="223"/>
  <c r="G142" i="223"/>
  <c r="D211" i="223"/>
  <c r="G215" i="223"/>
  <c r="D213" i="223"/>
  <c r="G218" i="223"/>
  <c r="G208" i="223"/>
  <c r="D212" i="223"/>
  <c r="G212" i="223"/>
  <c r="G214" i="223"/>
  <c r="D215" i="223"/>
  <c r="D216" i="223"/>
  <c r="G207" i="223"/>
  <c r="D217" i="223"/>
  <c r="D209" i="223"/>
  <c r="D208" i="223"/>
  <c r="D218" i="223"/>
  <c r="D221" i="223"/>
  <c r="D210" i="223"/>
  <c r="D222" i="223"/>
  <c r="G211" i="223"/>
  <c r="G210" i="223"/>
  <c r="G222" i="223"/>
  <c r="D76" i="223"/>
  <c r="B10" i="245" s="1"/>
  <c r="G67" i="223"/>
  <c r="G70" i="223"/>
  <c r="D69" i="223"/>
  <c r="D70" i="223"/>
  <c r="D68" i="223"/>
  <c r="G75" i="223"/>
  <c r="D81" i="223"/>
  <c r="D72" i="223"/>
  <c r="D75" i="223"/>
  <c r="C75" i="260" s="1"/>
  <c r="G71" i="223"/>
  <c r="G74" i="223"/>
  <c r="G72" i="223"/>
  <c r="G68" i="223"/>
  <c r="D77" i="223"/>
  <c r="D78" i="223"/>
  <c r="D71" i="223"/>
  <c r="D82" i="223"/>
  <c r="G82" i="223"/>
  <c r="D73" i="223"/>
  <c r="G78" i="223"/>
  <c r="G178" i="223"/>
  <c r="D175" i="223"/>
  <c r="G172" i="223"/>
  <c r="D170" i="223"/>
  <c r="D178" i="223"/>
  <c r="G174" i="223"/>
  <c r="D172" i="223"/>
  <c r="G168" i="223"/>
  <c r="G182" i="223"/>
  <c r="D182" i="223"/>
  <c r="D173" i="223"/>
  <c r="G167" i="223"/>
  <c r="D177" i="223"/>
  <c r="D171" i="223"/>
  <c r="D168" i="223"/>
  <c r="G175" i="223"/>
  <c r="G170" i="223"/>
  <c r="D176" i="223"/>
  <c r="D169" i="223"/>
  <c r="G171" i="223"/>
  <c r="D181" i="223"/>
  <c r="Z51" i="69"/>
  <c r="Z53" i="69"/>
  <c r="Z52" i="69"/>
  <c r="D67" i="223"/>
  <c r="A135" i="134"/>
  <c r="D135" i="134" s="1"/>
  <c r="Z50" i="69"/>
  <c r="Z47" i="69"/>
  <c r="Z49" i="69"/>
  <c r="Z48" i="69"/>
  <c r="Z46" i="69"/>
  <c r="Z45" i="69"/>
  <c r="Z44" i="69"/>
  <c r="P59" i="69"/>
  <c r="P58" i="69"/>
  <c r="P60" i="69"/>
  <c r="P62" i="69"/>
  <c r="P68" i="69"/>
  <c r="P72" i="69"/>
  <c r="P69" i="69"/>
  <c r="P63" i="69"/>
  <c r="P74" i="69"/>
  <c r="P67" i="69"/>
  <c r="P64" i="69"/>
  <c r="P65" i="69"/>
  <c r="P71" i="69"/>
  <c r="P70" i="69"/>
  <c r="P73" i="69"/>
  <c r="P66" i="69"/>
  <c r="P61" i="69"/>
  <c r="M8" i="140"/>
  <c r="N7" i="261" s="1"/>
  <c r="M8" i="141"/>
  <c r="P51" i="69"/>
  <c r="Z68" i="69"/>
  <c r="P45" i="69"/>
  <c r="Z62" i="69"/>
  <c r="P46" i="69"/>
  <c r="Z63" i="69"/>
  <c r="P55" i="69"/>
  <c r="Z72" i="69"/>
  <c r="P47" i="69"/>
  <c r="Z64" i="69"/>
  <c r="P49" i="69"/>
  <c r="Z66" i="69"/>
  <c r="P50" i="69"/>
  <c r="Z67" i="69"/>
  <c r="P48" i="69"/>
  <c r="Z65" i="69"/>
  <c r="P44" i="69"/>
  <c r="Z61" i="69"/>
  <c r="P57" i="69"/>
  <c r="Z74" i="69"/>
  <c r="P54" i="69"/>
  <c r="Z71" i="69"/>
  <c r="P53" i="69"/>
  <c r="Z70" i="69"/>
  <c r="P52" i="69"/>
  <c r="Z69" i="69"/>
  <c r="P56" i="69"/>
  <c r="Z73" i="69"/>
  <c r="B12" i="245"/>
  <c r="K12" i="245" s="1"/>
  <c r="L11" i="245"/>
  <c r="K11" i="245"/>
  <c r="D127" i="223"/>
  <c r="D207" i="223"/>
  <c r="D167" i="223"/>
  <c r="D147" i="223"/>
  <c r="D187" i="223"/>
  <c r="N37" i="142"/>
  <c r="E12" i="245"/>
  <c r="N11" i="245"/>
  <c r="O11" i="245"/>
  <c r="G116" i="223" l="1"/>
  <c r="G96" i="223"/>
  <c r="D99" i="223"/>
  <c r="D100" i="223" s="1"/>
  <c r="G99" i="223"/>
  <c r="G100" i="223" s="1"/>
  <c r="G103" i="223"/>
  <c r="D103" i="223" s="1"/>
  <c r="G119" i="223"/>
  <c r="G120" i="223" s="1"/>
  <c r="D119" i="223"/>
  <c r="D120" i="223" s="1"/>
  <c r="G123" i="223"/>
  <c r="D123" i="223" s="1"/>
  <c r="E10" i="245"/>
  <c r="J75" i="260"/>
  <c r="F75" i="260"/>
  <c r="G75" i="260"/>
  <c r="I75" i="260"/>
  <c r="E75" i="260"/>
  <c r="H75" i="260"/>
  <c r="D75" i="260"/>
  <c r="C75" i="259"/>
  <c r="P11" i="141"/>
  <c r="P15" i="141"/>
  <c r="N17" i="141"/>
  <c r="O17" i="141"/>
  <c r="P16" i="261" s="1"/>
  <c r="P13" i="141"/>
  <c r="P9" i="141"/>
  <c r="N10" i="141"/>
  <c r="O9" i="261" s="1"/>
  <c r="O15" i="141"/>
  <c r="O14" i="141"/>
  <c r="P12" i="141"/>
  <c r="O13" i="141"/>
  <c r="P12" i="261" s="1"/>
  <c r="P16" i="141"/>
  <c r="P17" i="141"/>
  <c r="O11" i="141"/>
  <c r="P10" i="141"/>
  <c r="P14" i="141"/>
  <c r="N11" i="141"/>
  <c r="O10" i="141"/>
  <c r="N9" i="140"/>
  <c r="N9" i="141"/>
  <c r="N16" i="140"/>
  <c r="N16" i="141"/>
  <c r="N12" i="140"/>
  <c r="N12" i="141"/>
  <c r="N13" i="140"/>
  <c r="N13" i="141"/>
  <c r="N15" i="140"/>
  <c r="N15" i="141"/>
  <c r="O12" i="140"/>
  <c r="T12" i="140" s="1"/>
  <c r="O12" i="141"/>
  <c r="N14" i="140"/>
  <c r="N14" i="141"/>
  <c r="O9" i="140"/>
  <c r="T9" i="140" s="1"/>
  <c r="O9" i="141"/>
  <c r="O16" i="140"/>
  <c r="T16" i="140" s="1"/>
  <c r="O16" i="141"/>
  <c r="W20" i="223"/>
  <c r="N17" i="140"/>
  <c r="Z17" i="223"/>
  <c r="O14" i="140"/>
  <c r="Z20" i="223"/>
  <c r="O17" i="140"/>
  <c r="T17" i="140" s="1"/>
  <c r="W13" i="223"/>
  <c r="N10" i="140"/>
  <c r="Z18" i="223"/>
  <c r="O15" i="140"/>
  <c r="Z16" i="223"/>
  <c r="O13" i="140"/>
  <c r="Z14" i="223"/>
  <c r="O11" i="140"/>
  <c r="T11" i="140" s="1"/>
  <c r="W14" i="223"/>
  <c r="N11" i="140"/>
  <c r="Z13" i="223"/>
  <c r="O10" i="140"/>
  <c r="T10" i="140" s="1"/>
  <c r="W16" i="223"/>
  <c r="W18" i="223"/>
  <c r="W15" i="223"/>
  <c r="Z15" i="223"/>
  <c r="W17" i="223"/>
  <c r="W12" i="223"/>
  <c r="Z12" i="223"/>
  <c r="W19" i="223"/>
  <c r="Z19" i="223"/>
  <c r="B13" i="245"/>
  <c r="D16" i="245"/>
  <c r="B16" i="245"/>
  <c r="B35" i="245"/>
  <c r="B31" i="245"/>
  <c r="C13" i="245"/>
  <c r="G79" i="223"/>
  <c r="G80" i="223" s="1"/>
  <c r="D79" i="223"/>
  <c r="D80" i="223" s="1"/>
  <c r="U80" i="223"/>
  <c r="AA80" i="223" s="1"/>
  <c r="C23" i="245"/>
  <c r="E23" i="245"/>
  <c r="C22" i="245"/>
  <c r="G76" i="223"/>
  <c r="G83" i="223"/>
  <c r="D83" i="223" s="1"/>
  <c r="G176" i="223"/>
  <c r="G216" i="223"/>
  <c r="G156" i="223"/>
  <c r="G196" i="223"/>
  <c r="G136" i="223"/>
  <c r="A136" i="134"/>
  <c r="D136" i="134" s="1"/>
  <c r="L12" i="245"/>
  <c r="B15" i="245"/>
  <c r="C115" i="140"/>
  <c r="C74" i="141"/>
  <c r="N51" i="245"/>
  <c r="H51" i="245"/>
  <c r="O52" i="245"/>
  <c r="I52" i="245"/>
  <c r="O51" i="245"/>
  <c r="I51" i="245"/>
  <c r="N52" i="245"/>
  <c r="H52" i="245"/>
  <c r="G183" i="223"/>
  <c r="D183" i="223" s="1"/>
  <c r="G223" i="223"/>
  <c r="D223" i="223" s="1"/>
  <c r="G163" i="223"/>
  <c r="D163" i="223" s="1"/>
  <c r="D159" i="223"/>
  <c r="D160" i="223" s="1"/>
  <c r="G159" i="223"/>
  <c r="G160" i="223" s="1"/>
  <c r="G219" i="223"/>
  <c r="G220" i="223" s="1"/>
  <c r="D219" i="223"/>
  <c r="D220" i="223" s="1"/>
  <c r="G143" i="223"/>
  <c r="D143" i="223" s="1"/>
  <c r="D139" i="223"/>
  <c r="D140" i="223" s="1"/>
  <c r="G139" i="223"/>
  <c r="G140" i="223" s="1"/>
  <c r="G199" i="223"/>
  <c r="G200" i="223" s="1"/>
  <c r="D199" i="223"/>
  <c r="D200" i="223" s="1"/>
  <c r="G179" i="223"/>
  <c r="G180" i="223" s="1"/>
  <c r="D179" i="223"/>
  <c r="D180" i="223" s="1"/>
  <c r="G203" i="223"/>
  <c r="D203" i="223" s="1"/>
  <c r="O12" i="245"/>
  <c r="N12" i="245"/>
  <c r="G104" i="223" l="1"/>
  <c r="D104" i="223" s="1"/>
  <c r="N14" i="260"/>
  <c r="N34" i="260" s="1"/>
  <c r="O13" i="261"/>
  <c r="N12" i="260"/>
  <c r="N22" i="260" s="1"/>
  <c r="O11" i="261"/>
  <c r="P42" i="261"/>
  <c r="U42" i="261" s="1"/>
  <c r="P62" i="261"/>
  <c r="P22" i="261"/>
  <c r="P52" i="261"/>
  <c r="P32" i="261"/>
  <c r="O59" i="261"/>
  <c r="O19" i="261"/>
  <c r="O49" i="261"/>
  <c r="O39" i="261"/>
  <c r="O29" i="261"/>
  <c r="N17" i="260"/>
  <c r="N37" i="260" s="1"/>
  <c r="O16" i="261"/>
  <c r="P46" i="261"/>
  <c r="U46" i="261" s="1"/>
  <c r="P66" i="261"/>
  <c r="P56" i="261"/>
  <c r="P36" i="261"/>
  <c r="P26" i="261"/>
  <c r="O9" i="260"/>
  <c r="O19" i="260" s="1"/>
  <c r="P8" i="261"/>
  <c r="O12" i="260"/>
  <c r="O32" i="260" s="1"/>
  <c r="P11" i="261"/>
  <c r="N13" i="260"/>
  <c r="N33" i="260" s="1"/>
  <c r="O12" i="261"/>
  <c r="N16" i="260"/>
  <c r="N36" i="260" s="1"/>
  <c r="O15" i="261"/>
  <c r="O10" i="260"/>
  <c r="O30" i="260" s="1"/>
  <c r="P9" i="261"/>
  <c r="O11" i="260"/>
  <c r="O21" i="260" s="1"/>
  <c r="P10" i="261"/>
  <c r="O16" i="260"/>
  <c r="T16" i="260" s="1"/>
  <c r="P15" i="261"/>
  <c r="N15" i="260"/>
  <c r="N35" i="260" s="1"/>
  <c r="O14" i="261"/>
  <c r="N9" i="260"/>
  <c r="N29" i="260" s="1"/>
  <c r="O8" i="261"/>
  <c r="O15" i="260"/>
  <c r="O25" i="260" s="1"/>
  <c r="P14" i="261"/>
  <c r="N11" i="260"/>
  <c r="N31" i="260" s="1"/>
  <c r="O10" i="261"/>
  <c r="O14" i="260"/>
  <c r="P13" i="261"/>
  <c r="P10" i="142"/>
  <c r="P13" i="142"/>
  <c r="P9" i="142"/>
  <c r="O13" i="260"/>
  <c r="O16" i="142"/>
  <c r="N10" i="260"/>
  <c r="P16" i="142"/>
  <c r="O17" i="260"/>
  <c r="P12" i="142"/>
  <c r="O9" i="142"/>
  <c r="O10" i="259"/>
  <c r="O11" i="259"/>
  <c r="O14" i="259"/>
  <c r="N14" i="259"/>
  <c r="N15" i="259"/>
  <c r="N12" i="259"/>
  <c r="N9" i="259"/>
  <c r="O9" i="259"/>
  <c r="O12" i="259"/>
  <c r="N13" i="259"/>
  <c r="N16" i="259"/>
  <c r="N11" i="259"/>
  <c r="P14" i="142"/>
  <c r="O15" i="259"/>
  <c r="O17" i="259"/>
  <c r="G75" i="259"/>
  <c r="H75" i="259"/>
  <c r="J75" i="259"/>
  <c r="F75" i="259"/>
  <c r="I75" i="259"/>
  <c r="E75" i="259"/>
  <c r="D75" i="259"/>
  <c r="O16" i="259"/>
  <c r="O13" i="259"/>
  <c r="N10" i="259"/>
  <c r="N17" i="259"/>
  <c r="T16" i="141"/>
  <c r="Q13" i="141"/>
  <c r="T13" i="141"/>
  <c r="Q10" i="141"/>
  <c r="Q16" i="141"/>
  <c r="T12" i="141"/>
  <c r="O10" i="142"/>
  <c r="T9" i="141"/>
  <c r="Q12" i="141"/>
  <c r="T10" i="141"/>
  <c r="T11" i="141"/>
  <c r="T15" i="141"/>
  <c r="T17" i="141"/>
  <c r="Q17" i="141"/>
  <c r="Q14" i="141"/>
  <c r="Q11" i="141"/>
  <c r="T14" i="141"/>
  <c r="Q9" i="141"/>
  <c r="Q15" i="141"/>
  <c r="Q16" i="140"/>
  <c r="P16" i="140" s="1"/>
  <c r="P15" i="142"/>
  <c r="O13" i="142"/>
  <c r="O14" i="142"/>
  <c r="O11" i="142"/>
  <c r="O8" i="142"/>
  <c r="P8" i="142"/>
  <c r="P11" i="142"/>
  <c r="O12" i="142"/>
  <c r="O15" i="142"/>
  <c r="Q12" i="140"/>
  <c r="P12" i="140" s="1"/>
  <c r="Q9" i="140"/>
  <c r="P9" i="140" s="1"/>
  <c r="Q13" i="140"/>
  <c r="P13" i="140" s="1"/>
  <c r="T13" i="140"/>
  <c r="Q14" i="140"/>
  <c r="P14" i="140" s="1"/>
  <c r="T14" i="140"/>
  <c r="Q15" i="140"/>
  <c r="P15" i="140" s="1"/>
  <c r="T15" i="140"/>
  <c r="Q10" i="140"/>
  <c r="P10" i="140" s="1"/>
  <c r="Q11" i="140"/>
  <c r="P11" i="140" s="1"/>
  <c r="Q17" i="140"/>
  <c r="P17" i="140" s="1"/>
  <c r="Y80" i="223"/>
  <c r="Z80" i="223"/>
  <c r="AB80" i="223"/>
  <c r="V80" i="223"/>
  <c r="W80" i="223"/>
  <c r="X80" i="223"/>
  <c r="G84" i="223"/>
  <c r="D84" i="223" s="1"/>
  <c r="A137" i="134"/>
  <c r="D137" i="134" s="1"/>
  <c r="G204" i="223"/>
  <c r="D204" i="223" s="1"/>
  <c r="G124" i="223"/>
  <c r="D124" i="223" s="1"/>
  <c r="G224" i="223"/>
  <c r="D224" i="223" s="1"/>
  <c r="G144" i="223"/>
  <c r="D144" i="223" s="1"/>
  <c r="G164" i="223"/>
  <c r="D164" i="223" s="1"/>
  <c r="G184" i="223"/>
  <c r="D184" i="223" s="1"/>
  <c r="N7" i="142"/>
  <c r="D1" i="245"/>
  <c r="N23" i="260" l="1"/>
  <c r="O29" i="260"/>
  <c r="Q29" i="260" s="1"/>
  <c r="P29" i="260" s="1"/>
  <c r="N24" i="260"/>
  <c r="T10" i="260"/>
  <c r="N26" i="260"/>
  <c r="O20" i="260"/>
  <c r="O26" i="260"/>
  <c r="T9" i="260"/>
  <c r="N19" i="260"/>
  <c r="Q19" i="260" s="1"/>
  <c r="P19" i="260" s="1"/>
  <c r="N21" i="260"/>
  <c r="Q21" i="260" s="1"/>
  <c r="P21" i="260" s="1"/>
  <c r="O36" i="260"/>
  <c r="Q36" i="260" s="1"/>
  <c r="P36" i="260" s="1"/>
  <c r="Q9" i="260"/>
  <c r="P9" i="260" s="1"/>
  <c r="Q13" i="260"/>
  <c r="P13" i="260" s="1"/>
  <c r="T11" i="260"/>
  <c r="R9" i="142"/>
  <c r="Q9" i="142" s="1"/>
  <c r="Q59" i="142" s="1"/>
  <c r="T15" i="260"/>
  <c r="N32" i="260"/>
  <c r="Q32" i="260" s="1"/>
  <c r="P32" i="260" s="1"/>
  <c r="Q14" i="260"/>
  <c r="P14" i="260" s="1"/>
  <c r="Q15" i="260"/>
  <c r="P15" i="260" s="1"/>
  <c r="O35" i="260"/>
  <c r="Q35" i="260" s="1"/>
  <c r="P35" i="260" s="1"/>
  <c r="Q11" i="260"/>
  <c r="P11" i="260" s="1"/>
  <c r="T14" i="260"/>
  <c r="O31" i="260"/>
  <c r="Q31" i="260" s="1"/>
  <c r="P31" i="260" s="1"/>
  <c r="Q12" i="260"/>
  <c r="P12" i="260" s="1"/>
  <c r="N25" i="260"/>
  <c r="Q25" i="260" s="1"/>
  <c r="P25" i="260" s="1"/>
  <c r="T12" i="260"/>
  <c r="O34" i="260"/>
  <c r="Q34" i="260" s="1"/>
  <c r="P34" i="260" s="1"/>
  <c r="O22" i="260"/>
  <c r="Q22" i="260" s="1"/>
  <c r="P22" i="260" s="1"/>
  <c r="Q16" i="260"/>
  <c r="P16" i="260" s="1"/>
  <c r="O24" i="260"/>
  <c r="P55" i="261"/>
  <c r="P65" i="261"/>
  <c r="P45" i="261"/>
  <c r="U45" i="261" s="1"/>
  <c r="P35" i="261"/>
  <c r="P25" i="261"/>
  <c r="P38" i="261"/>
  <c r="U38" i="261" s="1"/>
  <c r="P18" i="261"/>
  <c r="P58" i="261"/>
  <c r="P28" i="261"/>
  <c r="P48" i="261"/>
  <c r="O61" i="261"/>
  <c r="O51" i="261"/>
  <c r="O21" i="261"/>
  <c r="R11" i="261"/>
  <c r="Q11" i="261" s="1"/>
  <c r="O31" i="261"/>
  <c r="O41" i="261"/>
  <c r="O58" i="261"/>
  <c r="O48" i="261"/>
  <c r="O38" i="261"/>
  <c r="O28" i="261"/>
  <c r="O18" i="261"/>
  <c r="R8" i="261"/>
  <c r="Q8" i="261" s="1"/>
  <c r="P29" i="261"/>
  <c r="R29" i="261" s="1"/>
  <c r="P59" i="261"/>
  <c r="R59" i="261" s="1"/>
  <c r="P49" i="261"/>
  <c r="R49" i="261" s="1"/>
  <c r="P39" i="261"/>
  <c r="U39" i="261" s="1"/>
  <c r="P19" i="261"/>
  <c r="R19" i="261" s="1"/>
  <c r="N27" i="260"/>
  <c r="P33" i="261"/>
  <c r="P63" i="261"/>
  <c r="P53" i="261"/>
  <c r="P43" i="261"/>
  <c r="U43" i="261" s="1"/>
  <c r="P23" i="261"/>
  <c r="P44" i="261"/>
  <c r="U44" i="261" s="1"/>
  <c r="P64" i="261"/>
  <c r="P54" i="261"/>
  <c r="P24" i="261"/>
  <c r="P34" i="261"/>
  <c r="O34" i="261"/>
  <c r="O44" i="261"/>
  <c r="O64" i="261"/>
  <c r="O54" i="261"/>
  <c r="R14" i="261"/>
  <c r="Q14" i="261" s="1"/>
  <c r="O24" i="261"/>
  <c r="P40" i="261"/>
  <c r="U40" i="261" s="1"/>
  <c r="P60" i="261"/>
  <c r="P50" i="261"/>
  <c r="P20" i="261"/>
  <c r="P30" i="261"/>
  <c r="O55" i="261"/>
  <c r="O65" i="261"/>
  <c r="O25" i="261"/>
  <c r="R15" i="261"/>
  <c r="Q15" i="261" s="1"/>
  <c r="O35" i="261"/>
  <c r="O45" i="261"/>
  <c r="P61" i="261"/>
  <c r="P51" i="261"/>
  <c r="P41" i="261"/>
  <c r="P31" i="261"/>
  <c r="P21" i="261"/>
  <c r="R9" i="261"/>
  <c r="Q9" i="261" s="1"/>
  <c r="R13" i="261"/>
  <c r="Q13" i="261" s="1"/>
  <c r="O63" i="261"/>
  <c r="O43" i="261"/>
  <c r="O53" i="261"/>
  <c r="O33" i="261"/>
  <c r="O23" i="261"/>
  <c r="O30" i="261"/>
  <c r="O40" i="261"/>
  <c r="O60" i="261"/>
  <c r="O50" i="261"/>
  <c r="O20" i="261"/>
  <c r="R10" i="261"/>
  <c r="Q10" i="261" s="1"/>
  <c r="O52" i="261"/>
  <c r="R52" i="261" s="1"/>
  <c r="O42" i="261"/>
  <c r="R42" i="261" s="1"/>
  <c r="O62" i="261"/>
  <c r="R62" i="261" s="1"/>
  <c r="O32" i="261"/>
  <c r="R32" i="261" s="1"/>
  <c r="O22" i="261"/>
  <c r="R22" i="261" s="1"/>
  <c r="R12" i="261"/>
  <c r="Q12" i="261" s="1"/>
  <c r="O56" i="261"/>
  <c r="R56" i="261" s="1"/>
  <c r="O46" i="261"/>
  <c r="R46" i="261" s="1"/>
  <c r="O66" i="261"/>
  <c r="R66" i="261" s="1"/>
  <c r="O36" i="261"/>
  <c r="R36" i="261" s="1"/>
  <c r="O26" i="261"/>
  <c r="R26" i="261" s="1"/>
  <c r="R16" i="261"/>
  <c r="Q16" i="261" s="1"/>
  <c r="R10" i="142"/>
  <c r="Q10" i="142" s="1"/>
  <c r="Q50" i="142" s="1"/>
  <c r="O56" i="142"/>
  <c r="R16" i="142"/>
  <c r="Q16" i="142" s="1"/>
  <c r="Q56" i="142" s="1"/>
  <c r="O27" i="260"/>
  <c r="O37" i="260"/>
  <c r="Q37" i="260" s="1"/>
  <c r="P37" i="260" s="1"/>
  <c r="T17" i="260"/>
  <c r="Q17" i="260"/>
  <c r="P17" i="260" s="1"/>
  <c r="N30" i="260"/>
  <c r="Q30" i="260" s="1"/>
  <c r="P30" i="260" s="1"/>
  <c r="N20" i="260"/>
  <c r="Q10" i="260"/>
  <c r="P10" i="260" s="1"/>
  <c r="O33" i="260"/>
  <c r="Q33" i="260" s="1"/>
  <c r="P33" i="260" s="1"/>
  <c r="O23" i="260"/>
  <c r="T13" i="260"/>
  <c r="N26" i="259"/>
  <c r="N36" i="259"/>
  <c r="Q16" i="259"/>
  <c r="P16" i="259" s="1"/>
  <c r="N19" i="259"/>
  <c r="N29" i="259"/>
  <c r="Q9" i="259"/>
  <c r="P9" i="259" s="1"/>
  <c r="O24" i="259"/>
  <c r="O34" i="259"/>
  <c r="T14" i="259"/>
  <c r="O21" i="259"/>
  <c r="O31" i="259"/>
  <c r="T11" i="259"/>
  <c r="O25" i="259"/>
  <c r="O35" i="259"/>
  <c r="T15" i="259"/>
  <c r="Q11" i="259"/>
  <c r="P11" i="259" s="1"/>
  <c r="N31" i="259"/>
  <c r="N21" i="259"/>
  <c r="N27" i="259"/>
  <c r="N37" i="259"/>
  <c r="Q17" i="259"/>
  <c r="P17" i="259" s="1"/>
  <c r="O33" i="259"/>
  <c r="O23" i="259"/>
  <c r="T13" i="259"/>
  <c r="O22" i="259"/>
  <c r="O32" i="259"/>
  <c r="T12" i="259"/>
  <c r="N30" i="259"/>
  <c r="N20" i="259"/>
  <c r="Q10" i="259"/>
  <c r="P10" i="259" s="1"/>
  <c r="O26" i="259"/>
  <c r="O36" i="259"/>
  <c r="T16" i="259"/>
  <c r="N23" i="259"/>
  <c r="N33" i="259"/>
  <c r="Q13" i="259"/>
  <c r="P13" i="259" s="1"/>
  <c r="O29" i="259"/>
  <c r="O19" i="259"/>
  <c r="T9" i="259"/>
  <c r="N22" i="259"/>
  <c r="N32" i="259"/>
  <c r="Q12" i="259"/>
  <c r="P12" i="259" s="1"/>
  <c r="N34" i="259"/>
  <c r="N24" i="259"/>
  <c r="Q14" i="259"/>
  <c r="P14" i="259" s="1"/>
  <c r="O20" i="259"/>
  <c r="O30" i="259"/>
  <c r="T10" i="259"/>
  <c r="Q15" i="259"/>
  <c r="P15" i="259" s="1"/>
  <c r="N35" i="259"/>
  <c r="N25" i="259"/>
  <c r="O37" i="259"/>
  <c r="O27" i="259"/>
  <c r="T17" i="259"/>
  <c r="P66" i="142"/>
  <c r="O66" i="142"/>
  <c r="O60" i="142"/>
  <c r="P49" i="142"/>
  <c r="P62" i="142"/>
  <c r="P56" i="142"/>
  <c r="O59" i="142"/>
  <c r="P59" i="142"/>
  <c r="P54" i="142"/>
  <c r="O50" i="142"/>
  <c r="P50" i="142"/>
  <c r="P53" i="142"/>
  <c r="O49" i="142"/>
  <c r="P64" i="142"/>
  <c r="P60" i="142"/>
  <c r="P63" i="142"/>
  <c r="P52" i="142"/>
  <c r="O62" i="142"/>
  <c r="O52" i="142"/>
  <c r="R12" i="142"/>
  <c r="Q12" i="142" s="1"/>
  <c r="Q42" i="142" s="1"/>
  <c r="P61" i="142"/>
  <c r="P51" i="142"/>
  <c r="P58" i="142"/>
  <c r="P48" i="142"/>
  <c r="O48" i="142"/>
  <c r="O58" i="142"/>
  <c r="R8" i="142"/>
  <c r="Q8" i="142" s="1"/>
  <c r="Q18" i="142" s="1"/>
  <c r="P55" i="142"/>
  <c r="P65" i="142"/>
  <c r="O61" i="142"/>
  <c r="O51" i="142"/>
  <c r="R11" i="142"/>
  <c r="Q11" i="142" s="1"/>
  <c r="Q21" i="142" s="1"/>
  <c r="O65" i="142"/>
  <c r="O55" i="142"/>
  <c r="R15" i="142"/>
  <c r="Q15" i="142" s="1"/>
  <c r="Q25" i="142" s="1"/>
  <c r="O63" i="142"/>
  <c r="O53" i="142"/>
  <c r="R13" i="142"/>
  <c r="Q13" i="142" s="1"/>
  <c r="Q23" i="142" s="1"/>
  <c r="O64" i="142"/>
  <c r="O54" i="142"/>
  <c r="R14" i="142"/>
  <c r="Q14" i="142" s="1"/>
  <c r="P23" i="142"/>
  <c r="P19" i="142"/>
  <c r="P26" i="142"/>
  <c r="O19" i="142"/>
  <c r="O24" i="142"/>
  <c r="P24" i="142"/>
  <c r="P18" i="142"/>
  <c r="O21" i="142"/>
  <c r="O22" i="142"/>
  <c r="O23" i="142"/>
  <c r="P25" i="142"/>
  <c r="P21" i="142"/>
  <c r="O18" i="142"/>
  <c r="O20" i="142"/>
  <c r="P22" i="142"/>
  <c r="P20" i="142"/>
  <c r="O26" i="142"/>
  <c r="O25" i="142"/>
  <c r="P46" i="142"/>
  <c r="U46" i="142" s="1"/>
  <c r="P41" i="142"/>
  <c r="P45" i="142"/>
  <c r="O46" i="142"/>
  <c r="O40" i="142"/>
  <c r="O42" i="142"/>
  <c r="P38" i="142"/>
  <c r="U38" i="142" s="1"/>
  <c r="P43" i="142"/>
  <c r="U43" i="142" s="1"/>
  <c r="O45" i="142"/>
  <c r="O43" i="142"/>
  <c r="O44" i="142"/>
  <c r="P39" i="142"/>
  <c r="U39" i="142" s="1"/>
  <c r="P42" i="142"/>
  <c r="U42" i="142" s="1"/>
  <c r="O41" i="142"/>
  <c r="O39" i="142"/>
  <c r="P44" i="142"/>
  <c r="U44" i="142" s="1"/>
  <c r="P40" i="142"/>
  <c r="U40" i="142" s="1"/>
  <c r="O38" i="142"/>
  <c r="A138" i="134"/>
  <c r="D138" i="134" s="1"/>
  <c r="A7" i="223"/>
  <c r="A15" i="223" s="1"/>
  <c r="C1" i="69" s="1"/>
  <c r="B1" i="245"/>
  <c r="B48" i="140" l="1"/>
  <c r="B48" i="141"/>
  <c r="S2" i="69"/>
  <c r="R40" i="261"/>
  <c r="R50" i="261"/>
  <c r="R43" i="261"/>
  <c r="R45" i="261"/>
  <c r="F7" i="223"/>
  <c r="D52" i="223" s="1"/>
  <c r="R20" i="261"/>
  <c r="Q23" i="260"/>
  <c r="P23" i="260" s="1"/>
  <c r="Q20" i="260"/>
  <c r="P20" i="260" s="1"/>
  <c r="R48" i="261"/>
  <c r="Q24" i="260"/>
  <c r="P24" i="260" s="1"/>
  <c r="Q26" i="260"/>
  <c r="P26" i="260" s="1"/>
  <c r="R65" i="261"/>
  <c r="Q46" i="142"/>
  <c r="Q26" i="142"/>
  <c r="R35" i="261"/>
  <c r="R54" i="261"/>
  <c r="R38" i="261"/>
  <c r="R53" i="261"/>
  <c r="R18" i="261"/>
  <c r="Q39" i="142"/>
  <c r="Q19" i="142"/>
  <c r="Q49" i="142"/>
  <c r="Q27" i="260"/>
  <c r="P27" i="260" s="1"/>
  <c r="R30" i="261"/>
  <c r="R25" i="261"/>
  <c r="R24" i="261"/>
  <c r="R28" i="261"/>
  <c r="R23" i="261"/>
  <c r="R33" i="261"/>
  <c r="R55" i="261"/>
  <c r="Q66" i="142"/>
  <c r="R64" i="261"/>
  <c r="R51" i="261"/>
  <c r="R41" i="261"/>
  <c r="R39" i="261"/>
  <c r="Q65" i="261"/>
  <c r="Q45" i="261"/>
  <c r="Q25" i="261"/>
  <c r="Q55" i="261"/>
  <c r="Q35" i="261"/>
  <c r="R58" i="261"/>
  <c r="R31" i="261"/>
  <c r="R61" i="261"/>
  <c r="Q59" i="261"/>
  <c r="Q49" i="261"/>
  <c r="Q39" i="261"/>
  <c r="Q19" i="261"/>
  <c r="Q29" i="261"/>
  <c r="Q62" i="261"/>
  <c r="Q32" i="261"/>
  <c r="Q52" i="261"/>
  <c r="Q22" i="261"/>
  <c r="Q42" i="261"/>
  <c r="R63" i="261"/>
  <c r="R44" i="261"/>
  <c r="Q41" i="261"/>
  <c r="Q21" i="261"/>
  <c r="Q51" i="261"/>
  <c r="Q61" i="261"/>
  <c r="Q31" i="261"/>
  <c r="Q60" i="261"/>
  <c r="Q50" i="261"/>
  <c r="Q30" i="261"/>
  <c r="Q40" i="261"/>
  <c r="Q20" i="261"/>
  <c r="U41" i="261"/>
  <c r="Q58" i="261"/>
  <c r="Q48" i="261"/>
  <c r="Q38" i="261"/>
  <c r="Q28" i="261"/>
  <c r="Q18" i="261"/>
  <c r="Q66" i="261"/>
  <c r="Q36" i="261"/>
  <c r="Q56" i="261"/>
  <c r="Q26" i="261"/>
  <c r="Q46" i="261"/>
  <c r="R60" i="261"/>
  <c r="Q63" i="261"/>
  <c r="Q53" i="261"/>
  <c r="Q43" i="261"/>
  <c r="Q23" i="261"/>
  <c r="Q33" i="261"/>
  <c r="Q64" i="261"/>
  <c r="Q54" i="261"/>
  <c r="Q34" i="261"/>
  <c r="Q24" i="261"/>
  <c r="Q44" i="261"/>
  <c r="R34" i="261"/>
  <c r="R21" i="261"/>
  <c r="Q60" i="142"/>
  <c r="Q20" i="142"/>
  <c r="Q40" i="142"/>
  <c r="R56" i="142"/>
  <c r="R55" i="142"/>
  <c r="Q32" i="259"/>
  <c r="P32" i="259" s="1"/>
  <c r="Q21" i="259"/>
  <c r="P21" i="259" s="1"/>
  <c r="Q34" i="259"/>
  <c r="P34" i="259" s="1"/>
  <c r="Q33" i="259"/>
  <c r="P33" i="259" s="1"/>
  <c r="Q25" i="259"/>
  <c r="P25" i="259" s="1"/>
  <c r="Q23" i="259"/>
  <c r="P23" i="259" s="1"/>
  <c r="Q20" i="259"/>
  <c r="P20" i="259" s="1"/>
  <c r="Q24" i="259"/>
  <c r="P24" i="259" s="1"/>
  <c r="Q22" i="259"/>
  <c r="P22" i="259" s="1"/>
  <c r="Q30" i="259"/>
  <c r="P30" i="259" s="1"/>
  <c r="Q27" i="259"/>
  <c r="P27" i="259" s="1"/>
  <c r="Q31" i="259"/>
  <c r="P31" i="259" s="1"/>
  <c r="Q36" i="259"/>
  <c r="P36" i="259" s="1"/>
  <c r="Q37" i="259"/>
  <c r="P37" i="259" s="1"/>
  <c r="Q29" i="259"/>
  <c r="P29" i="259" s="1"/>
  <c r="Q26" i="259"/>
  <c r="P26" i="259" s="1"/>
  <c r="Q35" i="259"/>
  <c r="P35" i="259" s="1"/>
  <c r="Q19" i="259"/>
  <c r="P19" i="259" s="1"/>
  <c r="Q38" i="142"/>
  <c r="R54" i="142"/>
  <c r="R64" i="142"/>
  <c r="R38" i="142"/>
  <c r="R66" i="142"/>
  <c r="Q45" i="142"/>
  <c r="R51" i="142"/>
  <c r="R52" i="142"/>
  <c r="R60" i="142"/>
  <c r="R23" i="142"/>
  <c r="R62" i="142"/>
  <c r="R53" i="142"/>
  <c r="R63" i="142"/>
  <c r="R50" i="142"/>
  <c r="R49" i="142"/>
  <c r="R59" i="142"/>
  <c r="R44" i="142"/>
  <c r="R43" i="142"/>
  <c r="Q22" i="142"/>
  <c r="R42" i="142"/>
  <c r="R46" i="142"/>
  <c r="R20" i="142"/>
  <c r="R65" i="142"/>
  <c r="Q58" i="142"/>
  <c r="Q48" i="142"/>
  <c r="Q64" i="142"/>
  <c r="Q54" i="142"/>
  <c r="Q53" i="142"/>
  <c r="Q63" i="142"/>
  <c r="Q43" i="142"/>
  <c r="R25" i="142"/>
  <c r="Q24" i="142"/>
  <c r="Q55" i="142"/>
  <c r="Q65" i="142"/>
  <c r="R58" i="142"/>
  <c r="R61" i="142"/>
  <c r="Q61" i="142"/>
  <c r="Q51" i="142"/>
  <c r="Q41" i="142"/>
  <c r="Q44" i="142"/>
  <c r="R48" i="142"/>
  <c r="Q52" i="142"/>
  <c r="Q62" i="142"/>
  <c r="R39" i="142"/>
  <c r="R45" i="142"/>
  <c r="U45" i="142"/>
  <c r="R18" i="142"/>
  <c r="R41" i="142"/>
  <c r="U41" i="142"/>
  <c r="R26" i="142"/>
  <c r="R22" i="142"/>
  <c r="R24" i="142"/>
  <c r="R40" i="142"/>
  <c r="R21" i="142"/>
  <c r="R19" i="142"/>
  <c r="A139" i="134"/>
  <c r="D139" i="134" s="1"/>
  <c r="D59" i="69"/>
  <c r="D47" i="69"/>
  <c r="D60" i="69"/>
  <c r="K51" i="245"/>
  <c r="L51" i="245"/>
  <c r="L52" i="245"/>
  <c r="K52" i="245"/>
  <c r="I23" i="245"/>
  <c r="H23" i="245"/>
  <c r="H22" i="245"/>
  <c r="I22" i="245"/>
  <c r="B39" i="69" l="1"/>
  <c r="U2" i="69" s="1"/>
  <c r="A140" i="134"/>
  <c r="D140" i="134" s="1"/>
  <c r="K23" i="245"/>
  <c r="D43" i="245"/>
  <c r="D45" i="245"/>
  <c r="N23" i="245"/>
  <c r="A62" i="245"/>
  <c r="A64" i="245" s="1"/>
  <c r="A65" i="245" s="1"/>
  <c r="A66" i="245" s="1"/>
  <c r="A67" i="245" s="1"/>
  <c r="A68" i="245" s="1"/>
  <c r="A69" i="245" s="1"/>
  <c r="A70" i="245" s="1"/>
  <c r="A71" i="245" s="1"/>
  <c r="A72" i="245" s="1"/>
  <c r="A73" i="245" s="1"/>
  <c r="A74" i="245" s="1"/>
  <c r="A75" i="245" s="1"/>
  <c r="A76" i="245" s="1"/>
  <c r="A77" i="245" s="1"/>
  <c r="A78" i="245" s="1"/>
  <c r="A79" i="245" s="1"/>
  <c r="A80" i="245" s="1"/>
  <c r="A81" i="245" s="1"/>
  <c r="A82" i="245" s="1"/>
  <c r="A83" i="245" s="1"/>
  <c r="A84" i="245" s="1"/>
  <c r="A85" i="245" s="1"/>
  <c r="A86" i="245" s="1"/>
  <c r="A87" i="245" s="1"/>
  <c r="A88" i="245" s="1"/>
  <c r="A89" i="245" s="1"/>
  <c r="A90" i="245" s="1"/>
  <c r="A91" i="245" s="1"/>
  <c r="A92" i="245" s="1"/>
  <c r="A93" i="245" s="1"/>
  <c r="A94" i="245" s="1"/>
  <c r="A95" i="245" s="1"/>
  <c r="A96" i="245" s="1"/>
  <c r="A97" i="245" s="1"/>
  <c r="A98" i="245" s="1"/>
  <c r="A99" i="245" s="1"/>
  <c r="A100" i="245" s="1"/>
  <c r="A101" i="245" s="1"/>
  <c r="A102" i="245" s="1"/>
  <c r="A103" i="245" s="1"/>
  <c r="A104" i="245" s="1"/>
  <c r="A105" i="245" s="1"/>
  <c r="A106" i="245" s="1"/>
  <c r="A107" i="245" s="1"/>
  <c r="A108" i="245" s="1"/>
  <c r="A109" i="245" s="1"/>
  <c r="A110" i="245" s="1"/>
  <c r="A111" i="245" s="1"/>
  <c r="A112" i="245" s="1"/>
  <c r="A113" i="245" s="1"/>
  <c r="F9" i="245"/>
  <c r="L22" i="245"/>
  <c r="O22" i="245"/>
  <c r="N27" i="142"/>
  <c r="H115" i="140"/>
  <c r="J115" i="140"/>
  <c r="G115" i="140"/>
  <c r="D115" i="140"/>
  <c r="E115" i="140"/>
  <c r="I115" i="140"/>
  <c r="F115" i="140"/>
  <c r="F74" i="141"/>
  <c r="H74" i="141"/>
  <c r="D74" i="141"/>
  <c r="E74" i="141"/>
  <c r="G74" i="141"/>
  <c r="J74" i="141"/>
  <c r="I74" i="141"/>
  <c r="H35" i="245"/>
  <c r="I31" i="245"/>
  <c r="I35" i="245"/>
  <c r="H31" i="245"/>
  <c r="O10" i="245"/>
  <c r="L10" i="245"/>
  <c r="K10" i="245"/>
  <c r="N10" i="245"/>
  <c r="N22" i="245"/>
  <c r="K22" i="245"/>
  <c r="H24" i="245"/>
  <c r="H26" i="245" s="1"/>
  <c r="I24" i="245"/>
  <c r="I53" i="245" s="1"/>
  <c r="L23" i="245"/>
  <c r="O23" i="245"/>
  <c r="E43" i="245"/>
  <c r="E45" i="245"/>
  <c r="F62" i="245"/>
  <c r="F64" i="245" s="1"/>
  <c r="F65" i="245" s="1"/>
  <c r="F66" i="245" s="1"/>
  <c r="F67" i="245" s="1"/>
  <c r="F68" i="245" s="1"/>
  <c r="F69" i="245" s="1"/>
  <c r="F70" i="245" s="1"/>
  <c r="F71" i="245" s="1"/>
  <c r="F72" i="245" s="1"/>
  <c r="F73" i="245" s="1"/>
  <c r="F74" i="245" s="1"/>
  <c r="F75" i="245" s="1"/>
  <c r="F76" i="245" s="1"/>
  <c r="F77" i="245" s="1"/>
  <c r="F78" i="245" s="1"/>
  <c r="F79" i="245" s="1"/>
  <c r="F80" i="245" s="1"/>
  <c r="F81" i="245" s="1"/>
  <c r="F82" i="245" s="1"/>
  <c r="F83" i="245" s="1"/>
  <c r="F84" i="245" s="1"/>
  <c r="F85" i="245" s="1"/>
  <c r="F86" i="245" s="1"/>
  <c r="F87" i="245" s="1"/>
  <c r="F88" i="245" s="1"/>
  <c r="F89" i="245" s="1"/>
  <c r="F90" i="245" s="1"/>
  <c r="F91" i="245" s="1"/>
  <c r="F92" i="245" s="1"/>
  <c r="F93" i="245" s="1"/>
  <c r="F94" i="245" s="1"/>
  <c r="F95" i="245" s="1"/>
  <c r="F96" i="245" s="1"/>
  <c r="F97" i="245" s="1"/>
  <c r="F98" i="245" s="1"/>
  <c r="F99" i="245" s="1"/>
  <c r="F100" i="245" s="1"/>
  <c r="F101" i="245" s="1"/>
  <c r="F102" i="245" s="1"/>
  <c r="F103" i="245" s="1"/>
  <c r="F104" i="245" s="1"/>
  <c r="F105" i="245" s="1"/>
  <c r="F106" i="245" s="1"/>
  <c r="F107" i="245" s="1"/>
  <c r="F108" i="245" s="1"/>
  <c r="F109" i="245" s="1"/>
  <c r="F110" i="245" s="1"/>
  <c r="F111" i="245" s="1"/>
  <c r="F112" i="245" s="1"/>
  <c r="F113" i="245" s="1"/>
  <c r="C65" i="141"/>
  <c r="C66" i="141"/>
  <c r="U71" i="223" s="1"/>
  <c r="B47" i="260" l="1"/>
  <c r="B47" i="259"/>
  <c r="B47" i="253"/>
  <c r="B62" i="142"/>
  <c r="B62" i="261"/>
  <c r="I26" i="245"/>
  <c r="H53" i="245"/>
  <c r="P29" i="142"/>
  <c r="P33" i="142"/>
  <c r="P30" i="142"/>
  <c r="P34" i="142"/>
  <c r="P32" i="142"/>
  <c r="P31" i="142"/>
  <c r="P35" i="142"/>
  <c r="P28" i="142"/>
  <c r="P36" i="142"/>
  <c r="O32" i="142"/>
  <c r="O30" i="142"/>
  <c r="O35" i="142"/>
  <c r="O34" i="142"/>
  <c r="O29" i="142"/>
  <c r="O28" i="142"/>
  <c r="O36" i="142"/>
  <c r="O31" i="142"/>
  <c r="O33" i="142"/>
  <c r="Q28" i="142"/>
  <c r="Q35" i="142"/>
  <c r="Q30" i="142"/>
  <c r="Q33" i="142"/>
  <c r="Q36" i="142"/>
  <c r="Q31" i="142"/>
  <c r="Q34" i="142"/>
  <c r="Q29" i="142"/>
  <c r="Q32" i="142"/>
  <c r="A141" i="134"/>
  <c r="D141" i="134" s="1"/>
  <c r="U11" i="223"/>
  <c r="C9" i="245"/>
  <c r="D9" i="245"/>
  <c r="O17" i="245"/>
  <c r="I32" i="245"/>
  <c r="O31" i="245"/>
  <c r="O32" i="245" s="1"/>
  <c r="L31" i="245"/>
  <c r="L32" i="245" s="1"/>
  <c r="O24" i="245"/>
  <c r="O53" i="245" s="1"/>
  <c r="L24" i="245"/>
  <c r="L53" i="245" s="1"/>
  <c r="N17" i="245"/>
  <c r="N31" i="245"/>
  <c r="N32" i="245" s="1"/>
  <c r="H32" i="245"/>
  <c r="K31" i="245"/>
  <c r="K32" i="245" s="1"/>
  <c r="H37" i="245"/>
  <c r="K35" i="245"/>
  <c r="H36" i="245"/>
  <c r="N35" i="245"/>
  <c r="G9" i="245"/>
  <c r="L17" i="245"/>
  <c r="X31" i="223"/>
  <c r="X11" i="223"/>
  <c r="N24" i="245"/>
  <c r="N53" i="245" s="1"/>
  <c r="K24" i="245"/>
  <c r="K53" i="245" s="1"/>
  <c r="K17" i="245"/>
  <c r="I37" i="245"/>
  <c r="O35" i="245"/>
  <c r="I36" i="245"/>
  <c r="L35" i="245"/>
  <c r="E9" i="245"/>
  <c r="L26" i="245" l="1"/>
  <c r="L38" i="245" s="1"/>
  <c r="O26" i="245"/>
  <c r="O33" i="245" s="1"/>
  <c r="N26" i="245"/>
  <c r="N33" i="245" s="1"/>
  <c r="K26" i="245"/>
  <c r="K38" i="245" s="1"/>
  <c r="R33" i="142"/>
  <c r="R30" i="142"/>
  <c r="Z11" i="223"/>
  <c r="T8" i="141" s="1"/>
  <c r="R29" i="142"/>
  <c r="R32" i="142"/>
  <c r="R36" i="142"/>
  <c r="R31" i="142"/>
  <c r="R28" i="142"/>
  <c r="R35" i="142"/>
  <c r="R34" i="142"/>
  <c r="A142" i="134"/>
  <c r="R8" i="141"/>
  <c r="R8" i="140"/>
  <c r="R28" i="141"/>
  <c r="R28" i="140"/>
  <c r="O8" i="141"/>
  <c r="O8" i="140"/>
  <c r="U31" i="223"/>
  <c r="L18" i="245"/>
  <c r="L19" i="245"/>
  <c r="L20" i="245"/>
  <c r="L36" i="245"/>
  <c r="L37" i="245"/>
  <c r="K36" i="245"/>
  <c r="K37" i="245"/>
  <c r="O20" i="245"/>
  <c r="O19" i="245"/>
  <c r="O18" i="245"/>
  <c r="N19" i="245"/>
  <c r="N20" i="245"/>
  <c r="N18" i="245"/>
  <c r="I33" i="245"/>
  <c r="I34" i="245" s="1"/>
  <c r="I38" i="245"/>
  <c r="I39" i="245" s="1"/>
  <c r="K20" i="245"/>
  <c r="K19" i="245"/>
  <c r="K18" i="245"/>
  <c r="O36" i="245"/>
  <c r="O37" i="245"/>
  <c r="N37" i="245"/>
  <c r="N36" i="245"/>
  <c r="H33" i="245"/>
  <c r="H34" i="245" s="1"/>
  <c r="H38" i="245"/>
  <c r="H39" i="245" s="1"/>
  <c r="O38" i="245" l="1"/>
  <c r="O39" i="245" s="1"/>
  <c r="K33" i="245"/>
  <c r="K34" i="245" s="1"/>
  <c r="N38" i="245"/>
  <c r="N39" i="245" s="1"/>
  <c r="O8" i="260"/>
  <c r="O18" i="260" s="1"/>
  <c r="P7" i="261"/>
  <c r="R8" i="260"/>
  <c r="R28" i="260" s="1"/>
  <c r="S7" i="261"/>
  <c r="O8" i="259"/>
  <c r="R8" i="259"/>
  <c r="C1" i="2"/>
  <c r="D142" i="134"/>
  <c r="A143" i="134"/>
  <c r="D143" i="134" s="1"/>
  <c r="T8" i="223"/>
  <c r="L33" i="245"/>
  <c r="L34" i="245" s="1"/>
  <c r="T7" i="223"/>
  <c r="O28" i="140"/>
  <c r="O28" i="141"/>
  <c r="T8" i="140"/>
  <c r="S7" i="142"/>
  <c r="S57" i="142" s="1"/>
  <c r="P7" i="142"/>
  <c r="P57" i="142" s="1"/>
  <c r="H46" i="245"/>
  <c r="I46" i="245"/>
  <c r="I44" i="245"/>
  <c r="H45" i="245"/>
  <c r="H44" i="245"/>
  <c r="I45" i="245"/>
  <c r="K39" i="245"/>
  <c r="L39" i="245"/>
  <c r="H43" i="245"/>
  <c r="I43" i="245"/>
  <c r="N34" i="245"/>
  <c r="O34" i="245"/>
  <c r="R18" i="260" l="1"/>
  <c r="O28" i="260"/>
  <c r="T8" i="260"/>
  <c r="S57" i="261"/>
  <c r="S47" i="261"/>
  <c r="S17" i="261"/>
  <c r="S37" i="261"/>
  <c r="S27" i="261"/>
  <c r="P57" i="261"/>
  <c r="K74" i="261" s="1"/>
  <c r="K75" i="261" s="1"/>
  <c r="P47" i="261"/>
  <c r="G74" i="261" s="1"/>
  <c r="G75" i="261" s="1"/>
  <c r="P37" i="261"/>
  <c r="P27" i="261"/>
  <c r="P17" i="261"/>
  <c r="F54" i="260"/>
  <c r="R18" i="259"/>
  <c r="R28" i="259"/>
  <c r="O18" i="259"/>
  <c r="O28" i="259"/>
  <c r="T8" i="259"/>
  <c r="S27" i="142"/>
  <c r="S47" i="142"/>
  <c r="S17" i="142"/>
  <c r="S37" i="142"/>
  <c r="P47" i="142"/>
  <c r="P17" i="142"/>
  <c r="P37" i="142"/>
  <c r="U37" i="142" s="1"/>
  <c r="P27" i="142"/>
  <c r="A144" i="134"/>
  <c r="D144" i="134" s="1"/>
  <c r="F55" i="141"/>
  <c r="F55" i="140"/>
  <c r="C104" i="245"/>
  <c r="B84" i="245"/>
  <c r="C97" i="245"/>
  <c r="B64" i="245"/>
  <c r="B100" i="245"/>
  <c r="C70" i="245"/>
  <c r="C77" i="245"/>
  <c r="C98" i="245"/>
  <c r="B78" i="245"/>
  <c r="B81" i="245"/>
  <c r="B108" i="245"/>
  <c r="C82" i="245"/>
  <c r="C65" i="245"/>
  <c r="C78" i="245"/>
  <c r="C113" i="245"/>
  <c r="C102" i="245"/>
  <c r="K45" i="245"/>
  <c r="B65" i="245"/>
  <c r="B68" i="245"/>
  <c r="B113" i="245"/>
  <c r="B95" i="245"/>
  <c r="C101" i="245"/>
  <c r="B88" i="245"/>
  <c r="C67" i="245"/>
  <c r="B109" i="245"/>
  <c r="B92" i="245"/>
  <c r="B90" i="245"/>
  <c r="C103" i="245"/>
  <c r="C80" i="245"/>
  <c r="B67" i="245"/>
  <c r="C90" i="245"/>
  <c r="B105" i="245"/>
  <c r="C66" i="245"/>
  <c r="B63" i="245"/>
  <c r="C79" i="245"/>
  <c r="B77" i="245"/>
  <c r="C83" i="245"/>
  <c r="C88" i="245"/>
  <c r="C105" i="245"/>
  <c r="C89" i="245"/>
  <c r="B112" i="245"/>
  <c r="C84" i="245"/>
  <c r="C109" i="245"/>
  <c r="B72" i="245"/>
  <c r="C108" i="245"/>
  <c r="C93" i="245"/>
  <c r="B111" i="245"/>
  <c r="B85" i="245"/>
  <c r="C74" i="245"/>
  <c r="B96" i="245"/>
  <c r="B97" i="245"/>
  <c r="B101" i="245"/>
  <c r="C86" i="245"/>
  <c r="B106" i="245"/>
  <c r="B83" i="245"/>
  <c r="B87" i="245"/>
  <c r="C81" i="245"/>
  <c r="C96" i="245"/>
  <c r="C71" i="245"/>
  <c r="B93" i="245"/>
  <c r="B110" i="245"/>
  <c r="C75" i="245"/>
  <c r="B98" i="245"/>
  <c r="C112" i="245"/>
  <c r="B79" i="245"/>
  <c r="B74" i="245"/>
  <c r="B73" i="245"/>
  <c r="C87" i="245"/>
  <c r="B91" i="245"/>
  <c r="C72" i="245"/>
  <c r="C111" i="245"/>
  <c r="C91" i="245"/>
  <c r="C110" i="245"/>
  <c r="C64" i="245"/>
  <c r="C100" i="245"/>
  <c r="C94" i="245"/>
  <c r="C69" i="245"/>
  <c r="B99" i="245"/>
  <c r="B103" i="245"/>
  <c r="C106" i="245"/>
  <c r="B94" i="245"/>
  <c r="B75" i="245"/>
  <c r="B89" i="245"/>
  <c r="K46" i="245"/>
  <c r="C63" i="245"/>
  <c r="C107" i="245"/>
  <c r="B80" i="245"/>
  <c r="C92" i="245"/>
  <c r="C68" i="245"/>
  <c r="B71" i="245"/>
  <c r="C99" i="245"/>
  <c r="C76" i="245"/>
  <c r="C73" i="245"/>
  <c r="B86" i="245"/>
  <c r="B82" i="245"/>
  <c r="B102" i="245"/>
  <c r="B104" i="245"/>
  <c r="C95" i="245"/>
  <c r="B66" i="245"/>
  <c r="B69" i="245"/>
  <c r="B70" i="245"/>
  <c r="B76" i="245"/>
  <c r="C85" i="245"/>
  <c r="K44" i="245"/>
  <c r="B107" i="245"/>
  <c r="K43" i="245"/>
  <c r="N46" i="245"/>
  <c r="N44" i="245"/>
  <c r="N45" i="245"/>
  <c r="N43" i="245"/>
  <c r="D107" i="245"/>
  <c r="E102" i="245"/>
  <c r="E68" i="245"/>
  <c r="D100" i="245"/>
  <c r="D95" i="245"/>
  <c r="D77" i="245"/>
  <c r="D82" i="245"/>
  <c r="E88" i="245"/>
  <c r="E104" i="245"/>
  <c r="E105" i="245"/>
  <c r="L46" i="245"/>
  <c r="E85" i="245"/>
  <c r="E93" i="245"/>
  <c r="E75" i="245"/>
  <c r="E87" i="245"/>
  <c r="D108" i="245"/>
  <c r="L45" i="245"/>
  <c r="E94" i="245"/>
  <c r="L43" i="245"/>
  <c r="E95" i="245"/>
  <c r="D104" i="245"/>
  <c r="E65" i="245"/>
  <c r="E69" i="245"/>
  <c r="E73" i="245"/>
  <c r="E109" i="245"/>
  <c r="D75" i="245"/>
  <c r="D106" i="245"/>
  <c r="E74" i="245"/>
  <c r="E108" i="245"/>
  <c r="D111" i="245"/>
  <c r="D81" i="245"/>
  <c r="E66" i="245"/>
  <c r="D101" i="245"/>
  <c r="E89" i="245"/>
  <c r="E110" i="245"/>
  <c r="D103" i="245"/>
  <c r="D92" i="245"/>
  <c r="D102" i="245"/>
  <c r="E78" i="245"/>
  <c r="D113" i="245"/>
  <c r="D109" i="245"/>
  <c r="E111" i="245"/>
  <c r="D67" i="245"/>
  <c r="E106" i="245"/>
  <c r="E112" i="245"/>
  <c r="D74" i="245"/>
  <c r="D63" i="245"/>
  <c r="E107" i="245"/>
  <c r="E113" i="245"/>
  <c r="D79" i="245"/>
  <c r="L44" i="245"/>
  <c r="E76" i="245"/>
  <c r="D97" i="245"/>
  <c r="D87" i="245"/>
  <c r="E97" i="245"/>
  <c r="D84" i="245"/>
  <c r="D93" i="245"/>
  <c r="E98" i="245"/>
  <c r="D89" i="245"/>
  <c r="D91" i="245"/>
  <c r="D99" i="245"/>
  <c r="D83" i="245"/>
  <c r="E67" i="245"/>
  <c r="E99" i="245"/>
  <c r="E91" i="245"/>
  <c r="D88" i="245"/>
  <c r="E82" i="245"/>
  <c r="E92" i="245"/>
  <c r="D80" i="245"/>
  <c r="E63" i="245"/>
  <c r="E71" i="245"/>
  <c r="D68" i="245"/>
  <c r="E77" i="245"/>
  <c r="D64" i="245"/>
  <c r="E84" i="245"/>
  <c r="D98" i="245"/>
  <c r="E72" i="245"/>
  <c r="E64" i="245"/>
  <c r="E83" i="245"/>
  <c r="E80" i="245"/>
  <c r="D105" i="245"/>
  <c r="D76" i="245"/>
  <c r="D69" i="245"/>
  <c r="E101" i="245"/>
  <c r="D78" i="245"/>
  <c r="E86" i="245"/>
  <c r="D66" i="245"/>
  <c r="D112" i="245"/>
  <c r="D94" i="245"/>
  <c r="E79" i="245"/>
  <c r="E81" i="245"/>
  <c r="D73" i="245"/>
  <c r="D72" i="245"/>
  <c r="D70" i="245"/>
  <c r="E90" i="245"/>
  <c r="D96" i="245"/>
  <c r="D85" i="245"/>
  <c r="D110" i="245"/>
  <c r="D65" i="245"/>
  <c r="D90" i="245"/>
  <c r="D71" i="245"/>
  <c r="E103" i="245"/>
  <c r="E96" i="245"/>
  <c r="D86" i="245"/>
  <c r="E100" i="245"/>
  <c r="E70" i="245"/>
  <c r="O45" i="245"/>
  <c r="O44" i="245"/>
  <c r="O46" i="245"/>
  <c r="O43" i="245"/>
  <c r="W10" i="261" l="1"/>
  <c r="W14" i="261" s="1"/>
  <c r="U37" i="261"/>
  <c r="F54" i="259"/>
  <c r="A145" i="134"/>
  <c r="D145" i="134" s="1"/>
  <c r="W12" i="261" l="1"/>
  <c r="A146" i="134"/>
  <c r="D146" i="134" s="1"/>
  <c r="W10" i="142"/>
  <c r="W14" i="142" s="1"/>
  <c r="K74" i="142"/>
  <c r="K75" i="142" s="1"/>
  <c r="G74" i="142"/>
  <c r="G75" i="142" s="1"/>
  <c r="D44" i="223"/>
  <c r="D3" i="245"/>
  <c r="B47" i="245" s="1"/>
  <c r="H54" i="245" l="1"/>
  <c r="I54" i="245"/>
  <c r="A147" i="134"/>
  <c r="D147" i="134" s="1"/>
  <c r="W12" i="142"/>
  <c r="I47" i="245"/>
  <c r="H47" i="245"/>
  <c r="A148" i="134" l="1"/>
  <c r="D148" i="134" s="1"/>
  <c r="B56" i="245"/>
  <c r="D46" i="69" s="1"/>
  <c r="G73" i="142"/>
  <c r="G69" i="142" s="1"/>
  <c r="A149" i="134" l="1"/>
  <c r="D149" i="134" s="1"/>
  <c r="G68" i="142"/>
  <c r="K73" i="142"/>
  <c r="K69" i="142" s="1"/>
  <c r="A150" i="134" l="1"/>
  <c r="D150" i="134" s="1"/>
  <c r="K68" i="142"/>
  <c r="H42" i="223"/>
  <c r="H40" i="223"/>
  <c r="H38" i="223"/>
  <c r="H44" i="223"/>
  <c r="D44" i="68"/>
  <c r="D61" i="68"/>
  <c r="J38" i="223" l="1"/>
  <c r="B49" i="69" s="1"/>
  <c r="A151" i="134"/>
  <c r="D151" i="134" s="1"/>
  <c r="B60" i="68"/>
  <c r="D60" i="68" s="1"/>
  <c r="D45" i="68"/>
  <c r="T31" i="223"/>
  <c r="C67" i="69"/>
  <c r="C68" i="69" s="1"/>
  <c r="E68" i="69" s="1"/>
  <c r="B59" i="68"/>
  <c r="D59" i="68" s="1"/>
  <c r="W31" i="223" l="1"/>
  <c r="A152" i="134"/>
  <c r="D152" i="134" s="1"/>
  <c r="N28" i="141"/>
  <c r="N28" i="140"/>
  <c r="Q28" i="140" s="1"/>
  <c r="P28" i="140" s="1"/>
  <c r="Q18" i="141"/>
  <c r="T11" i="223"/>
  <c r="U7" i="223"/>
  <c r="U8" i="223" s="1"/>
  <c r="F55" i="253"/>
  <c r="D12" i="69"/>
  <c r="L12" i="69" s="1"/>
  <c r="B21" i="69" s="1"/>
  <c r="A20" i="69" s="1"/>
  <c r="W11" i="223" l="1"/>
  <c r="Q8" i="141" s="1"/>
  <c r="Q28" i="141"/>
  <c r="A153" i="134"/>
  <c r="D153" i="134" s="1"/>
  <c r="I12" i="69"/>
  <c r="N8" i="141"/>
  <c r="N8" i="140"/>
  <c r="N8" i="260" l="1"/>
  <c r="N18" i="260" s="1"/>
  <c r="Q18" i="260" s="1"/>
  <c r="P18" i="260" s="1"/>
  <c r="O7" i="261"/>
  <c r="N8" i="259"/>
  <c r="B297" i="134"/>
  <c r="B281" i="134"/>
  <c r="B265" i="134"/>
  <c r="B249" i="134"/>
  <c r="B153" i="134"/>
  <c r="B137" i="134"/>
  <c r="B121" i="134"/>
  <c r="B105" i="134"/>
  <c r="B89" i="134"/>
  <c r="B73" i="134"/>
  <c r="B57" i="134"/>
  <c r="B41" i="134"/>
  <c r="B25" i="134"/>
  <c r="B292" i="134"/>
  <c r="B276" i="134"/>
  <c r="B260" i="134"/>
  <c r="B244" i="134"/>
  <c r="B148" i="134"/>
  <c r="B132" i="134"/>
  <c r="B116" i="134"/>
  <c r="B100" i="134"/>
  <c r="B84" i="134"/>
  <c r="B68" i="134"/>
  <c r="B52" i="134"/>
  <c r="B36" i="134"/>
  <c r="B20" i="134"/>
  <c r="B287" i="134"/>
  <c r="B271" i="134"/>
  <c r="B255" i="134"/>
  <c r="B239" i="134"/>
  <c r="B143" i="134"/>
  <c r="B127" i="134"/>
  <c r="B111" i="134"/>
  <c r="B95" i="134"/>
  <c r="B79" i="134"/>
  <c r="B63" i="134"/>
  <c r="B47" i="134"/>
  <c r="B31" i="134"/>
  <c r="B298" i="134"/>
  <c r="B282" i="134"/>
  <c r="B266" i="134"/>
  <c r="B250" i="134"/>
  <c r="B138" i="134"/>
  <c r="B122" i="134"/>
  <c r="B106" i="134"/>
  <c r="B90" i="134"/>
  <c r="B74" i="134"/>
  <c r="B58" i="134"/>
  <c r="B42" i="134"/>
  <c r="B26" i="134"/>
  <c r="B293" i="134"/>
  <c r="B277" i="134"/>
  <c r="B261" i="134"/>
  <c r="B245" i="134"/>
  <c r="B149" i="134"/>
  <c r="B133" i="134"/>
  <c r="B117" i="134"/>
  <c r="B101" i="134"/>
  <c r="B85" i="134"/>
  <c r="B69" i="134"/>
  <c r="B53" i="134"/>
  <c r="B37" i="134"/>
  <c r="B21" i="134"/>
  <c r="B288" i="134"/>
  <c r="B272" i="134"/>
  <c r="B256" i="134"/>
  <c r="B240" i="134"/>
  <c r="B144" i="134"/>
  <c r="B128" i="134"/>
  <c r="B112" i="134"/>
  <c r="B96" i="134"/>
  <c r="B80" i="134"/>
  <c r="B64" i="134"/>
  <c r="B48" i="134"/>
  <c r="B32" i="134"/>
  <c r="B299" i="134"/>
  <c r="B283" i="134"/>
  <c r="B267" i="134"/>
  <c r="B251" i="134"/>
  <c r="B235" i="134"/>
  <c r="B139" i="134"/>
  <c r="B123" i="134"/>
  <c r="B107" i="134"/>
  <c r="B91" i="134"/>
  <c r="B75" i="134"/>
  <c r="B59" i="134"/>
  <c r="B43" i="134"/>
  <c r="B27" i="134"/>
  <c r="B294" i="134"/>
  <c r="B278" i="134"/>
  <c r="B262" i="134"/>
  <c r="B246" i="134"/>
  <c r="B150" i="134"/>
  <c r="B134" i="134"/>
  <c r="B118" i="134"/>
  <c r="B102" i="134"/>
  <c r="B86" i="134"/>
  <c r="B70" i="134"/>
  <c r="B54" i="134"/>
  <c r="B38" i="134"/>
  <c r="B22" i="134"/>
  <c r="B289" i="134"/>
  <c r="B273" i="134"/>
  <c r="B257" i="134"/>
  <c r="B241" i="134"/>
  <c r="B145" i="134"/>
  <c r="B129" i="134"/>
  <c r="B113" i="134"/>
  <c r="B97" i="134"/>
  <c r="B81" i="134"/>
  <c r="B65" i="134"/>
  <c r="B49" i="134"/>
  <c r="B33" i="134"/>
  <c r="B300" i="134"/>
  <c r="B284" i="134"/>
  <c r="B268" i="134"/>
  <c r="B252" i="134"/>
  <c r="B236" i="134"/>
  <c r="B140" i="134"/>
  <c r="B124" i="134"/>
  <c r="B108" i="134"/>
  <c r="B92" i="134"/>
  <c r="B76" i="134"/>
  <c r="B60" i="134"/>
  <c r="B44" i="134"/>
  <c r="B28" i="134"/>
  <c r="B295" i="134"/>
  <c r="B279" i="134"/>
  <c r="B263" i="134"/>
  <c r="B247" i="134"/>
  <c r="B151" i="134"/>
  <c r="B135" i="134"/>
  <c r="B119" i="134"/>
  <c r="B103" i="134"/>
  <c r="B87" i="134"/>
  <c r="B71" i="134"/>
  <c r="B55" i="134"/>
  <c r="B39" i="134"/>
  <c r="B23" i="134"/>
  <c r="B290" i="134"/>
  <c r="B274" i="134"/>
  <c r="B258" i="134"/>
  <c r="B242" i="134"/>
  <c r="B146" i="134"/>
  <c r="B130" i="134"/>
  <c r="B114" i="134"/>
  <c r="B98" i="134"/>
  <c r="B82" i="134"/>
  <c r="B66" i="134"/>
  <c r="B50" i="134"/>
  <c r="B34" i="134"/>
  <c r="B18" i="134"/>
  <c r="B285" i="134"/>
  <c r="B269" i="134"/>
  <c r="B253" i="134"/>
  <c r="B237" i="134"/>
  <c r="B141" i="134"/>
  <c r="B125" i="134"/>
  <c r="B109" i="134"/>
  <c r="B93" i="134"/>
  <c r="B77" i="134"/>
  <c r="B61" i="134"/>
  <c r="B45" i="134"/>
  <c r="B29" i="134"/>
  <c r="B296" i="134"/>
  <c r="B280" i="134"/>
  <c r="B264" i="134"/>
  <c r="B248" i="134"/>
  <c r="B152" i="134"/>
  <c r="B136" i="134"/>
  <c r="B120" i="134"/>
  <c r="B104" i="134"/>
  <c r="B88" i="134"/>
  <c r="B72" i="134"/>
  <c r="B56" i="134"/>
  <c r="B40" i="134"/>
  <c r="B24" i="134"/>
  <c r="B291" i="134"/>
  <c r="B275" i="134"/>
  <c r="B259" i="134"/>
  <c r="B243" i="134"/>
  <c r="B147" i="134"/>
  <c r="B131" i="134"/>
  <c r="B115" i="134"/>
  <c r="B99" i="134"/>
  <c r="B83" i="134"/>
  <c r="B67" i="134"/>
  <c r="B51" i="134"/>
  <c r="B35" i="134"/>
  <c r="B19" i="134"/>
  <c r="B286" i="134"/>
  <c r="B270" i="134"/>
  <c r="B254" i="134"/>
  <c r="B238" i="134"/>
  <c r="B142" i="134"/>
  <c r="B126" i="134"/>
  <c r="B110" i="134"/>
  <c r="B94" i="134"/>
  <c r="B78" i="134"/>
  <c r="B62" i="134"/>
  <c r="B46" i="134"/>
  <c r="B30" i="134"/>
  <c r="B48" i="68"/>
  <c r="B63" i="68" s="1"/>
  <c r="D24" i="223"/>
  <c r="A154" i="134"/>
  <c r="D154" i="134" s="1"/>
  <c r="G55" i="141"/>
  <c r="Q8" i="140"/>
  <c r="P8" i="140" s="1"/>
  <c r="O7" i="142"/>
  <c r="O57" i="142" s="1"/>
  <c r="C53" i="253" l="1"/>
  <c r="C53" i="260"/>
  <c r="F77" i="260" s="1"/>
  <c r="C71" i="261"/>
  <c r="C71" i="142"/>
  <c r="C69" i="142" s="1"/>
  <c r="C53" i="259"/>
  <c r="P53" i="260"/>
  <c r="P53" i="259"/>
  <c r="Q8" i="260"/>
  <c r="P8" i="260" s="1"/>
  <c r="N28" i="260"/>
  <c r="Q28" i="260" s="1"/>
  <c r="P28" i="260" s="1"/>
  <c r="V71" i="261"/>
  <c r="O57" i="261"/>
  <c r="R57" i="261" s="1"/>
  <c r="O47" i="261"/>
  <c r="R47" i="261" s="1"/>
  <c r="O17" i="261"/>
  <c r="O37" i="261"/>
  <c r="R37" i="261" s="1"/>
  <c r="O27" i="261"/>
  <c r="R27" i="261" s="1"/>
  <c r="R7" i="261"/>
  <c r="Q7" i="261" s="1"/>
  <c r="N18" i="259"/>
  <c r="Q18" i="259" s="1"/>
  <c r="P18" i="259" s="1"/>
  <c r="N28" i="259"/>
  <c r="Q28" i="259" s="1"/>
  <c r="P28" i="259" s="1"/>
  <c r="Q8" i="259"/>
  <c r="P8" i="259" s="1"/>
  <c r="R7" i="142"/>
  <c r="O47" i="142"/>
  <c r="R47" i="142" s="1"/>
  <c r="O17" i="142"/>
  <c r="R17" i="142" s="1"/>
  <c r="O27" i="142"/>
  <c r="R27" i="142" s="1"/>
  <c r="O37" i="142"/>
  <c r="R37" i="142" s="1"/>
  <c r="D48" i="68"/>
  <c r="J53" i="68" s="1"/>
  <c r="L53" i="68" s="1"/>
  <c r="M53" i="68" s="1"/>
  <c r="N53" i="68" s="1"/>
  <c r="J54" i="68" s="1"/>
  <c r="B154" i="134"/>
  <c r="D22" i="223"/>
  <c r="P42" i="223" s="1"/>
  <c r="AB82" i="223"/>
  <c r="Z82" i="223"/>
  <c r="X82" i="223"/>
  <c r="V82" i="223"/>
  <c r="AA82" i="223"/>
  <c r="Y82" i="223"/>
  <c r="W82" i="223"/>
  <c r="C54" i="141"/>
  <c r="D45" i="69"/>
  <c r="D27" i="223"/>
  <c r="V71" i="142"/>
  <c r="D58" i="69"/>
  <c r="D36" i="223"/>
  <c r="D38" i="223" s="1"/>
  <c r="P53" i="253"/>
  <c r="C54" i="140"/>
  <c r="E50" i="140" s="1"/>
  <c r="B58" i="69"/>
  <c r="B45" i="69"/>
  <c r="A155" i="134"/>
  <c r="R57" i="142"/>
  <c r="D63" i="68"/>
  <c r="E6" i="2" s="1"/>
  <c r="H14" i="2" s="1"/>
  <c r="C14" i="2" s="1"/>
  <c r="C6" i="2"/>
  <c r="C50" i="140" l="1"/>
  <c r="G54" i="260"/>
  <c r="C69" i="261"/>
  <c r="C74" i="261"/>
  <c r="Q37" i="261"/>
  <c r="Q47" i="261"/>
  <c r="Q27" i="261"/>
  <c r="Q57" i="261"/>
  <c r="Q17" i="261"/>
  <c r="J45" i="68"/>
  <c r="L45" i="68" s="1"/>
  <c r="M45" i="68" s="1"/>
  <c r="N45" i="68" s="1"/>
  <c r="J46" i="68" s="1"/>
  <c r="X14" i="261"/>
  <c r="X10" i="261"/>
  <c r="R17" i="261"/>
  <c r="D77" i="260"/>
  <c r="J77" i="260"/>
  <c r="I51" i="260"/>
  <c r="E77" i="260"/>
  <c r="J49" i="68"/>
  <c r="L49" i="68" s="1"/>
  <c r="M49" i="68" s="1"/>
  <c r="N49" i="68" s="1"/>
  <c r="J50" i="68" s="1"/>
  <c r="I77" i="260"/>
  <c r="G77" i="260"/>
  <c r="H77" i="260"/>
  <c r="C56" i="259"/>
  <c r="C56" i="260"/>
  <c r="G54" i="259"/>
  <c r="H77" i="259"/>
  <c r="D77" i="259"/>
  <c r="G77" i="259"/>
  <c r="I77" i="259"/>
  <c r="J77" i="259"/>
  <c r="F77" i="259"/>
  <c r="E77" i="259"/>
  <c r="I51" i="259"/>
  <c r="D50" i="69"/>
  <c r="D155" i="134"/>
  <c r="B155" i="134"/>
  <c r="J42" i="223"/>
  <c r="G117" i="140"/>
  <c r="J117" i="140"/>
  <c r="F117" i="140"/>
  <c r="I117" i="140"/>
  <c r="E117" i="140"/>
  <c r="H117" i="140"/>
  <c r="D117" i="140"/>
  <c r="E50" i="141"/>
  <c r="C50" i="141" s="1"/>
  <c r="H76" i="141"/>
  <c r="D76" i="141"/>
  <c r="G76" i="141"/>
  <c r="J76" i="141"/>
  <c r="F76" i="141"/>
  <c r="I76" i="141"/>
  <c r="E76" i="141"/>
  <c r="I51" i="253"/>
  <c r="O12" i="253"/>
  <c r="O8" i="253"/>
  <c r="O13" i="253"/>
  <c r="O9" i="253"/>
  <c r="O11" i="253"/>
  <c r="O10" i="253"/>
  <c r="C57" i="140"/>
  <c r="C57" i="141"/>
  <c r="A156" i="134"/>
  <c r="X10" i="142"/>
  <c r="X14" i="142"/>
  <c r="C12" i="2"/>
  <c r="L61" i="2"/>
  <c r="H6" i="2"/>
  <c r="C74" i="142"/>
  <c r="X12" i="261" l="1"/>
  <c r="D156" i="134"/>
  <c r="B156" i="134"/>
  <c r="F54" i="253"/>
  <c r="A157" i="134"/>
  <c r="X12" i="142"/>
  <c r="H5" i="2"/>
  <c r="C55" i="2"/>
  <c r="H12" i="2"/>
  <c r="A12" i="2"/>
  <c r="E12" i="2"/>
  <c r="D157" i="134" l="1"/>
  <c r="B157" i="134"/>
  <c r="H54" i="253"/>
  <c r="J54" i="253"/>
  <c r="A158" i="134"/>
  <c r="C5" i="2"/>
  <c r="E5" i="2" s="1"/>
  <c r="C4" i="2"/>
  <c r="C10" i="2"/>
  <c r="E55" i="2"/>
  <c r="D158" i="134" l="1"/>
  <c r="B158" i="134"/>
  <c r="A159" i="134"/>
  <c r="L6" i="2"/>
  <c r="E4" i="2"/>
  <c r="J56" i="2" s="1"/>
  <c r="C56" i="2" s="1"/>
  <c r="N6" i="2"/>
  <c r="C61" i="2"/>
  <c r="E10" i="2"/>
  <c r="C11" i="2"/>
  <c r="E11" i="2" s="1"/>
  <c r="V21" i="223"/>
  <c r="D159" i="134" l="1"/>
  <c r="B159" i="134"/>
  <c r="A160" i="134"/>
  <c r="J6" i="2"/>
  <c r="E1" i="2" s="1"/>
  <c r="F1" i="2" s="1"/>
  <c r="C58" i="2"/>
  <c r="E57" i="2"/>
  <c r="C57" i="2" s="1"/>
  <c r="A57" i="2" s="1"/>
  <c r="V11" i="223"/>
  <c r="P18" i="141"/>
  <c r="V31" i="223"/>
  <c r="P28" i="141" l="1"/>
  <c r="P8" i="141"/>
  <c r="D160" i="134"/>
  <c r="B160" i="134"/>
  <c r="A161" i="134"/>
  <c r="A58" i="2"/>
  <c r="A1" i="2" s="1"/>
  <c r="Q7" i="142"/>
  <c r="Q57" i="142" s="1"/>
  <c r="Q37" i="142" l="1"/>
  <c r="Q17" i="142"/>
  <c r="Q27" i="142"/>
  <c r="Q47" i="142"/>
  <c r="D161" i="134"/>
  <c r="B161" i="134"/>
  <c r="A162" i="134"/>
  <c r="D162" i="134" l="1"/>
  <c r="B162" i="134"/>
  <c r="A163" i="134"/>
  <c r="D163" i="134" l="1"/>
  <c r="B163" i="134"/>
  <c r="A164" i="134"/>
  <c r="D164" i="134" l="1"/>
  <c r="B164" i="134"/>
  <c r="A165" i="134"/>
  <c r="D165" i="134" l="1"/>
  <c r="B165" i="134"/>
  <c r="A166" i="134"/>
  <c r="D166" i="134" l="1"/>
  <c r="B166" i="134"/>
  <c r="A167" i="134"/>
  <c r="D167" i="134" l="1"/>
  <c r="B167" i="134"/>
  <c r="A168" i="134"/>
  <c r="D168" i="134" l="1"/>
  <c r="B168" i="134"/>
  <c r="A169" i="134"/>
  <c r="D169" i="134" l="1"/>
  <c r="B169" i="134"/>
  <c r="A170" i="134"/>
  <c r="D170" i="134" l="1"/>
  <c r="B170" i="134"/>
  <c r="A171" i="134"/>
  <c r="D171" i="134" l="1"/>
  <c r="B171" i="134"/>
  <c r="A172" i="134"/>
  <c r="D172" i="134" l="1"/>
  <c r="B172" i="134"/>
  <c r="A173" i="134"/>
  <c r="D173" i="134" l="1"/>
  <c r="B173" i="134"/>
  <c r="A174" i="134"/>
  <c r="D174" i="134" l="1"/>
  <c r="B174" i="134"/>
  <c r="A175" i="134"/>
  <c r="D175" i="134" l="1"/>
  <c r="B175" i="134"/>
  <c r="A176" i="134"/>
  <c r="D176" i="134" l="1"/>
  <c r="B176" i="134"/>
  <c r="A177" i="134"/>
  <c r="D177" i="134" l="1"/>
  <c r="B177" i="134"/>
  <c r="A178" i="134"/>
  <c r="D178" i="134" l="1"/>
  <c r="B178" i="134"/>
  <c r="A179" i="134"/>
  <c r="D179" i="134" l="1"/>
  <c r="B179" i="134"/>
  <c r="A180" i="134"/>
  <c r="D180" i="134" l="1"/>
  <c r="B180" i="134"/>
  <c r="A181" i="134"/>
  <c r="D181" i="134" l="1"/>
  <c r="B181" i="134"/>
  <c r="A182" i="134"/>
  <c r="D182" i="134" l="1"/>
  <c r="B182" i="134"/>
  <c r="A183" i="134"/>
  <c r="D183" i="134" l="1"/>
  <c r="B183" i="134"/>
  <c r="A184" i="134"/>
  <c r="D184" i="134" l="1"/>
  <c r="B184" i="134"/>
  <c r="A185" i="134"/>
  <c r="D185" i="134" l="1"/>
  <c r="B185" i="134"/>
  <c r="A186" i="134"/>
  <c r="D186" i="134" l="1"/>
  <c r="B186" i="134"/>
  <c r="A187" i="134"/>
  <c r="D187" i="134" l="1"/>
  <c r="B187" i="134"/>
  <c r="A188" i="134"/>
  <c r="D188" i="134" l="1"/>
  <c r="B188" i="134"/>
  <c r="A189" i="134"/>
  <c r="D189" i="134" l="1"/>
  <c r="B189" i="134"/>
  <c r="A190" i="134"/>
  <c r="D190" i="134" l="1"/>
  <c r="B190" i="134"/>
  <c r="A191" i="134"/>
  <c r="D191" i="134" l="1"/>
  <c r="B191" i="134"/>
  <c r="A192" i="134"/>
  <c r="D192" i="134" l="1"/>
  <c r="B192" i="134"/>
  <c r="A193" i="134"/>
  <c r="D193" i="134" l="1"/>
  <c r="B193" i="134"/>
  <c r="A194" i="134"/>
  <c r="D194" i="134" l="1"/>
  <c r="B194" i="134"/>
  <c r="A195" i="134"/>
  <c r="D195" i="134" l="1"/>
  <c r="B195" i="134"/>
  <c r="A196" i="134"/>
  <c r="D196" i="134" l="1"/>
  <c r="B196" i="134"/>
  <c r="A197" i="134"/>
  <c r="D197" i="134" l="1"/>
  <c r="B197" i="134"/>
  <c r="A198" i="134"/>
  <c r="D198" i="134" l="1"/>
  <c r="B198" i="134"/>
  <c r="A199" i="134"/>
  <c r="D199" i="134" l="1"/>
  <c r="B199" i="134"/>
  <c r="A200" i="134"/>
  <c r="D200" i="134" l="1"/>
  <c r="B200" i="134"/>
  <c r="A201" i="134"/>
  <c r="D201" i="134" l="1"/>
  <c r="B201" i="134"/>
  <c r="A202" i="134"/>
  <c r="D202" i="134" l="1"/>
  <c r="B202" i="134"/>
  <c r="A203" i="134"/>
  <c r="D203" i="134" l="1"/>
  <c r="B203" i="134"/>
  <c r="A204" i="134"/>
  <c r="D204" i="134" l="1"/>
  <c r="B204" i="134"/>
  <c r="A205" i="134"/>
  <c r="D205" i="134" l="1"/>
  <c r="B205" i="134"/>
  <c r="A206" i="134"/>
  <c r="D206" i="134" l="1"/>
  <c r="B206" i="134"/>
  <c r="A207" i="134"/>
  <c r="D207" i="134" l="1"/>
  <c r="B207" i="134"/>
  <c r="A208" i="134"/>
  <c r="D208" i="134" l="1"/>
  <c r="B208" i="134"/>
  <c r="A209" i="134"/>
  <c r="D209" i="134" l="1"/>
  <c r="B209" i="134"/>
  <c r="A210" i="134"/>
  <c r="D210" i="134" l="1"/>
  <c r="B210" i="134"/>
  <c r="A211" i="134"/>
  <c r="D211" i="134" l="1"/>
  <c r="B211" i="134"/>
  <c r="A212" i="134"/>
  <c r="D212" i="134" l="1"/>
  <c r="B212" i="134"/>
  <c r="A213" i="134"/>
  <c r="D213" i="134" l="1"/>
  <c r="B213" i="134"/>
  <c r="A214" i="134"/>
  <c r="D214" i="134" l="1"/>
  <c r="B214" i="134"/>
  <c r="A215" i="134"/>
  <c r="D215" i="134" l="1"/>
  <c r="B215" i="134"/>
  <c r="A216" i="134"/>
  <c r="D216" i="134" l="1"/>
  <c r="B216" i="134"/>
  <c r="A217" i="134"/>
  <c r="D217" i="134" l="1"/>
  <c r="B217" i="134"/>
  <c r="A218" i="134"/>
  <c r="D218" i="134" l="1"/>
  <c r="B218" i="134"/>
  <c r="A219" i="134"/>
  <c r="D219" i="134" l="1"/>
  <c r="B219" i="134"/>
  <c r="A220" i="134"/>
  <c r="D220" i="134" l="1"/>
  <c r="B220" i="134"/>
  <c r="A221" i="134"/>
  <c r="D221" i="134" l="1"/>
  <c r="B221" i="134"/>
  <c r="A222" i="134"/>
  <c r="D222" i="134" l="1"/>
  <c r="B222" i="134"/>
  <c r="A223" i="134"/>
  <c r="D223" i="134" l="1"/>
  <c r="B223" i="134"/>
  <c r="A224" i="134"/>
  <c r="D224" i="134" l="1"/>
  <c r="B224" i="134"/>
  <c r="A225" i="134"/>
  <c r="D225" i="134" l="1"/>
  <c r="B225" i="134"/>
  <c r="A226" i="134"/>
  <c r="D226" i="134" l="1"/>
  <c r="B226" i="134"/>
  <c r="A227" i="134"/>
  <c r="D227" i="134" l="1"/>
  <c r="B227" i="134"/>
  <c r="A228" i="134"/>
  <c r="D228" i="134" l="1"/>
  <c r="B228" i="134"/>
  <c r="A229" i="134"/>
  <c r="D229" i="134" l="1"/>
  <c r="B229" i="134"/>
  <c r="A230" i="134"/>
  <c r="D230" i="134" l="1"/>
  <c r="B230" i="134"/>
  <c r="A231" i="134"/>
  <c r="D231" i="134" l="1"/>
  <c r="B231" i="134"/>
  <c r="A232" i="134"/>
  <c r="D232" i="134" l="1"/>
  <c r="B232" i="134"/>
  <c r="A233" i="134"/>
  <c r="D233" i="134" l="1"/>
  <c r="B233" i="134"/>
  <c r="A234" i="134"/>
  <c r="D234" i="134" l="1"/>
  <c r="B234" i="134"/>
  <c r="X79" i="223" l="1"/>
  <c r="W79" i="223"/>
  <c r="Y79" i="223"/>
  <c r="V79" i="223"/>
  <c r="AA79" i="223"/>
  <c r="Z79" i="223"/>
  <c r="D20" i="223" l="1"/>
  <c r="J44" i="223" s="1"/>
  <c r="P51" i="259" l="1"/>
  <c r="B43" i="69"/>
  <c r="D43" i="69" s="1"/>
  <c r="B50" i="69" s="1"/>
  <c r="P51" i="253"/>
  <c r="D21" i="223"/>
  <c r="D48" i="223" s="1"/>
  <c r="P51" i="260"/>
  <c r="P46" i="223"/>
  <c r="P44" i="223"/>
  <c r="V67" i="261"/>
  <c r="C67" i="261"/>
  <c r="C75" i="261" s="1"/>
  <c r="AB83" i="223"/>
  <c r="AB67" i="223" s="1"/>
  <c r="AB68" i="223" s="1"/>
  <c r="AB69" i="223" s="1"/>
  <c r="C67" i="142"/>
  <c r="C68" i="142" s="1"/>
  <c r="Y83" i="223"/>
  <c r="Y67" i="223" s="1"/>
  <c r="Y68" i="223" s="1"/>
  <c r="Y69" i="223" s="1"/>
  <c r="V83" i="223"/>
  <c r="V67" i="223" s="1"/>
  <c r="V68" i="223" s="1"/>
  <c r="AA83" i="223"/>
  <c r="AA67" i="223" s="1"/>
  <c r="AA68" i="223" s="1"/>
  <c r="AA69" i="223" s="1"/>
  <c r="X83" i="223"/>
  <c r="X67" i="223" s="1"/>
  <c r="X68" i="223" s="1"/>
  <c r="X71" i="223" s="1"/>
  <c r="V67" i="142"/>
  <c r="D28" i="223"/>
  <c r="C57" i="260" s="1"/>
  <c r="D58" i="223"/>
  <c r="J46" i="223" s="1"/>
  <c r="D62" i="69" s="1"/>
  <c r="Z83" i="223"/>
  <c r="Z67" i="223" s="1"/>
  <c r="Z68" i="223" s="1"/>
  <c r="Z69" i="223" s="1"/>
  <c r="W83" i="223"/>
  <c r="W67" i="223" s="1"/>
  <c r="W68" i="223" s="1"/>
  <c r="E52" i="141"/>
  <c r="D77" i="141" s="1"/>
  <c r="D63" i="141" s="1"/>
  <c r="D64" i="141" s="1"/>
  <c r="D66" i="141" s="1"/>
  <c r="C51" i="259"/>
  <c r="H78" i="259" s="1"/>
  <c r="H62" i="259" s="1"/>
  <c r="H63" i="259" s="1"/>
  <c r="H66" i="259" s="1"/>
  <c r="D51" i="69"/>
  <c r="J77" i="141"/>
  <c r="J63" i="141" s="1"/>
  <c r="J64" i="141" s="1"/>
  <c r="J65" i="141" s="1"/>
  <c r="C51" i="253"/>
  <c r="N10" i="253" s="1"/>
  <c r="Q10" i="253" s="1"/>
  <c r="C57" i="259"/>
  <c r="I77" i="141"/>
  <c r="I63" i="141" s="1"/>
  <c r="I64" i="141" s="1"/>
  <c r="I65" i="141" s="1"/>
  <c r="C51" i="260"/>
  <c r="V69" i="223"/>
  <c r="V71" i="223"/>
  <c r="E52" i="140"/>
  <c r="B56" i="69"/>
  <c r="D56" i="69" s="1"/>
  <c r="AA71" i="223"/>
  <c r="C75" i="142"/>
  <c r="C68" i="261"/>
  <c r="Y71" i="223" l="1"/>
  <c r="E77" i="141"/>
  <c r="E63" i="141" s="1"/>
  <c r="E64" i="141" s="1"/>
  <c r="F77" i="141"/>
  <c r="F63" i="141" s="1"/>
  <c r="F64" i="141" s="1"/>
  <c r="F65" i="141" s="1"/>
  <c r="C58" i="140"/>
  <c r="J48" i="223"/>
  <c r="AB71" i="223"/>
  <c r="F66" i="141"/>
  <c r="F78" i="259"/>
  <c r="F62" i="259" s="1"/>
  <c r="F63" i="259" s="1"/>
  <c r="F66" i="259" s="1"/>
  <c r="AC68" i="223" a="1"/>
  <c r="AC68" i="223" s="1"/>
  <c r="J66" i="141"/>
  <c r="X69" i="223"/>
  <c r="G78" i="259"/>
  <c r="G62" i="259" s="1"/>
  <c r="G63" i="259" s="1"/>
  <c r="J78" i="259"/>
  <c r="J62" i="259" s="1"/>
  <c r="J63" i="259" s="1"/>
  <c r="J64" i="259" s="1"/>
  <c r="I66" i="141"/>
  <c r="AC67" i="223" a="1"/>
  <c r="AC67" i="223" s="1"/>
  <c r="J54" i="223" s="1"/>
  <c r="B42" i="69"/>
  <c r="D42" i="69" s="1"/>
  <c r="B11" i="69" s="1"/>
  <c r="J40" i="223"/>
  <c r="B55" i="69" s="1"/>
  <c r="D55" i="69" s="1"/>
  <c r="B62" i="69" s="1"/>
  <c r="P40" i="223"/>
  <c r="Z71" i="223"/>
  <c r="D65" i="141"/>
  <c r="J66" i="259"/>
  <c r="H64" i="259"/>
  <c r="G77" i="141"/>
  <c r="G63" i="141" s="1"/>
  <c r="E51" i="141"/>
  <c r="C51" i="141" s="1"/>
  <c r="H77" i="141"/>
  <c r="H63" i="141" s="1"/>
  <c r="H64" i="141" s="1"/>
  <c r="C52" i="141"/>
  <c r="C58" i="141"/>
  <c r="B51" i="69"/>
  <c r="D78" i="259"/>
  <c r="D62" i="259" s="1"/>
  <c r="D63" i="259" s="1"/>
  <c r="D66" i="259" s="1"/>
  <c r="F51" i="259"/>
  <c r="E78" i="259"/>
  <c r="E62" i="259" s="1"/>
  <c r="E63" i="259" s="1"/>
  <c r="I78" i="259"/>
  <c r="I62" i="259" s="1"/>
  <c r="I63" i="259" s="1"/>
  <c r="N8" i="253"/>
  <c r="N12" i="253"/>
  <c r="Q12" i="253" s="1"/>
  <c r="N13" i="253"/>
  <c r="Q13" i="253" s="1"/>
  <c r="N9" i="253"/>
  <c r="Q9" i="253" s="1"/>
  <c r="F51" i="253"/>
  <c r="N11" i="253"/>
  <c r="Q11" i="253" s="1"/>
  <c r="D78" i="260"/>
  <c r="D62" i="260" s="1"/>
  <c r="I78" i="260"/>
  <c r="I62" i="260" s="1"/>
  <c r="I63" i="260" s="1"/>
  <c r="J78" i="260"/>
  <c r="J62" i="260" s="1"/>
  <c r="J63" i="260" s="1"/>
  <c r="E78" i="260"/>
  <c r="E62" i="260" s="1"/>
  <c r="E63" i="260" s="1"/>
  <c r="G78" i="260"/>
  <c r="G62" i="260" s="1"/>
  <c r="G63" i="260" s="1"/>
  <c r="F51" i="260"/>
  <c r="H78" i="260"/>
  <c r="H62" i="260" s="1"/>
  <c r="H63" i="260" s="1"/>
  <c r="F78" i="260"/>
  <c r="F62" i="260" s="1"/>
  <c r="F63" i="260" s="1"/>
  <c r="E65" i="141"/>
  <c r="E66" i="141"/>
  <c r="H118" i="140"/>
  <c r="H63" i="140" s="1"/>
  <c r="H64" i="140" s="1"/>
  <c r="C52" i="140"/>
  <c r="G118" i="140"/>
  <c r="G63" i="140" s="1"/>
  <c r="G64" i="140" s="1"/>
  <c r="D118" i="140"/>
  <c r="D63" i="140" s="1"/>
  <c r="F118" i="140"/>
  <c r="F63" i="140" s="1"/>
  <c r="F64" i="140" s="1"/>
  <c r="J118" i="140"/>
  <c r="J63" i="140" s="1"/>
  <c r="J64" i="140" s="1"/>
  <c r="E51" i="140"/>
  <c r="C51" i="140" s="1"/>
  <c r="E118" i="140"/>
  <c r="E63" i="140" s="1"/>
  <c r="E64" i="140" s="1"/>
  <c r="I118" i="140"/>
  <c r="I63" i="140" s="1"/>
  <c r="I64" i="140" s="1"/>
  <c r="W71" i="223"/>
  <c r="W69" i="223"/>
  <c r="F64" i="259" l="1"/>
  <c r="AC69" i="223" a="1"/>
  <c r="AC69" i="223" s="1"/>
  <c r="J55" i="223" s="1"/>
  <c r="AC71" i="223" a="1"/>
  <c r="AC71" i="223" s="1"/>
  <c r="J56" i="223" s="1"/>
  <c r="D64" i="259"/>
  <c r="G64" i="259"/>
  <c r="G66" i="259"/>
  <c r="K62" i="259" a="1"/>
  <c r="K62" i="259" s="1"/>
  <c r="K63" i="259" a="1"/>
  <c r="K63" i="259" s="1"/>
  <c r="H66" i="141"/>
  <c r="H65" i="141"/>
  <c r="G64" i="141"/>
  <c r="K63" i="141" a="1"/>
  <c r="K63" i="141" s="1"/>
  <c r="I66" i="259"/>
  <c r="I64" i="259"/>
  <c r="E64" i="259"/>
  <c r="E66" i="259"/>
  <c r="I66" i="260"/>
  <c r="I64" i="260"/>
  <c r="G64" i="260"/>
  <c r="G66" i="260"/>
  <c r="D63" i="260"/>
  <c r="K62" i="260" a="1"/>
  <c r="K62" i="260" s="1"/>
  <c r="F66" i="260"/>
  <c r="F64" i="260"/>
  <c r="E66" i="260"/>
  <c r="E64" i="260"/>
  <c r="H64" i="260"/>
  <c r="H66" i="260"/>
  <c r="J66" i="260"/>
  <c r="J64" i="260"/>
  <c r="G54" i="253"/>
  <c r="K54" i="253"/>
  <c r="J66" i="140"/>
  <c r="J65" i="140"/>
  <c r="I66" i="140"/>
  <c r="I65" i="140"/>
  <c r="F66" i="140"/>
  <c r="F65" i="140"/>
  <c r="H65" i="140"/>
  <c r="H66" i="140"/>
  <c r="E65" i="140"/>
  <c r="E66" i="140"/>
  <c r="D64" i="140"/>
  <c r="K63" i="140" a="1"/>
  <c r="K63" i="140" s="1"/>
  <c r="G65" i="140"/>
  <c r="G66" i="140"/>
  <c r="K66" i="259" l="1" a="1"/>
  <c r="K66" i="259" s="1"/>
  <c r="K64" i="259" a="1"/>
  <c r="K64" i="259" s="1"/>
  <c r="K64" i="141" a="1"/>
  <c r="K64" i="141" s="1"/>
  <c r="G66" i="141"/>
  <c r="K66" i="141" s="1" a="1"/>
  <c r="K66" i="141" s="1"/>
  <c r="G65" i="141"/>
  <c r="K65" i="141" s="1" a="1"/>
  <c r="K65" i="141" s="1"/>
  <c r="I54" i="253"/>
  <c r="D66" i="260"/>
  <c r="K66" i="260" s="1" a="1"/>
  <c r="K66" i="260" s="1"/>
  <c r="D64" i="260"/>
  <c r="K64" i="260" s="1" a="1"/>
  <c r="K64" i="260" s="1"/>
  <c r="K63" i="260" a="1"/>
  <c r="K63" i="260" s="1"/>
  <c r="D66" i="140"/>
  <c r="K66" i="140" s="1" a="1"/>
  <c r="K66" i="140" s="1"/>
  <c r="K64" i="140" a="1"/>
  <c r="K64" i="140" s="1"/>
  <c r="D65" i="140"/>
  <c r="K65" i="140" s="1" a="1"/>
  <c r="K65" i="140" s="1"/>
</calcChain>
</file>

<file path=xl/comments1.xml><?xml version="1.0" encoding="utf-8"?>
<comments xmlns="http://schemas.openxmlformats.org/spreadsheetml/2006/main">
  <authors>
    <author>Kleinberg Standard User</author>
    <author>Jan Berg</author>
  </authors>
  <commentList>
    <comment ref="R1" authorId="0" shapeId="0">
      <text>
        <r>
          <rPr>
            <b/>
            <sz val="11"/>
            <color indexed="81"/>
            <rFont val="宋体"/>
            <family val="2"/>
            <scheme val="minor"/>
          </rPr>
          <t xml:space="preserve">
RELEASED
</t>
        </r>
        <r>
          <rPr>
            <sz val="11"/>
            <color indexed="81"/>
            <rFont val="宋体"/>
            <family val="2"/>
            <scheme val="minor"/>
          </rPr>
          <t>180207: BOM update, new Hyd data for XMP 76-25</t>
        </r>
        <r>
          <rPr>
            <b/>
            <sz val="11"/>
            <color indexed="81"/>
            <rFont val="宋体"/>
            <family val="2"/>
            <scheme val="minor"/>
          </rPr>
          <t xml:space="preserve">
</t>
        </r>
        <r>
          <rPr>
            <sz val="11"/>
            <color indexed="81"/>
            <rFont val="宋体"/>
            <family val="2"/>
            <scheme val="minor"/>
          </rPr>
          <t>171117: updated load Noise&amp;Silencer macro, incl template</t>
        </r>
        <r>
          <rPr>
            <b/>
            <sz val="11"/>
            <color indexed="81"/>
            <rFont val="宋体"/>
            <family val="2"/>
            <scheme val="minor"/>
          </rPr>
          <t xml:space="preserve">
</t>
        </r>
        <r>
          <rPr>
            <sz val="11"/>
            <color indexed="81"/>
            <rFont val="宋体"/>
            <family val="2"/>
            <scheme val="minor"/>
          </rPr>
          <t>171115: changed calc of finaal eff in Fan template
170930: updated with BOM 170915</t>
        </r>
        <r>
          <rPr>
            <b/>
            <sz val="11"/>
            <color indexed="81"/>
            <rFont val="宋体"/>
            <family val="2"/>
            <scheme val="minor"/>
          </rPr>
          <t xml:space="preserve">
RELEASED
</t>
        </r>
        <r>
          <rPr>
            <sz val="11"/>
            <color indexed="81"/>
            <rFont val="宋体"/>
            <family val="2"/>
            <scheme val="minor"/>
          </rPr>
          <t>170823: aligned create file macro to FB</t>
        </r>
        <r>
          <rPr>
            <b/>
            <sz val="11"/>
            <color indexed="81"/>
            <rFont val="宋体"/>
            <family val="2"/>
            <scheme val="minor"/>
          </rPr>
          <t xml:space="preserve">
170810: moved Template file to Templates directory
170809: added modified d_2
170806: New entry frmat to FB</t>
        </r>
        <r>
          <rPr>
            <sz val="11"/>
            <color indexed="81"/>
            <rFont val="宋体"/>
            <family val="2"/>
            <scheme val="minor"/>
          </rPr>
          <t xml:space="preserve">
170804: changed Sel_fan_name, Sel_Fan_type to Sel_Fan_type, Sel_Impeller_type
</t>
        </r>
        <r>
          <rPr>
            <b/>
            <sz val="11"/>
            <color indexed="81"/>
            <rFont val="宋体"/>
            <family val="2"/>
            <scheme val="minor"/>
          </rPr>
          <t>RELEASED</t>
        </r>
        <r>
          <rPr>
            <sz val="11"/>
            <color indexed="81"/>
            <rFont val="宋体"/>
            <family val="2"/>
            <scheme val="minor"/>
          </rPr>
          <t xml:space="preserve">
170507: loaded BOM 170506,1. new hydr. data for XOE 135-65
</t>
        </r>
        <r>
          <rPr>
            <b/>
            <sz val="11"/>
            <color indexed="81"/>
            <rFont val="宋体"/>
            <family val="2"/>
            <scheme val="minor"/>
          </rPr>
          <t xml:space="preserve">RELEASED
</t>
        </r>
        <r>
          <rPr>
            <sz val="11"/>
            <color indexed="81"/>
            <rFont val="宋体"/>
            <family val="2"/>
            <scheme val="minor"/>
          </rPr>
          <t xml:space="preserve">170209: Loaded data from BOM
161113: added XOE 115-49 from BOM
</t>
        </r>
        <r>
          <rPr>
            <b/>
            <sz val="11"/>
            <color indexed="81"/>
            <rFont val="宋体"/>
            <family val="2"/>
            <scheme val="minor"/>
          </rPr>
          <t>RELEASED</t>
        </r>
        <r>
          <rPr>
            <sz val="11"/>
            <color indexed="81"/>
            <rFont val="宋体"/>
            <family val="2"/>
            <scheme val="minor"/>
          </rPr>
          <t xml:space="preserve">
161011: New BOM data
</t>
        </r>
        <r>
          <rPr>
            <b/>
            <sz val="11"/>
            <color indexed="81"/>
            <rFont val="宋体"/>
            <family val="2"/>
            <scheme val="minor"/>
          </rPr>
          <t>RELEASED</t>
        </r>
        <r>
          <rPr>
            <sz val="11"/>
            <color indexed="81"/>
            <rFont val="宋体"/>
            <family val="2"/>
            <scheme val="minor"/>
          </rPr>
          <t xml:space="preserve">
160927: rev safety=1
</t>
        </r>
        <r>
          <rPr>
            <b/>
            <sz val="11"/>
            <color indexed="81"/>
            <rFont val="宋体"/>
            <family val="2"/>
            <scheme val="minor"/>
          </rPr>
          <t>RELEASED</t>
        </r>
        <r>
          <rPr>
            <sz val="11"/>
            <color indexed="81"/>
            <rFont val="宋体"/>
            <family val="2"/>
            <scheme val="minor"/>
          </rPr>
          <t xml:space="preserve">
160921: New BOM data
</t>
        </r>
        <r>
          <rPr>
            <b/>
            <sz val="11"/>
            <color indexed="81"/>
            <rFont val="宋体"/>
            <family val="2"/>
            <scheme val="minor"/>
          </rPr>
          <t xml:space="preserve">RELEASED
</t>
        </r>
        <r>
          <rPr>
            <sz val="11"/>
            <color indexed="81"/>
            <rFont val="宋体"/>
            <family val="2"/>
            <scheme val="minor"/>
          </rPr>
          <t xml:space="preserve">180831: new BOM data
160825: New BOM data
</t>
        </r>
        <r>
          <rPr>
            <b/>
            <sz val="11"/>
            <color indexed="81"/>
            <rFont val="宋体"/>
            <family val="2"/>
            <scheme val="minor"/>
          </rPr>
          <t>RELEASED</t>
        </r>
        <r>
          <rPr>
            <sz val="11"/>
            <color indexed="81"/>
            <rFont val="宋体"/>
            <family val="2"/>
            <scheme val="minor"/>
          </rPr>
          <t xml:space="preserve">
160817: Entered new BOM data
</t>
        </r>
        <r>
          <rPr>
            <b/>
            <sz val="11"/>
            <color indexed="81"/>
            <rFont val="宋体"/>
            <family val="2"/>
            <scheme val="minor"/>
          </rPr>
          <t xml:space="preserve">RELEASED
</t>
        </r>
        <r>
          <rPr>
            <sz val="11"/>
            <color indexed="81"/>
            <rFont val="宋体"/>
            <family val="2"/>
            <scheme val="minor"/>
          </rPr>
          <t>160811: Corrected HS selction problem in macro. Entered new price data</t>
        </r>
        <r>
          <rPr>
            <b/>
            <sz val="11"/>
            <color indexed="81"/>
            <rFont val="宋体"/>
            <family val="2"/>
            <scheme val="minor"/>
          </rPr>
          <t xml:space="preserve">
RELEASED
</t>
        </r>
        <r>
          <rPr>
            <sz val="11"/>
            <color indexed="81"/>
            <rFont val="宋体"/>
            <family val="2"/>
            <scheme val="minor"/>
          </rPr>
          <t>160808: corrected graphics in BOSS Data</t>
        </r>
        <r>
          <rPr>
            <b/>
            <sz val="11"/>
            <color indexed="81"/>
            <rFont val="宋体"/>
            <family val="2"/>
            <scheme val="minor"/>
          </rPr>
          <t xml:space="preserve">
</t>
        </r>
        <r>
          <rPr>
            <sz val="11"/>
            <color indexed="81"/>
            <rFont val="宋体"/>
            <family val="2"/>
            <scheme val="minor"/>
          </rPr>
          <t>160803: added all curvepoints</t>
        </r>
        <r>
          <rPr>
            <b/>
            <sz val="11"/>
            <color indexed="81"/>
            <rFont val="宋体"/>
            <family val="2"/>
            <scheme val="minor"/>
          </rPr>
          <t xml:space="preserve">
</t>
        </r>
        <r>
          <rPr>
            <sz val="11"/>
            <color indexed="81"/>
            <rFont val="宋体"/>
            <family val="2"/>
            <scheme val="minor"/>
          </rPr>
          <t xml:space="preserve">160729: BERGJET version
160720: load macroes small corrections
</t>
        </r>
        <r>
          <rPr>
            <b/>
            <sz val="11"/>
            <color indexed="81"/>
            <rFont val="宋体"/>
            <family val="2"/>
            <scheme val="minor"/>
          </rPr>
          <t>RELEASED
160713: fixed eff in XOE 68-23, #77
RELEASED
160712: updated from BOM
RELEASED
160628: all new CF fans added, new macro for loading from BOM
160624: RELEASED
160602: added Yield S Factor on front sheet
160526: made simulation sheets live after create file.
RELEASED
160525: fixed material selection
RELEASED
160525:fixed view_curves with correct rev 
RELEASED
160524: recalculated Run Data
RELEASED
160517: Fan names from 160221 entered in new specs.
RELEASED</t>
        </r>
        <r>
          <rPr>
            <sz val="11"/>
            <color indexed="81"/>
            <rFont val="宋体"/>
            <family val="2"/>
            <scheme val="minor"/>
          </rPr>
          <t xml:space="preserve">
1605161: New house calc. from bill of materials
</t>
        </r>
        <r>
          <rPr>
            <b/>
            <sz val="11"/>
            <color indexed="81"/>
            <rFont val="宋体"/>
            <family val="2"/>
            <scheme val="minor"/>
          </rPr>
          <t xml:space="preserve">RELEASED to Terry
</t>
        </r>
        <r>
          <rPr>
            <sz val="11"/>
            <color indexed="81"/>
            <rFont val="宋体"/>
            <family val="2"/>
            <scheme val="minor"/>
          </rPr>
          <t xml:space="preserve">160510: corrected calc if only Ps given. Corrected to use the right units.
Corrected Sound calc.
</t>
        </r>
        <r>
          <rPr>
            <b/>
            <sz val="11"/>
            <color indexed="81"/>
            <rFont val="宋体"/>
            <family val="2"/>
            <scheme val="minor"/>
          </rPr>
          <t>Reduced pressure curves by 10% universally</t>
        </r>
        <r>
          <rPr>
            <sz val="11"/>
            <color indexed="81"/>
            <rFont val="宋体"/>
            <family val="2"/>
            <scheme val="minor"/>
          </rPr>
          <t xml:space="preserve">
</t>
        </r>
        <r>
          <rPr>
            <b/>
            <sz val="11"/>
            <color indexed="81"/>
            <rFont val="宋体"/>
            <family val="2"/>
            <scheme val="minor"/>
          </rPr>
          <t xml:space="preserve">
RELEASED to Terry</t>
        </r>
        <r>
          <rPr>
            <sz val="11"/>
            <color indexed="81"/>
            <rFont val="宋体"/>
            <family val="2"/>
            <scheme val="minor"/>
          </rPr>
          <t xml:space="preserve">
160506: removed old cost calcs. added new from Master ventilator list.
160505: bug fixes
160502: </t>
        </r>
        <r>
          <rPr>
            <b/>
            <sz val="11"/>
            <color indexed="81"/>
            <rFont val="宋体"/>
            <family val="2"/>
            <scheme val="minor"/>
          </rPr>
          <t>COMPLETE NEW VERSION</t>
        </r>
        <r>
          <rPr>
            <sz val="11"/>
            <color indexed="81"/>
            <rFont val="宋体"/>
            <family val="2"/>
            <scheme val="minor"/>
          </rPr>
          <t xml:space="preserve">
160320: added Rev safety factor.
Changed and corrected calc of Fan type to View curves.
160318: added Fan Selector Template. Alligned naming conventions
Added / corrected Load Noise &amp; Load Build macroes.
</t>
        </r>
        <r>
          <rPr>
            <b/>
            <sz val="11"/>
            <color indexed="81"/>
            <rFont val="宋体"/>
            <family val="2"/>
            <scheme val="minor"/>
          </rPr>
          <t>RELEASED.</t>
        </r>
        <r>
          <rPr>
            <sz val="11"/>
            <color indexed="81"/>
            <rFont val="宋体"/>
            <family val="2"/>
            <scheme val="minor"/>
          </rPr>
          <t xml:space="preserve">
160317: changed ID logic
160310: changed drive name to Direct; Coupling; Belt. Released to Terry
160309: repaired version, corrected Metal_mech_data
160302: New names
160226: Local Desktop added
160222: corrected names fromm styklister
160221: New fans from Styklister, 2015 NFL, jb
160218: Corrected ext ring calc.
added Fan torque curves and changed grapphics layout per katie.
160122 updated with new calculations from Styklister. corrected fan ordering, 
Released to Geoff &amp; Katie
151208: added Stock List
151201: changed name to exclude "("
151125: Changed file naming convention
151118: changed House Lp(A) correction to Birger.
151027: new Fan Line data loaded
150914: corrected near/far field noise calculations
150902: added calc of temp ncrease at OP
150818: released to Sales
150818: recalculated rev data from styklister. Redesigned OE244-90 (BJ 1400-900) to OE 230-90.
150702: corrected far / near field noise calc
150520: released to Y:
150516: checked &amp; corrected Vent  Master list to 'styklister'
150515: new names
150424: aligned Vent master list to 'styklister'
150326: Chinese and JB version.
150102: changed HN &amp; CF to BJo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</rPr>
          <t>50
60</t>
        </r>
      </text>
    </comment>
    <comment ref="D13" authorId="0" shapeId="0">
      <text>
        <r>
          <rPr>
            <sz val="11"/>
            <color indexed="81"/>
            <rFont val="Tahoma"/>
            <family val="2"/>
          </rPr>
          <t xml:space="preserve">Desired_RPM_min: 
If &lt;&gt;0 program shows only fans with RPM between Desired_RPM_min and Desired_RPM_max </t>
        </r>
      </text>
    </comment>
    <comment ref="B14" authorId="0" shapeId="0">
      <text>
        <r>
          <rPr>
            <b/>
            <sz val="9"/>
            <color indexed="81"/>
            <rFont val="Tahoma"/>
            <family val="2"/>
          </rPr>
          <t>Y
N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rev safety factor</t>
        </r>
      </text>
    </comment>
    <comment ref="D14" authorId="0" shapeId="0">
      <text>
        <r>
          <rPr>
            <sz val="11"/>
            <color indexed="81"/>
            <rFont val="Tahoma"/>
            <family val="2"/>
          </rPr>
          <t>Desired_RPM_max: 
=0 if Desired_RPM_min=0 else 3600. Can be overwritten</t>
        </r>
      </text>
    </comment>
    <comment ref="L14" authorId="0" shapeId="0">
      <text>
        <r>
          <rPr>
            <sz val="11"/>
            <color indexed="81"/>
            <rFont val="Tahoma"/>
            <family val="2"/>
          </rPr>
          <t>Desired_RPM_max: 
=0 if Desired_RPM_min=0 else 3600. Can be overwritten</t>
        </r>
      </text>
    </comment>
    <comment ref="C15" authorId="1" shapeId="0">
      <text>
        <r>
          <rPr>
            <b/>
            <sz val="9"/>
            <color indexed="81"/>
            <rFont val="Tahoma"/>
            <family val="2"/>
          </rPr>
          <t>Yield Stress safety factor. "" = mech data limits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Fan #</t>
        </r>
      </text>
    </comment>
    <comment ref="D26" authorId="0" shapeId="0">
      <text>
        <r>
          <rPr>
            <b/>
            <sz val="9"/>
            <color indexed="81"/>
            <rFont val="Tahoma"/>
            <family val="2"/>
          </rPr>
          <t>Selected Fan</t>
        </r>
      </text>
    </comment>
    <comment ref="E26" authorId="0" shapeId="0">
      <text>
        <r>
          <rPr>
            <b/>
            <sz val="9"/>
            <color indexed="81"/>
            <rFont val="Tahoma"/>
            <family val="2"/>
          </rPr>
          <t>Reg. HS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Rev.</t>
        </r>
      </text>
    </comment>
    <comment ref="D27" authorId="0" shapeId="0">
      <text>
        <r>
          <rPr>
            <b/>
            <sz val="9"/>
            <color indexed="81"/>
            <rFont val="Tahoma"/>
            <family val="2"/>
          </rPr>
          <t>Eff.</t>
        </r>
      </text>
    </comment>
    <comment ref="O43" authorId="0" shapeId="0">
      <text>
        <r>
          <rPr>
            <b/>
            <sz val="9"/>
            <color indexed="81"/>
            <rFont val="Tahoma"/>
            <family val="2"/>
          </rPr>
          <t>Eff.: Efficiency
A.S.: Airspeed
P.S.: Periferi Speed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Eff.: Efficiency
A.S.: Airspeed
P.S.: Periferi Speed</t>
        </r>
      </text>
    </comment>
    <comment ref="B81" authorId="1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use all 10 points from meassurements.</t>
        </r>
      </text>
    </comment>
  </commentList>
</comments>
</file>

<file path=xl/comments2.xml><?xml version="1.0" encoding="utf-8"?>
<comments xmlns="http://schemas.openxmlformats.org/spreadsheetml/2006/main">
  <authors>
    <author>Kleinberg Standard User</author>
  </authors>
  <commentList>
    <comment ref="AB4" authorId="0" shapeId="0">
      <text>
        <r>
          <rPr>
            <b/>
            <sz val="9"/>
            <color indexed="81"/>
            <rFont val="Tahoma"/>
            <family val="2"/>
          </rPr>
          <t>n min-1</t>
        </r>
      </text>
    </comment>
    <comment ref="AB6" authorId="0" shapeId="0">
      <text>
        <r>
          <rPr>
            <b/>
            <sz val="9"/>
            <color indexed="81"/>
            <rFont val="Tahoma"/>
            <family val="2"/>
          </rPr>
          <t>sigma (compressor)</t>
        </r>
      </text>
    </comment>
    <comment ref="AD6" authorId="0" shapeId="0">
      <text>
        <r>
          <rPr>
            <b/>
            <sz val="9"/>
            <color indexed="81"/>
            <rFont val="Tahoma"/>
            <family val="2"/>
          </rPr>
          <t>sigma(axial)</t>
        </r>
      </text>
    </comment>
  </commentList>
</comments>
</file>

<file path=xl/comments3.xml><?xml version="1.0" encoding="utf-8"?>
<comments xmlns="http://schemas.openxmlformats.org/spreadsheetml/2006/main">
  <authors>
    <author>Kleinberg Standard User</author>
  </authors>
  <commentList>
    <comment ref="C114" authorId="0" shapeId="0">
      <text>
        <r>
          <rPr>
            <b/>
            <sz val="9"/>
            <color indexed="81"/>
            <rFont val="Tahoma"/>
            <family val="2"/>
          </rPr>
          <t>reference to rownumber in Barker(old, Optimal, Middel)</t>
        </r>
      </text>
    </comment>
  </commentList>
</comments>
</file>

<file path=xl/comments4.xml><?xml version="1.0" encoding="utf-8"?>
<comments xmlns="http://schemas.openxmlformats.org/spreadsheetml/2006/main">
  <authors>
    <author>Kleinberg Standard User</author>
  </authors>
  <commentList>
    <comment ref="C73" authorId="0" shapeId="0">
      <text>
        <r>
          <rPr>
            <b/>
            <sz val="9"/>
            <color indexed="81"/>
            <rFont val="Tahoma"/>
            <family val="2"/>
          </rPr>
          <t>reference to rownumber in Barker(old, Optimal, Middel)</t>
        </r>
      </text>
    </comment>
  </commentList>
</comments>
</file>

<file path=xl/comments5.xml><?xml version="1.0" encoding="utf-8"?>
<comments xmlns="http://schemas.openxmlformats.org/spreadsheetml/2006/main">
  <authors>
    <author>Kleinberg Standard User</author>
  </authors>
  <commentList>
    <comment ref="C74" authorId="0" shapeId="0">
      <text>
        <r>
          <rPr>
            <b/>
            <sz val="9"/>
            <color indexed="81"/>
            <rFont val="Tahoma"/>
            <family val="2"/>
          </rPr>
          <t>reference to rownumber in Barker(old, Optimal, Middel)</t>
        </r>
      </text>
    </comment>
  </commentList>
</comments>
</file>

<file path=xl/comments6.xml><?xml version="1.0" encoding="utf-8"?>
<comments xmlns="http://schemas.openxmlformats.org/spreadsheetml/2006/main">
  <authors>
    <author>Kleinberg Standard User</author>
  </authors>
  <commentList>
    <comment ref="C74" authorId="0" shapeId="0">
      <text>
        <r>
          <rPr>
            <b/>
            <sz val="9"/>
            <color indexed="81"/>
            <rFont val="Tahoma"/>
            <family val="2"/>
          </rPr>
          <t>reference to rownumber in Barker(old, Optimal, Middel)</t>
        </r>
      </text>
    </comment>
  </commentList>
</comments>
</file>

<file path=xl/comments7.xml><?xml version="1.0" encoding="utf-8"?>
<comments xmlns="http://schemas.openxmlformats.org/spreadsheetml/2006/main">
  <authors>
    <author>Kleinberg Standard User</author>
  </authors>
  <commentList>
    <comment ref="C74" authorId="0" shapeId="0">
      <text>
        <r>
          <rPr>
            <b/>
            <sz val="9"/>
            <color indexed="81"/>
            <rFont val="Tahoma"/>
            <family val="2"/>
          </rPr>
          <t>reference to rownumber in Barker(old, Optimal, Middel)</t>
        </r>
      </text>
    </comment>
  </commentList>
</comments>
</file>

<file path=xl/comments8.xml><?xml version="1.0" encoding="utf-8"?>
<comments xmlns="http://schemas.openxmlformats.org/spreadsheetml/2006/main">
  <authors>
    <author>Jan Berg</author>
    <author>Kleinberg Standard User</author>
  </authors>
  <commentList>
    <comment ref="AB21" authorId="0" shapeId="0">
      <text>
        <r>
          <rPr>
            <b/>
            <sz val="9"/>
            <color indexed="81"/>
            <rFont val="Tahoma"/>
            <family val="2"/>
          </rPr>
          <t>Measurement RPM</t>
        </r>
      </text>
    </comment>
    <comment ref="AB23" authorId="0" shapeId="0">
      <text>
        <r>
          <rPr>
            <b/>
            <sz val="9"/>
            <color indexed="81"/>
            <rFont val="Tahoma"/>
            <family val="2"/>
          </rPr>
          <t xml:space="preserve">Max rev
</t>
        </r>
      </text>
    </comment>
    <comment ref="AB25" authorId="0" shapeId="0">
      <text>
        <r>
          <rPr>
            <b/>
            <sz val="9"/>
            <color indexed="81"/>
            <rFont val="Tahoma"/>
            <family val="2"/>
          </rPr>
          <t>min rev</t>
        </r>
      </text>
    </comment>
    <comment ref="U78" authorId="1" shapeId="0">
      <text>
        <r>
          <rPr>
            <b/>
            <sz val="9"/>
            <color indexed="81"/>
            <rFont val="Tahoma"/>
            <family val="2"/>
          </rPr>
          <t>reference to rownumber in Barker(old, Optimal, Middel)</t>
        </r>
      </text>
    </comment>
    <comment ref="U79" authorId="1" shapeId="0">
      <text>
        <r>
          <rPr>
            <b/>
            <sz val="9"/>
            <color indexed="81"/>
            <rFont val="Tahoma"/>
            <family val="2"/>
          </rPr>
          <t>reference to rownumber in Barker(old, Optimal, Middel)</t>
        </r>
      </text>
    </comment>
  </commentList>
</comments>
</file>

<file path=xl/comments9.xml><?xml version="1.0" encoding="utf-8"?>
<comments xmlns="http://schemas.openxmlformats.org/spreadsheetml/2006/main">
  <authors>
    <author>Jan Berg</author>
  </authors>
  <commentList>
    <comment ref="C57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used for initial check and start of iteration only</t>
        </r>
      </text>
    </comment>
    <comment ref="C58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used for initial chack only</t>
        </r>
      </text>
    </comment>
  </commentList>
</comments>
</file>

<file path=xl/comments10.xml><?xml version="1.0" encoding="utf-8"?>
<comments xmlns="http://schemas.openxmlformats.org/spreadsheetml/2006/main">
  <authors>
    <author>Jan Berg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
130910: corrected calc of real thickness
130906: Checked calc with Ventilator Beregning. Added date to file name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Rownumber in Master Ventilator Liste
</t>
        </r>
      </text>
    </comment>
  </commentList>
</comments>
</file>

<file path=xl/comments11.xml><?xml version="1.0" encoding="utf-8"?>
<comments xmlns="http://schemas.openxmlformats.org/spreadsheetml/2006/main">
  <authors>
    <author>Kleinberg Standard User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Eff.: Efficiency
A.S.: Airspeed
P.S.: Periferi Speed</t>
        </r>
      </text>
    </comment>
  </commentList>
</comments>
</file>

<file path=xl/comments12.xml><?xml version="1.0" encoding="utf-8"?>
<comments xmlns="http://schemas.openxmlformats.org/spreadsheetml/2006/main">
  <authors>
    <author>Jan Berg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
160510: reduced pressure by 10%
160506: added costdata
</t>
        </r>
      </text>
    </comment>
  </commentList>
</comments>
</file>

<file path=xl/comments13.xml><?xml version="1.0" encoding="utf-8"?>
<comments xmlns="http://schemas.openxmlformats.org/spreadsheetml/2006/main">
  <authors>
    <author>Jan Berg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
1605516: updated data from Bill of materials
160506: added costdata</t>
        </r>
      </text>
    </comment>
  </commentList>
</comments>
</file>

<file path=xl/comments14.xml><?xml version="1.0" encoding="utf-8"?>
<comments xmlns="http://schemas.openxmlformats.org/spreadsheetml/2006/main">
  <authors>
    <author>Jan Berg</author>
  </authors>
  <commentList>
    <comment ref="U16" authorId="0" shapeId="0">
      <text>
        <r>
          <rPr>
            <b/>
            <sz val="9"/>
            <color indexed="81"/>
            <rFont val="Tahoma"/>
            <family val="2"/>
          </rPr>
          <t>Not correct. Precise numbers in fan Builder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Not correct. Precise numbers in fan Builder</t>
        </r>
      </text>
    </comment>
    <comment ref="W16" authorId="0" shapeId="0">
      <text>
        <r>
          <rPr>
            <b/>
            <sz val="9"/>
            <color indexed="81"/>
            <rFont val="Tahoma"/>
            <family val="2"/>
          </rPr>
          <t>15% hub_D, 20%hub_H.
25% centerbore</t>
        </r>
      </text>
    </comment>
  </commentList>
</comments>
</file>

<file path=xl/comments15.xml><?xml version="1.0" encoding="utf-8"?>
<comments xmlns="http://schemas.openxmlformats.org/spreadsheetml/2006/main">
  <authors>
    <author>Jan Berg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
150423: frontplate tools, HOUSE_PT corrected.
Copied to 'Fan Selector'
</t>
        </r>
      </text>
    </comment>
  </commentList>
</comments>
</file>

<file path=xl/sharedStrings.xml><?xml version="1.0" encoding="utf-8"?>
<sst xmlns="http://schemas.openxmlformats.org/spreadsheetml/2006/main" count="10401" uniqueCount="1959">
  <si>
    <t>Rev/min</t>
  </si>
  <si>
    <t>eff.</t>
  </si>
  <si>
    <t>TYPE</t>
  </si>
  <si>
    <t>Power in kW</t>
  </si>
  <si>
    <t>Power out Kw</t>
  </si>
  <si>
    <t>P, mmH2o</t>
  </si>
  <si>
    <t>Q, m3/h</t>
  </si>
  <si>
    <t>delta</t>
  </si>
  <si>
    <t>sigma</t>
  </si>
  <si>
    <t>d2</t>
  </si>
  <si>
    <t>log(sigma)</t>
  </si>
  <si>
    <t>PSI</t>
  </si>
  <si>
    <t>Centrifugal Limit</t>
  </si>
  <si>
    <t>Eff.</t>
  </si>
  <si>
    <t>Drive</t>
  </si>
  <si>
    <t>Inlet Pressure</t>
  </si>
  <si>
    <t>mmH2O</t>
  </si>
  <si>
    <t>Pa</t>
  </si>
  <si>
    <t>P statisk @ Op. Temp.</t>
  </si>
  <si>
    <t>P total @ Op. Temp.</t>
  </si>
  <si>
    <t>Op. Temp.</t>
  </si>
  <si>
    <t>C</t>
  </si>
  <si>
    <t>K</t>
  </si>
  <si>
    <t>Q</t>
  </si>
  <si>
    <t>m3hr</t>
  </si>
  <si>
    <t>m3/s</t>
  </si>
  <si>
    <t>n</t>
  </si>
  <si>
    <t>Revmin</t>
  </si>
  <si>
    <t>Rev/s</t>
  </si>
  <si>
    <t>Air Density @ Std. Press (101325) / 20C</t>
  </si>
  <si>
    <t>kg/m3</t>
  </si>
  <si>
    <t>Hz</t>
  </si>
  <si>
    <t>Special Requirements</t>
  </si>
  <si>
    <t>Working Point</t>
  </si>
  <si>
    <t>@ 20C</t>
  </si>
  <si>
    <t>sigma, rev. Speed number</t>
  </si>
  <si>
    <t>delta, diameter number</t>
  </si>
  <si>
    <t>Max Rev</t>
  </si>
  <si>
    <t>Min Rev</t>
  </si>
  <si>
    <t>@ Density=1.205, T=20C</t>
  </si>
  <si>
    <t>Air Density @ Inlet conditions</t>
  </si>
  <si>
    <t>Air Density @ Inlet pressure, 20C</t>
  </si>
  <si>
    <t>Dry Air Density @ Std. Press (101325) / 20C</t>
  </si>
  <si>
    <t>STD. Op data</t>
  </si>
  <si>
    <t>GRAPH DATA</t>
  </si>
  <si>
    <t>Phi</t>
  </si>
  <si>
    <t>Psi</t>
  </si>
  <si>
    <t>j</t>
  </si>
  <si>
    <t>y</t>
  </si>
  <si>
    <t>y/(j*j)</t>
  </si>
  <si>
    <t>Desired O.P.</t>
  </si>
  <si>
    <t>P</t>
  </si>
  <si>
    <t>a</t>
  </si>
  <si>
    <t>b</t>
  </si>
  <si>
    <t>Actual O.P.</t>
  </si>
  <si>
    <t>min rev/min</t>
  </si>
  <si>
    <t>max rev/min</t>
  </si>
  <si>
    <t>Phi = a*ln(delta^4) + b</t>
  </si>
  <si>
    <t>c</t>
  </si>
  <si>
    <t>Desired Operating Point &amp; Conditions</t>
  </si>
  <si>
    <t>Operating Point @ Standard Conditions</t>
  </si>
  <si>
    <t>Pin = 0 mmh2o, Op. Temp. =20 C, Density = 1.205 kg/m3</t>
  </si>
  <si>
    <t>P(Q-O.P.)=</t>
  </si>
  <si>
    <t>Eff = a*phi^2 + b*phi + c</t>
  </si>
  <si>
    <t>O.P. Iter.</t>
  </si>
  <si>
    <t>1. Est.  O.P.</t>
  </si>
  <si>
    <t>P-P(Q-O.P.)</t>
  </si>
  <si>
    <t>DOMEX</t>
  </si>
  <si>
    <t>CORTEN</t>
  </si>
  <si>
    <t>HS</t>
  </si>
  <si>
    <t>stop</t>
  </si>
  <si>
    <t>Steel</t>
  </si>
  <si>
    <t>Yield tension&lt;Mpa&gt;</t>
  </si>
  <si>
    <t>Mpa</t>
  </si>
  <si>
    <t>IMPELLER DIMENSIONS</t>
  </si>
  <si>
    <t>REG</t>
  </si>
  <si>
    <t># Blades</t>
  </si>
  <si>
    <t>HT 10-530</t>
  </si>
  <si>
    <t>HT 15-530</t>
  </si>
  <si>
    <t>HT 25-530</t>
  </si>
  <si>
    <t>HT 35-530</t>
  </si>
  <si>
    <t>HT 5-630</t>
  </si>
  <si>
    <t>HT 10-630</t>
  </si>
  <si>
    <t>HT 15-630</t>
  </si>
  <si>
    <t>HT 25-630</t>
  </si>
  <si>
    <t>HT 35-630</t>
  </si>
  <si>
    <t>HT 5-700</t>
  </si>
  <si>
    <t>HT 5-750</t>
  </si>
  <si>
    <t>HT 10-750</t>
  </si>
  <si>
    <t>HT 15-750</t>
  </si>
  <si>
    <t>HT 25-750</t>
  </si>
  <si>
    <t>rpm</t>
  </si>
  <si>
    <t>Net freq.</t>
  </si>
  <si>
    <t>Freq. Ctrl.</t>
  </si>
  <si>
    <t>Frequency Controller Y/N</t>
  </si>
  <si>
    <t>Net frequency</t>
  </si>
  <si>
    <t>COL</t>
  </si>
  <si>
    <t>m/s</t>
  </si>
  <si>
    <t>Motor Eff.</t>
  </si>
  <si>
    <t>Op. point</t>
  </si>
  <si>
    <t>P in</t>
  </si>
  <si>
    <t>mmWG</t>
  </si>
  <si>
    <t>P total</t>
  </si>
  <si>
    <t>m3/hr</t>
  </si>
  <si>
    <t>rev.</t>
  </si>
  <si>
    <t>1/min</t>
  </si>
  <si>
    <t>Temp.</t>
  </si>
  <si>
    <t>graph data</t>
  </si>
  <si>
    <t>Density</t>
  </si>
  <si>
    <t>Efficiency @ OP</t>
  </si>
  <si>
    <t>Kw</t>
  </si>
  <si>
    <t>Ventilator eff.</t>
  </si>
  <si>
    <t>Red. Impeller</t>
  </si>
  <si>
    <t>D(ny)/D(gl):</t>
  </si>
  <si>
    <t>Op. temp.</t>
  </si>
  <si>
    <t>kW</t>
  </si>
  <si>
    <t>P stat</t>
  </si>
  <si>
    <t>Dyn Press.</t>
  </si>
  <si>
    <t>m</t>
  </si>
  <si>
    <t>Inlet</t>
  </si>
  <si>
    <t>P d</t>
  </si>
  <si>
    <t>P t</t>
  </si>
  <si>
    <t>P s</t>
  </si>
  <si>
    <t>Per. Speed</t>
  </si>
  <si>
    <t>P dyn</t>
  </si>
  <si>
    <t>P stat @ Op. Conditions</t>
  </si>
  <si>
    <t>P total @ Op. Conditions</t>
  </si>
  <si>
    <t>Inlet Pressure, NAP = 0</t>
  </si>
  <si>
    <t>Actual Operating Point</t>
  </si>
  <si>
    <t>Fan Power   (&lt; 1.5 MW) / Shaft Power</t>
  </si>
  <si>
    <t>P mmH2O</t>
  </si>
  <si>
    <t>Compressor Limit</t>
  </si>
  <si>
    <t>P Comp. Limit</t>
  </si>
  <si>
    <t>Axial Limit</t>
  </si>
  <si>
    <t>Power Limit</t>
  </si>
  <si>
    <t>RPM</t>
  </si>
  <si>
    <t>Power, kW</t>
  </si>
  <si>
    <t>Air Density @ 20C &amp; Inlet Pressure</t>
  </si>
  <si>
    <t>Material Requirements</t>
  </si>
  <si>
    <t>Impeller</t>
  </si>
  <si>
    <t>House</t>
  </si>
  <si>
    <t>Frame</t>
  </si>
  <si>
    <t>Baseframe</t>
  </si>
  <si>
    <t>Pressure &amp; Volume Converter</t>
  </si>
  <si>
    <t>Nm3/hr   =</t>
  </si>
  <si>
    <t>kg/s           =</t>
  </si>
  <si>
    <t>kg/s</t>
  </si>
  <si>
    <t>kg/hr</t>
  </si>
  <si>
    <t>mm H2O =</t>
  </si>
  <si>
    <t>Bar</t>
  </si>
  <si>
    <t>Pa               =</t>
  </si>
  <si>
    <t>mm H20</t>
  </si>
  <si>
    <t>mm H2O/20C  =</t>
  </si>
  <si>
    <t xml:space="preserve">mm H2O @ </t>
  </si>
  <si>
    <t>HT 25-775</t>
  </si>
  <si>
    <t>Selected Fan</t>
  </si>
  <si>
    <t>always SI units</t>
  </si>
  <si>
    <t>Select Units</t>
  </si>
  <si>
    <t>Select Drive</t>
  </si>
  <si>
    <t>Select Version</t>
  </si>
  <si>
    <t>always Std.</t>
  </si>
  <si>
    <t>always SI</t>
  </si>
  <si>
    <t>units</t>
  </si>
  <si>
    <t>max PS</t>
  </si>
  <si>
    <t>kg/Nm3   =</t>
  </si>
  <si>
    <t xml:space="preserve">                     =</t>
  </si>
  <si>
    <t>req. Motor kW</t>
  </si>
  <si>
    <t>Suggested fan</t>
  </si>
  <si>
    <t>Airspeed, AS</t>
  </si>
  <si>
    <t>min AS</t>
  </si>
  <si>
    <t>max AS</t>
  </si>
  <si>
    <t>Air speed</t>
  </si>
  <si>
    <t>Nm</t>
  </si>
  <si>
    <t>Fan Power / Fan efficiency</t>
  </si>
  <si>
    <t>Shaft Power, Shaft Momentum</t>
  </si>
  <si>
    <t>per. Speed &lt;m/s&gt;</t>
  </si>
  <si>
    <t>b2</t>
  </si>
  <si>
    <t>d1</t>
  </si>
  <si>
    <t>warning</t>
  </si>
  <si>
    <t>OP 2</t>
  </si>
  <si>
    <t>OP 3</t>
  </si>
  <si>
    <t>Max RPM</t>
  </si>
  <si>
    <t>rev/min</t>
  </si>
  <si>
    <t>Frequency Band &lt;Hz&gt;</t>
  </si>
  <si>
    <t>Sumvalues</t>
  </si>
  <si>
    <t>Lw*</t>
  </si>
  <si>
    <t>Bladefrequency, delta Lws</t>
  </si>
  <si>
    <t>delta Lw*</t>
  </si>
  <si>
    <t>Flow lyd</t>
  </si>
  <si>
    <t>Tryk lyd</t>
  </si>
  <si>
    <t>Barker old</t>
  </si>
  <si>
    <t>Barker Optimal, Birger Jessen rapport,  Feb. 2011</t>
  </si>
  <si>
    <t>Barker Middel, Birger Jessen rapport,  Feb. 2011</t>
  </si>
  <si>
    <t>Noise Power Generated, Lw(A)</t>
  </si>
  <si>
    <t>Lp(A) (Stator) @ 1m</t>
  </si>
  <si>
    <t>Noise Power Generated, Lw</t>
  </si>
  <si>
    <t>OP</t>
  </si>
  <si>
    <t>x</t>
  </si>
  <si>
    <t>rho</t>
  </si>
  <si>
    <t>Volume Flow</t>
  </si>
  <si>
    <t>Air Speed</t>
  </si>
  <si>
    <t>rho &amp; Pressure Calculation</t>
  </si>
  <si>
    <t>Volume Calculation</t>
  </si>
  <si>
    <t>mm</t>
  </si>
  <si>
    <t>Operating Temperature</t>
  </si>
  <si>
    <t>Static Pressure</t>
  </si>
  <si>
    <t>Efficiency Calculation</t>
  </si>
  <si>
    <t>Fan</t>
  </si>
  <si>
    <t>Impeller Diameter</t>
  </si>
  <si>
    <t>W</t>
  </si>
  <si>
    <t>rho @ inlet</t>
  </si>
  <si>
    <t>Subresults</t>
  </si>
  <si>
    <t>Efficiency</t>
  </si>
  <si>
    <t>d_2</t>
  </si>
  <si>
    <t>Pressure Units</t>
  </si>
  <si>
    <t>P statisk std.</t>
  </si>
  <si>
    <t>P total std</t>
  </si>
  <si>
    <t>Inlet Diameter</t>
  </si>
  <si>
    <t>rho_medium_std</t>
  </si>
  <si>
    <t>Power(shaft) standard</t>
  </si>
  <si>
    <t>BOSS DATA</t>
  </si>
  <si>
    <t>Front_P_T</t>
  </si>
  <si>
    <t>Back_P_T</t>
  </si>
  <si>
    <t>b_2</t>
  </si>
  <si>
    <t>d_1</t>
  </si>
  <si>
    <r>
      <t>m</t>
    </r>
    <r>
      <rPr>
        <vertAlign val="superscript"/>
        <sz val="12"/>
        <rFont val="宋体"/>
        <family val="2"/>
        <scheme val="minor"/>
      </rPr>
      <t>3</t>
    </r>
    <r>
      <rPr>
        <sz val="12"/>
        <rFont val="宋体"/>
        <family val="2"/>
        <scheme val="minor"/>
      </rPr>
      <t>/hr</t>
    </r>
  </si>
  <si>
    <r>
      <t xml:space="preserve">rho </t>
    </r>
    <r>
      <rPr>
        <vertAlign val="subscript"/>
        <sz val="12"/>
        <rFont val="宋体"/>
        <family val="2"/>
        <scheme val="minor"/>
      </rPr>
      <t>medium</t>
    </r>
    <r>
      <rPr>
        <sz val="12"/>
        <rFont val="宋体"/>
        <family val="2"/>
        <scheme val="minor"/>
      </rPr>
      <t xml:space="preserve"> @</t>
    </r>
  </si>
  <si>
    <r>
      <t>0</t>
    </r>
    <r>
      <rPr>
        <sz val="12"/>
        <rFont val="宋体"/>
        <family val="2"/>
        <scheme val="minor"/>
      </rPr>
      <t xml:space="preserve"> C</t>
    </r>
  </si>
  <si>
    <r>
      <t>kg/m</t>
    </r>
    <r>
      <rPr>
        <vertAlign val="superscript"/>
        <sz val="12"/>
        <rFont val="宋体"/>
        <family val="2"/>
        <scheme val="minor"/>
      </rPr>
      <t>3</t>
    </r>
  </si>
  <si>
    <r>
      <t xml:space="preserve">P </t>
    </r>
    <r>
      <rPr>
        <vertAlign val="subscript"/>
        <sz val="12"/>
        <rFont val="宋体"/>
        <family val="2"/>
        <scheme val="minor"/>
      </rPr>
      <t>stat(medium)</t>
    </r>
    <r>
      <rPr>
        <sz val="12"/>
        <rFont val="宋体"/>
        <family val="2"/>
        <scheme val="minor"/>
      </rPr>
      <t xml:space="preserve"> @</t>
    </r>
  </si>
  <si>
    <r>
      <t xml:space="preserve">P </t>
    </r>
    <r>
      <rPr>
        <vertAlign val="subscript"/>
        <sz val="12"/>
        <rFont val="宋体"/>
        <family val="2"/>
        <scheme val="minor"/>
      </rPr>
      <t>dyn(medium)</t>
    </r>
    <r>
      <rPr>
        <sz val="12"/>
        <rFont val="宋体"/>
        <family val="2"/>
        <scheme val="minor"/>
      </rPr>
      <t xml:space="preserve"> @</t>
    </r>
  </si>
  <si>
    <r>
      <t xml:space="preserve">P </t>
    </r>
    <r>
      <rPr>
        <vertAlign val="subscript"/>
        <sz val="12"/>
        <rFont val="宋体"/>
        <family val="2"/>
        <scheme val="minor"/>
      </rPr>
      <t>Total(medium)</t>
    </r>
    <r>
      <rPr>
        <sz val="12"/>
        <rFont val="宋体"/>
        <family val="2"/>
        <scheme val="minor"/>
      </rPr>
      <t xml:space="preserve"> @</t>
    </r>
  </si>
  <si>
    <r>
      <t xml:space="preserve">Power(shaft) </t>
    </r>
    <r>
      <rPr>
        <vertAlign val="subscript"/>
        <sz val="12"/>
        <rFont val="宋体"/>
        <family val="2"/>
        <scheme val="minor"/>
      </rPr>
      <t>standard</t>
    </r>
  </si>
  <si>
    <r>
      <t xml:space="preserve">Power(shaft) </t>
    </r>
    <r>
      <rPr>
        <vertAlign val="subscript"/>
        <sz val="12"/>
        <rFont val="宋体"/>
        <family val="2"/>
        <scheme val="minor"/>
      </rPr>
      <t>medium</t>
    </r>
    <r>
      <rPr>
        <sz val="12"/>
        <rFont val="宋体"/>
        <family val="2"/>
        <scheme val="minor"/>
      </rPr>
      <t xml:space="preserve"> @</t>
    </r>
  </si>
  <si>
    <r>
      <t>min</t>
    </r>
    <r>
      <rPr>
        <vertAlign val="superscript"/>
        <sz val="12"/>
        <rFont val="宋体"/>
        <family val="2"/>
        <scheme val="minor"/>
      </rPr>
      <t>-1</t>
    </r>
  </si>
  <si>
    <r>
      <t xml:space="preserve">P </t>
    </r>
    <r>
      <rPr>
        <vertAlign val="subscript"/>
        <sz val="12"/>
        <rFont val="宋体"/>
        <family val="2"/>
        <scheme val="minor"/>
      </rPr>
      <t>stat(standard)</t>
    </r>
    <r>
      <rPr>
        <sz val="12"/>
        <rFont val="宋体"/>
        <family val="2"/>
        <scheme val="minor"/>
      </rPr>
      <t xml:space="preserve"> @</t>
    </r>
  </si>
  <si>
    <r>
      <t xml:space="preserve">P </t>
    </r>
    <r>
      <rPr>
        <vertAlign val="subscript"/>
        <sz val="12"/>
        <rFont val="宋体"/>
        <family val="2"/>
        <scheme val="minor"/>
      </rPr>
      <t>dyn(standard)</t>
    </r>
    <r>
      <rPr>
        <sz val="12"/>
        <rFont val="宋体"/>
        <family val="2"/>
        <scheme val="minor"/>
      </rPr>
      <t xml:space="preserve"> @</t>
    </r>
  </si>
  <si>
    <r>
      <t xml:space="preserve">P </t>
    </r>
    <r>
      <rPr>
        <vertAlign val="subscript"/>
        <sz val="12"/>
        <rFont val="宋体"/>
        <family val="2"/>
        <scheme val="minor"/>
      </rPr>
      <t>Total(standard)</t>
    </r>
    <r>
      <rPr>
        <sz val="12"/>
        <rFont val="宋体"/>
        <family val="2"/>
        <scheme val="minor"/>
      </rPr>
      <t xml:space="preserve"> @</t>
    </r>
  </si>
  <si>
    <t>d_2 ratio</t>
  </si>
  <si>
    <t>Des. OP</t>
  </si>
  <si>
    <t>d_2 graph data</t>
  </si>
  <si>
    <t>rho graph data</t>
  </si>
  <si>
    <t>d_2 act</t>
  </si>
  <si>
    <t>CALCULATION OF DIFFERENT IMPELLER DIAMETERS &amp; OP</t>
  </si>
  <si>
    <t>Lp(A) (Channel) @ 1m</t>
  </si>
  <si>
    <t>Sound, Un-insulated Fan @ OP</t>
  </si>
  <si>
    <t>Std. Cond</t>
  </si>
  <si>
    <t>dB</t>
  </si>
  <si>
    <t>dB(A)</t>
  </si>
  <si>
    <t>OP. Cond</t>
  </si>
  <si>
    <t>min-1</t>
  </si>
  <si>
    <t>OP 1, OP conditions</t>
  </si>
  <si>
    <t>price index</t>
  </si>
  <si>
    <t>Price Index</t>
  </si>
  <si>
    <t>Drive &amp; Mounting</t>
  </si>
  <si>
    <t>D&amp;M</t>
  </si>
  <si>
    <t>CORTEN, REG</t>
  </si>
  <si>
    <t>CORTEN, HS</t>
  </si>
  <si>
    <t>Target Max RPM</t>
  </si>
  <si>
    <t>Blade Mat</t>
  </si>
  <si>
    <t>Int ring T, axial</t>
  </si>
  <si>
    <t>Int ring D, radial</t>
  </si>
  <si>
    <t>Max RPM (d1)</t>
  </si>
  <si>
    <t>Ext ring T, axial</t>
  </si>
  <si>
    <t>Ext ring D, radial</t>
  </si>
  <si>
    <t>Max RPM (d2)</t>
  </si>
  <si>
    <t>Des_Rev</t>
  </si>
  <si>
    <t>Speed &amp; Mat OK</t>
  </si>
  <si>
    <t>Steel, REG</t>
  </si>
  <si>
    <t>Steel, HS</t>
  </si>
  <si>
    <t>DOMEX, REG</t>
  </si>
  <si>
    <t>DOMEX, HS</t>
  </si>
  <si>
    <t>d_2(new)</t>
  </si>
  <si>
    <t>rho, Inlet, 20C</t>
  </si>
  <si>
    <t>d_2(new)/d_2(old)</t>
  </si>
  <si>
    <t>d_2 (new)</t>
  </si>
  <si>
    <t>density</t>
  </si>
  <si>
    <t>temp</t>
  </si>
  <si>
    <t>rho(inlet)</t>
  </si>
  <si>
    <t>d5</t>
  </si>
  <si>
    <t>Min. Blade T &lt;mm&gt;</t>
  </si>
  <si>
    <t>d_5</t>
  </si>
  <si>
    <t>b_Ring 1</t>
  </si>
  <si>
    <t>b_Ring 2</t>
  </si>
  <si>
    <t>CONE_d</t>
  </si>
  <si>
    <t>CONE_H</t>
  </si>
  <si>
    <t>CONE_T</t>
  </si>
  <si>
    <t>Blade_T(max)</t>
  </si>
  <si>
    <t>Fan Power   (&lt; 1.0 MW)</t>
  </si>
  <si>
    <t>Deformation Calculation for Fan</t>
  </si>
  <si>
    <t>Material data (Blades)</t>
  </si>
  <si>
    <t>degr. C</t>
  </si>
  <si>
    <t>Yield stress @ 20 degr. C, Safety factor</t>
  </si>
  <si>
    <t>E Youngs modul, Density</t>
  </si>
  <si>
    <t>Impeller data</t>
  </si>
  <si>
    <t>index</t>
  </si>
  <si>
    <t>Data @ Speed Limit</t>
  </si>
  <si>
    <t>Data @ OP., OP rev</t>
  </si>
  <si>
    <t>Data @ OP., des rev</t>
  </si>
  <si>
    <t>Plate thickness range, mm</t>
  </si>
  <si>
    <t>@ d1/2</t>
  </si>
  <si>
    <t>@d2/2</t>
  </si>
  <si>
    <t>Real, Desired Plate T, Min Plate T</t>
  </si>
  <si>
    <t>OP rev., Safety Factor, Design rev.</t>
  </si>
  <si>
    <t>Angular speed</t>
  </si>
  <si>
    <t>rad/sec</t>
  </si>
  <si>
    <t>rad/s</t>
  </si>
  <si>
    <t>Re-enforcement - d_1;d_2</t>
  </si>
  <si>
    <t>Blade Length, Blades total weight</t>
  </si>
  <si>
    <t>kg</t>
  </si>
  <si>
    <t>I</t>
  </si>
  <si>
    <t>m3</t>
  </si>
  <si>
    <t>Wb @ weld</t>
  </si>
  <si>
    <t>m2</t>
  </si>
  <si>
    <t>Wb @ middle</t>
  </si>
  <si>
    <t>E*I</t>
  </si>
  <si>
    <t>J</t>
  </si>
  <si>
    <t>Radius, d1/2; d2/2</t>
  </si>
  <si>
    <t>Blade width, b1; b2</t>
  </si>
  <si>
    <t>beta</t>
  </si>
  <si>
    <t>beta1</t>
  </si>
  <si>
    <t>beta2</t>
  </si>
  <si>
    <t>rad</t>
  </si>
  <si>
    <t>Radial Load</t>
  </si>
  <si>
    <t>Front &amp; Back plate Stiffness</t>
  </si>
  <si>
    <t>Cal. Constant</t>
  </si>
  <si>
    <t>K frontplate</t>
  </si>
  <si>
    <t>N</t>
  </si>
  <si>
    <t>M frontplate</t>
  </si>
  <si>
    <t>UB frontplate</t>
  </si>
  <si>
    <t>L backplate (equivalent length of beam holding blade), 30*t</t>
  </si>
  <si>
    <t>K backplate</t>
  </si>
  <si>
    <t>M backplate</t>
  </si>
  <si>
    <t>UB backplate</t>
  </si>
  <si>
    <t>Blade deformation &amp; stress</t>
  </si>
  <si>
    <t>Blade deformation @ center</t>
  </si>
  <si>
    <t>z=</t>
  </si>
  <si>
    <t>Blade Moment @ disk</t>
  </si>
  <si>
    <t>Blade Moment @ center</t>
  </si>
  <si>
    <t>Stress @ disk</t>
  </si>
  <si>
    <t>Max allowed stress; delta</t>
  </si>
  <si>
    <t>Impeller Stress and Fan Data &amp; Deformation Analysis - CF 2009-1906</t>
  </si>
  <si>
    <t>Design dimensions</t>
  </si>
  <si>
    <t>actual dimensions</t>
  </si>
  <si>
    <t>needed dimensions</t>
  </si>
  <si>
    <t>Ring Radial dimension, D</t>
  </si>
  <si>
    <t>Ring axial dimension, T</t>
  </si>
  <si>
    <t>Ring stress @ local speed, actual dimensions</t>
  </si>
  <si>
    <t>Ring max speed @ Yield_stress(T), actual Dimensions</t>
  </si>
  <si>
    <t>Absolute Speed limit</t>
  </si>
  <si>
    <t>Impeller Stress and Fan Data &amp; Deformation Analysis - HN 1800-710 - 140107</t>
  </si>
  <si>
    <t>z</t>
  </si>
  <si>
    <t>d1/2</t>
  </si>
  <si>
    <t>d2/2</t>
  </si>
  <si>
    <t>Vert. Def. @ d1/2</t>
  </si>
  <si>
    <t>Moment @ d1/2</t>
  </si>
  <si>
    <t>Vert. Def. @ d2/2</t>
  </si>
  <si>
    <t>Moment @ d2/2</t>
  </si>
  <si>
    <t>diam_Ring 1 (ext)</t>
  </si>
  <si>
    <t>diam_Ring 2 (ext)</t>
  </si>
  <si>
    <t>diam_Ring 1 (int)</t>
  </si>
  <si>
    <t>Dny/Dgl</t>
  </si>
  <si>
    <t>A. Power, kW</t>
  </si>
  <si>
    <t>F. Power, Kw</t>
  </si>
  <si>
    <t>A-weights</t>
  </si>
  <si>
    <t>Lw(A) -&gt; Stator Lp(A)</t>
  </si>
  <si>
    <t>BJ 1062-444</t>
  </si>
  <si>
    <t>BJ 424-230</t>
  </si>
  <si>
    <t>BJ 494-229</t>
  </si>
  <si>
    <t>BJ 2009-1906</t>
  </si>
  <si>
    <t>BJ 1140-481</t>
  </si>
  <si>
    <t>BJ 1020-350</t>
  </si>
  <si>
    <t>BJ 1021-441</t>
  </si>
  <si>
    <t>BJ 603-295</t>
  </si>
  <si>
    <t>BJ 1788-1661</t>
  </si>
  <si>
    <t>BJ 723-324</t>
  </si>
  <si>
    <t>BJ 842-340</t>
  </si>
  <si>
    <t>BJ 903-376</t>
  </si>
  <si>
    <t>BJ 937-362</t>
  </si>
  <si>
    <t>BJ 481-293</t>
  </si>
  <si>
    <t>BJ 638-510</t>
  </si>
  <si>
    <t>BJ 784-331</t>
  </si>
  <si>
    <t>blank</t>
  </si>
  <si>
    <t>b154</t>
  </si>
  <si>
    <t>b155</t>
  </si>
  <si>
    <t>b122</t>
  </si>
  <si>
    <t>b121</t>
  </si>
  <si>
    <t>b96</t>
  </si>
  <si>
    <t>b76</t>
  </si>
  <si>
    <t>b72</t>
  </si>
  <si>
    <t>b62</t>
  </si>
  <si>
    <t>b71</t>
  </si>
  <si>
    <t>b146</t>
  </si>
  <si>
    <t>b148</t>
  </si>
  <si>
    <t>CONE_D</t>
  </si>
  <si>
    <t>BJ 560-350</t>
  </si>
  <si>
    <t>BJ 690-350</t>
  </si>
  <si>
    <t>BJ 690-450</t>
  </si>
  <si>
    <t>BJ 690-560</t>
  </si>
  <si>
    <t>BJ 690-560vA</t>
  </si>
  <si>
    <t>BJ 800-350</t>
  </si>
  <si>
    <t>BJ 800-400</t>
  </si>
  <si>
    <t>BJ 800-450</t>
  </si>
  <si>
    <t>BJ 800-500</t>
  </si>
  <si>
    <t>BJ 800-630</t>
  </si>
  <si>
    <t>BJ 900-500</t>
  </si>
  <si>
    <t>BJ 900-560</t>
  </si>
  <si>
    <t>BJ 900-630</t>
  </si>
  <si>
    <t>BJ 900-710</t>
  </si>
  <si>
    <t>BJ 1000-400,45</t>
  </si>
  <si>
    <t>BJ 1000-400</t>
  </si>
  <si>
    <t>BJ 1000-450</t>
  </si>
  <si>
    <t>BJ 1000-500</t>
  </si>
  <si>
    <t>BJ 1000-560</t>
  </si>
  <si>
    <t>BJ 1000-630</t>
  </si>
  <si>
    <t>BJ 1000-710</t>
  </si>
  <si>
    <t>BJ 1000-800</t>
  </si>
  <si>
    <t>BJ 1120-400</t>
  </si>
  <si>
    <t>BJ 1120-500</t>
  </si>
  <si>
    <t>BJ 1120-560</t>
  </si>
  <si>
    <t>BJ 1120-630</t>
  </si>
  <si>
    <t>BJ 1120-710</t>
  </si>
  <si>
    <t>BJ 1120-800</t>
  </si>
  <si>
    <t>BJ 1120-900</t>
  </si>
  <si>
    <t>BJ 1250-500</t>
  </si>
  <si>
    <t>BJ 1250-560</t>
  </si>
  <si>
    <t>BJ 1250-630</t>
  </si>
  <si>
    <t>BJ 1250-710</t>
  </si>
  <si>
    <t>BJ 1250-800</t>
  </si>
  <si>
    <t>BJ 1250-900</t>
  </si>
  <si>
    <t>BJ 1250-1000</t>
  </si>
  <si>
    <t>BJ 1400-560</t>
  </si>
  <si>
    <t>BJ 1400-710</t>
  </si>
  <si>
    <t>BJ 1400-900</t>
  </si>
  <si>
    <t>BJ 1400-1000</t>
  </si>
  <si>
    <t>BJ 1400-1120</t>
  </si>
  <si>
    <t>BJ 1600-560</t>
  </si>
  <si>
    <t>BJ 1600-710</t>
  </si>
  <si>
    <t>BJ 1600-900</t>
  </si>
  <si>
    <t>BJ 1600-1000</t>
  </si>
  <si>
    <t>BJ 1600-1120</t>
  </si>
  <si>
    <t>BJ 1600-1250</t>
  </si>
  <si>
    <t>BJ 1800-710</t>
  </si>
  <si>
    <t>BJ 1800-900</t>
  </si>
  <si>
    <t>BJ 1800-1000</t>
  </si>
  <si>
    <t>BJ 1800-1120</t>
  </si>
  <si>
    <t>BJ 1800-1250</t>
  </si>
  <si>
    <t>BJ 1800-1400</t>
  </si>
  <si>
    <t>BJ 2000-710</t>
  </si>
  <si>
    <t>BJ 2000-900</t>
  </si>
  <si>
    <t>BJ 2000-1120</t>
  </si>
  <si>
    <t>BJ 2000-1400</t>
  </si>
  <si>
    <t>BJ 2000-1600</t>
  </si>
  <si>
    <t>MT 26</t>
  </si>
  <si>
    <t>MT 28</t>
  </si>
  <si>
    <t>MT 28-100</t>
  </si>
  <si>
    <t>MT 28-125</t>
  </si>
  <si>
    <t>MT 29</t>
  </si>
  <si>
    <t>MT 400-160</t>
  </si>
  <si>
    <t>MT 400-200</t>
  </si>
  <si>
    <t>MT 425-250</t>
  </si>
  <si>
    <t>MT 500-200</t>
  </si>
  <si>
    <t>MT 500-250</t>
  </si>
  <si>
    <t>MT 500-310</t>
  </si>
  <si>
    <t>MT 600-200</t>
  </si>
  <si>
    <t>MT 600-250</t>
  </si>
  <si>
    <t>MT 600-250vA</t>
  </si>
  <si>
    <t>MT 600-250vB</t>
  </si>
  <si>
    <t>MT 600-310</t>
  </si>
  <si>
    <t>MT 600-310vA</t>
  </si>
  <si>
    <t>MT 600-310vB</t>
  </si>
  <si>
    <t>MT 600-350</t>
  </si>
  <si>
    <t>MT 600-350vA</t>
  </si>
  <si>
    <t>MT 600-350vB</t>
  </si>
  <si>
    <t>MT 675-200</t>
  </si>
  <si>
    <t>MT 675-250</t>
  </si>
  <si>
    <t>MT 675-310</t>
  </si>
  <si>
    <t>MT 675-350</t>
  </si>
  <si>
    <t>MT 675-400</t>
  </si>
  <si>
    <t>MT 725-450</t>
  </si>
  <si>
    <t>MT 800-200</t>
  </si>
  <si>
    <t>MT 800-250</t>
  </si>
  <si>
    <t>MT 800-310</t>
  </si>
  <si>
    <t>MT 800-350</t>
  </si>
  <si>
    <t>MT 800-400</t>
  </si>
  <si>
    <t>MT 800-500</t>
  </si>
  <si>
    <t>MT 900-550</t>
  </si>
  <si>
    <t>MT 950-625</t>
  </si>
  <si>
    <t>MT 1100-700</t>
  </si>
  <si>
    <t>MT 1250-800</t>
  </si>
  <si>
    <t>FT 24</t>
  </si>
  <si>
    <t>FT 33</t>
  </si>
  <si>
    <t>VB 400-160</t>
  </si>
  <si>
    <t>VB 400-200</t>
  </si>
  <si>
    <t>VB 425-250</t>
  </si>
  <si>
    <t>VB 500-250</t>
  </si>
  <si>
    <t>VB 500-310</t>
  </si>
  <si>
    <t>VB 600-250</t>
  </si>
  <si>
    <t>VB 600-350</t>
  </si>
  <si>
    <t>VB 675-350</t>
  </si>
  <si>
    <t>VB 675-400</t>
  </si>
  <si>
    <t>VB 725-450</t>
  </si>
  <si>
    <t>VB 800-400</t>
  </si>
  <si>
    <t>VB 800-500</t>
  </si>
  <si>
    <t>VB 900-550</t>
  </si>
  <si>
    <t>VB 950-625</t>
  </si>
  <si>
    <t>VB 1100-700</t>
  </si>
  <si>
    <t>VB 1250-800</t>
  </si>
  <si>
    <t>HT 5-370</t>
  </si>
  <si>
    <t>HT 10-370</t>
  </si>
  <si>
    <t>HT 15-370</t>
  </si>
  <si>
    <t>HT 20-370</t>
  </si>
  <si>
    <t>HT 30-370</t>
  </si>
  <si>
    <t>HT 30-370vA</t>
  </si>
  <si>
    <t>HT 30-370vB</t>
  </si>
  <si>
    <t>HT 5-530</t>
  </si>
  <si>
    <t>HT 10-700</t>
  </si>
  <si>
    <t>HT 15-700</t>
  </si>
  <si>
    <t>HT 25-700</t>
  </si>
  <si>
    <t>HT 10-775</t>
  </si>
  <si>
    <t>LT 200</t>
  </si>
  <si>
    <t>LT 200vA</t>
  </si>
  <si>
    <t>LT 265</t>
  </si>
  <si>
    <t>LTX 265</t>
  </si>
  <si>
    <t>LT 315</t>
  </si>
  <si>
    <t>LTX 315</t>
  </si>
  <si>
    <t>LT 365</t>
  </si>
  <si>
    <t>LTX 365</t>
  </si>
  <si>
    <t>LT 425</t>
  </si>
  <si>
    <t>LTX 425</t>
  </si>
  <si>
    <t>LT 465</t>
  </si>
  <si>
    <t>LTX 465</t>
  </si>
  <si>
    <t>LT 515</t>
  </si>
  <si>
    <t>LT 565</t>
  </si>
  <si>
    <t>LT 615</t>
  </si>
  <si>
    <t>LT 765</t>
  </si>
  <si>
    <t>LT 815</t>
  </si>
  <si>
    <t>LT 1000</t>
  </si>
  <si>
    <t>LT 1100</t>
  </si>
  <si>
    <t>LT 650</t>
  </si>
  <si>
    <t>LT 700</t>
  </si>
  <si>
    <t>TS 315</t>
  </si>
  <si>
    <t>TSX 315</t>
  </si>
  <si>
    <t>TS 365</t>
  </si>
  <si>
    <t>TSX 365</t>
  </si>
  <si>
    <t>TS 425</t>
  </si>
  <si>
    <t>TSX 425</t>
  </si>
  <si>
    <t>TS 425-370</t>
  </si>
  <si>
    <t>TS 425-400</t>
  </si>
  <si>
    <t>TS 465</t>
  </si>
  <si>
    <t>TSX 465</t>
  </si>
  <si>
    <t>TS 515</t>
  </si>
  <si>
    <t>VSB 315</t>
  </si>
  <si>
    <t>VSBX 315</t>
  </si>
  <si>
    <t>VSB 365</t>
  </si>
  <si>
    <t>VSBX 365</t>
  </si>
  <si>
    <t>VSB 425</t>
  </si>
  <si>
    <t>VSBX 425</t>
  </si>
  <si>
    <t>VSB 425-370</t>
  </si>
  <si>
    <t>VSB 425-415</t>
  </si>
  <si>
    <t>Bar =</t>
  </si>
  <si>
    <t>Radiation factor</t>
  </si>
  <si>
    <t>Temp. Increase</t>
  </si>
  <si>
    <t>Degr. C</t>
  </si>
  <si>
    <t>Comments</t>
  </si>
  <si>
    <t>ID</t>
  </si>
  <si>
    <t>b_1_bladeFP</t>
  </si>
  <si>
    <t>rho_med_std</t>
  </si>
  <si>
    <t>m above sea level</t>
  </si>
  <si>
    <t>Fan Torque, Nm</t>
  </si>
  <si>
    <t>FP_TOOL</t>
  </si>
  <si>
    <t>HN 560-350</t>
  </si>
  <si>
    <t>HN 690-350</t>
  </si>
  <si>
    <t>HN 690-450</t>
  </si>
  <si>
    <t>HN 690-560</t>
  </si>
  <si>
    <t>HN 690-560vA</t>
  </si>
  <si>
    <t>HN 800-350</t>
  </si>
  <si>
    <t>HN 800-400</t>
  </si>
  <si>
    <t>HN 800-450</t>
  </si>
  <si>
    <t>HN 800-500</t>
  </si>
  <si>
    <t>HN 800-630</t>
  </si>
  <si>
    <t>HN 900-500</t>
  </si>
  <si>
    <t>HN 900-560</t>
  </si>
  <si>
    <t>HN 900-630</t>
  </si>
  <si>
    <t>HN 900-710</t>
  </si>
  <si>
    <t>HN 1000-400,45</t>
  </si>
  <si>
    <t>HN 1000-400</t>
  </si>
  <si>
    <t>HN 1000-450</t>
  </si>
  <si>
    <t>HN 1000-500</t>
  </si>
  <si>
    <t>HN 1000-560</t>
  </si>
  <si>
    <t>HN 1000-630</t>
  </si>
  <si>
    <t>HN 1000-710</t>
  </si>
  <si>
    <t>HN 1000-800</t>
  </si>
  <si>
    <t>HN 1120-400</t>
  </si>
  <si>
    <t>HN 1120-500</t>
  </si>
  <si>
    <t>HN 1120-560</t>
  </si>
  <si>
    <t>HN 1120-630</t>
  </si>
  <si>
    <t>HN 1120-710</t>
  </si>
  <si>
    <t>HN 1120-800</t>
  </si>
  <si>
    <t>HN 1120-900</t>
  </si>
  <si>
    <t>HN 1250-500</t>
  </si>
  <si>
    <t>HN 1250-560</t>
  </si>
  <si>
    <t>HN 1250-630</t>
  </si>
  <si>
    <t>HN 1250-710</t>
  </si>
  <si>
    <t>HN 1250-800</t>
  </si>
  <si>
    <t>HN 1250-900</t>
  </si>
  <si>
    <t>HN 1250-1000</t>
  </si>
  <si>
    <t>HN 1400-560</t>
  </si>
  <si>
    <t>HN 1400-710</t>
  </si>
  <si>
    <t>HN 1400-900</t>
  </si>
  <si>
    <t>HN 1400-1000</t>
  </si>
  <si>
    <t>HN 1400-1120</t>
  </si>
  <si>
    <t>HN 1600-560</t>
  </si>
  <si>
    <t>HN 1600-710</t>
  </si>
  <si>
    <t>HN 1600-900</t>
  </si>
  <si>
    <t>HN 1600-1000</t>
  </si>
  <si>
    <t>HN 1600-1120</t>
  </si>
  <si>
    <t>HN 1600-1250</t>
  </si>
  <si>
    <t>HN 1800-710</t>
  </si>
  <si>
    <t>HN 1800-900</t>
  </si>
  <si>
    <t>HN 1800-1000</t>
  </si>
  <si>
    <t>HN 1800-1120</t>
  </si>
  <si>
    <t>HN 1800-1250</t>
  </si>
  <si>
    <t>HN 1800-1400</t>
  </si>
  <si>
    <t>HN 2000-710</t>
  </si>
  <si>
    <t>HN 2000-900</t>
  </si>
  <si>
    <t>HN 2000-1120</t>
  </si>
  <si>
    <t>HN 2000-1400</t>
  </si>
  <si>
    <t>HN 2000-1600</t>
  </si>
  <si>
    <t>CF 424-230</t>
  </si>
  <si>
    <t>CF 494-229</t>
  </si>
  <si>
    <t>CF 2009-1906</t>
  </si>
  <si>
    <t>CF 1140-481</t>
  </si>
  <si>
    <t>CF 1020-350</t>
  </si>
  <si>
    <t>CF 1021-441</t>
  </si>
  <si>
    <t>CF 603-295</t>
  </si>
  <si>
    <t>CF 1788-1661</t>
  </si>
  <si>
    <t>CF 723-324</t>
  </si>
  <si>
    <t>CF 842-340</t>
  </si>
  <si>
    <t>CF 903-376</t>
  </si>
  <si>
    <t>CF 937-362</t>
  </si>
  <si>
    <t>CF 481-293</t>
  </si>
  <si>
    <t>CF 638-510</t>
  </si>
  <si>
    <t>CF 784-331</t>
  </si>
  <si>
    <t>CF 1062-444</t>
  </si>
  <si>
    <t>n; max rev (OP)</t>
  </si>
  <si>
    <t>n; max rev (SC)</t>
  </si>
  <si>
    <t>rev1</t>
  </si>
  <si>
    <t>p1</t>
  </si>
  <si>
    <t>p2</t>
  </si>
  <si>
    <t>p3</t>
  </si>
  <si>
    <t>p4</t>
  </si>
  <si>
    <t>p5</t>
  </si>
  <si>
    <t>p6</t>
  </si>
  <si>
    <t>q1</t>
  </si>
  <si>
    <t>q2</t>
  </si>
  <si>
    <t>q3</t>
  </si>
  <si>
    <t>q4</t>
  </si>
  <si>
    <t>q5</t>
  </si>
  <si>
    <t>q6</t>
  </si>
  <si>
    <t>eff1</t>
  </si>
  <si>
    <t>eff2</t>
  </si>
  <si>
    <t>eff4</t>
  </si>
  <si>
    <t>eff5</t>
  </si>
  <si>
    <t>eff6</t>
  </si>
  <si>
    <t>revmax</t>
  </si>
  <si>
    <t>revmin</t>
  </si>
  <si>
    <t>pmax</t>
  </si>
  <si>
    <t>pmin</t>
  </si>
  <si>
    <t>qmax</t>
  </si>
  <si>
    <t>qmin</t>
  </si>
  <si>
    <t>p7</t>
  </si>
  <si>
    <t>p8</t>
  </si>
  <si>
    <t>p9</t>
  </si>
  <si>
    <t>p10</t>
  </si>
  <si>
    <t>Fan Relevant</t>
  </si>
  <si>
    <t>Old Name</t>
  </si>
  <si>
    <t>mt 29</t>
  </si>
  <si>
    <t>New Name</t>
  </si>
  <si>
    <t>xoe 253-120</t>
  </si>
  <si>
    <t>HOUSE_P_T</t>
  </si>
  <si>
    <t>HOUSE_X_DIM</t>
  </si>
  <si>
    <t>HOUSE_D</t>
  </si>
  <si>
    <t>r0</t>
  </si>
  <si>
    <t>K_house</t>
  </si>
  <si>
    <t>H_alfastart</t>
  </si>
  <si>
    <t>H_alfaend</t>
  </si>
  <si>
    <t>Funnel_height</t>
  </si>
  <si>
    <t>raw name</t>
  </si>
  <si>
    <t>Row in Jimmy sheet</t>
  </si>
  <si>
    <t xml:space="preserve">OE </t>
  </si>
  <si>
    <t xml:space="preserve">MP </t>
  </si>
  <si>
    <t xml:space="preserve">SP </t>
  </si>
  <si>
    <t xml:space="preserve">HP </t>
  </si>
  <si>
    <t xml:space="preserve">LP </t>
  </si>
  <si>
    <t>TS_</t>
  </si>
  <si>
    <t>VSB_</t>
  </si>
  <si>
    <t>cone angle</t>
  </si>
  <si>
    <t>degr</t>
  </si>
  <si>
    <t>Gravity</t>
  </si>
  <si>
    <t>m/s2</t>
  </si>
  <si>
    <t>formulas</t>
  </si>
  <si>
    <t>d_in</t>
  </si>
  <si>
    <t>b_in</t>
  </si>
  <si>
    <t>Blades</t>
  </si>
  <si>
    <t>Blade_L</t>
  </si>
  <si>
    <t>HUB_P_T</t>
  </si>
  <si>
    <t>HUB_P_D</t>
  </si>
  <si>
    <t>Hub_C_D</t>
  </si>
  <si>
    <t>Hub_C_tL</t>
  </si>
  <si>
    <t>Whub_C</t>
  </si>
  <si>
    <t>CONE_W</t>
  </si>
  <si>
    <t>Cone-index&lt;kW&gt;</t>
  </si>
  <si>
    <t>A_imp</t>
  </si>
  <si>
    <t>C_imp</t>
  </si>
  <si>
    <t>I_alfastart</t>
  </si>
  <si>
    <t>I_alfaend</t>
  </si>
  <si>
    <t>Impeller_A</t>
  </si>
  <si>
    <t>Impeller_W</t>
  </si>
  <si>
    <t>ICOM</t>
  </si>
  <si>
    <t>q7</t>
  </si>
  <si>
    <t>q8</t>
  </si>
  <si>
    <t>q9</t>
  </si>
  <si>
    <t>q10</t>
  </si>
  <si>
    <t>eff33</t>
  </si>
  <si>
    <t>eff7</t>
  </si>
  <si>
    <t>eff8</t>
  </si>
  <si>
    <t>eff9</t>
  </si>
  <si>
    <t>eff10</t>
  </si>
  <si>
    <t>Motor eff.</t>
  </si>
  <si>
    <t>Curve exist</t>
  </si>
  <si>
    <t>House_P_T</t>
  </si>
  <si>
    <t>OP OK</t>
  </si>
  <si>
    <t>Rpm OK</t>
  </si>
  <si>
    <t>#Int. Ring</t>
  </si>
  <si>
    <t>#Ext. Ring</t>
  </si>
  <si>
    <t>MATCH(G61&amp;", "&amp;G62;'Impeller &amp; Run Data'!$A$14:$KP$14;0)</t>
  </si>
  <si>
    <t>MATCH(G61&amp;", "&amp;G63;'Impeller &amp; Run Data'!$A$14:$KP$14;0)</t>
  </si>
  <si>
    <t>MATCH(G64&amp;", "&amp;G65;'Impeller &amp; Run Data'!$A$14:$KP$14;0)</t>
  </si>
  <si>
    <t>MATCH(G64&amp;", "&amp;G66;'Impeller &amp; Run Data'!$A$14:$KP$14;0)</t>
  </si>
  <si>
    <t>MATCH(G67&amp;", "&amp;G68;'Impeller &amp; Run Data'!$A$14:$KP$14;0)</t>
  </si>
  <si>
    <t>MATCH(G67&amp;", "&amp;G69;'Impeller &amp; Run Data'!$A$14:$KP$14;0)</t>
  </si>
  <si>
    <t>MATCH(G70&amp;", "&amp;G71;'Impeller &amp; Run Data'!$A$14:$KP$14;0)</t>
  </si>
  <si>
    <t>MATCH(G70&amp;", "&amp;G72;'Impeller &amp; Run Data'!$A$14:$KP$14;0)</t>
  </si>
  <si>
    <t>MATCH(G73&amp;", "&amp;G74;'Impeller &amp; Run Data'!$A$14:$KP$14;0)</t>
  </si>
  <si>
    <t>MATCH(G73&amp;", "&amp;G75;'Impeller &amp; Run Data'!$A$14:$KP$14;0)</t>
  </si>
  <si>
    <t>MATCH(G76&amp;", "&amp;G77;'Impeller &amp; Run Data'!$A$14:$KP$14;0)</t>
  </si>
  <si>
    <t>MATCH(G76&amp;", "&amp;G78;'Impeller &amp; Run Data'!$A$14:$KP$14;0)</t>
  </si>
  <si>
    <t>MATCH(G79&amp;", "&amp;G80;'Impeller &amp; Run Data'!$A$14:$KP$14;0)</t>
  </si>
  <si>
    <t>MATCH(G79&amp;", "&amp;G81;'Impeller &amp; Run Data'!$A$14:$KP$14;0)</t>
  </si>
  <si>
    <t>MATCH(H$61;'Impeller &amp; Run Data'!$A$16:$kp$16;0)-$U$62</t>
  </si>
  <si>
    <t>MATCH(I$61;'Impeller &amp; Run Data'!$A$16:$kp$16;0)-$U$62</t>
  </si>
  <si>
    <t>MATCH(J$61;'Impeller &amp; Run Data'!$A$16:$kp$16;0)-$U$62</t>
  </si>
  <si>
    <t>MATCH(K$61;'Impeller &amp; Run Data'!$A$16:$kp$16;0)-$U$62</t>
  </si>
  <si>
    <t>MATCH(L$61;'Impeller &amp; Run Data'!$A$16:$kp$16;0)-$U$62</t>
  </si>
  <si>
    <t>MATCH(M$61;'Impeller &amp; Run Data'!$A$16:$kp$16;0)-$U$62</t>
  </si>
  <si>
    <t>MATCH(N$61;'Impeller &amp; Run Data'!$A$16:$kp$16;0)-$U$62</t>
  </si>
  <si>
    <t>MATCH(O$61;'Impeller &amp; Run Data'!$A$16:$kp$16;0)-$U$62</t>
  </si>
  <si>
    <t>MATCH(P$61;'Impeller &amp; Run Data'!$A$16:$kp$16;0)-$U$62</t>
  </si>
  <si>
    <t>MATCH(Q$61;'Impeller &amp; Run Data'!$A$16:$kp$16;0)-$U$62</t>
  </si>
  <si>
    <t>MATCH(R$61;'Impeller &amp; Run Data'!$A$16:$kp$16;0)-$U$62</t>
  </si>
  <si>
    <t>MATCH(A61;'Impeller &amp; Run Data'!$A$16:$KP$16;0)</t>
  </si>
  <si>
    <t>MATCH(B61;'Impeller &amp; Run Data'!$A$16:$KP$16;0)</t>
  </si>
  <si>
    <t>MATCH(C61;'Impeller &amp; Run Data'!$A$16:$KP$16;0)</t>
  </si>
  <si>
    <t>MATCH(D61;'Impeller &amp; Run Data'!$A$16:$KP$16;0)</t>
  </si>
  <si>
    <t>MATCH(E61;'Impeller &amp; Run Data'!$A$16:$KP$16;0)</t>
  </si>
  <si>
    <t>MATCH(A63;'Impeller &amp; Run Data'!$A$16:$KP$16;0)</t>
  </si>
  <si>
    <t>MATCH(B63;'Impeller &amp; Run Data'!$A$16:$KP$16;0)</t>
  </si>
  <si>
    <t>MATCH(C63;'Impeller &amp; Run Data'!$A$16:$KP$16;0)</t>
  </si>
  <si>
    <t>MATCH(A65;'Impeller &amp; Run Data'!$A$16:$KP$16;0)</t>
  </si>
  <si>
    <t>MATCH(B65;'Impeller &amp; Run Data'!$A$16:$KP$16;0)</t>
  </si>
  <si>
    <t>MATCH(C65;'Impeller &amp; Run Data'!$A$16:$KP$16;0)</t>
  </si>
  <si>
    <t>MATCH(D65;'Impeller &amp; Run Data'!$A$16:$KP$16;0)</t>
  </si>
  <si>
    <t>MATCH(A67;'Impeller &amp; Run Data'!$A$16:$KP$16;0)</t>
  </si>
  <si>
    <t>MATCH(B67;'Impeller &amp; Run Data'!$A$16:$KP$16;0)</t>
  </si>
  <si>
    <t>MATCH(C67;'Impeller &amp; Run Data'!$A$16:$KP$16;0)</t>
  </si>
  <si>
    <t>Fan #</t>
  </si>
  <si>
    <t>House_X_Dim</t>
  </si>
  <si>
    <t>Blade&amp;Ring Mat</t>
  </si>
  <si>
    <t>ALL UNITS SI</t>
  </si>
  <si>
    <t>copy of red cells</t>
  </si>
  <si>
    <t>Dyn Press, mmH2o</t>
  </si>
  <si>
    <t>USED IN MACRO</t>
  </si>
  <si>
    <t>Cost index, Direct</t>
  </si>
  <si>
    <t>WF_P</t>
  </si>
  <si>
    <t>WB_P</t>
  </si>
  <si>
    <t>WHub_P</t>
  </si>
  <si>
    <t>radiation factor</t>
  </si>
  <si>
    <t>XOE 173-50</t>
  </si>
  <si>
    <t>XMP 107-45</t>
  </si>
  <si>
    <t>XMP 123-35</t>
  </si>
  <si>
    <t>XMP 123-50</t>
  </si>
  <si>
    <t>XMP 138-55</t>
  </si>
  <si>
    <t>XMP 144-63</t>
  </si>
  <si>
    <t>TESTFAN</t>
  </si>
  <si>
    <t>XOE 96-35</t>
  </si>
  <si>
    <t>XOE 116-35</t>
  </si>
  <si>
    <t>XOE 116-40</t>
  </si>
  <si>
    <t>XOE 116-60</t>
  </si>
  <si>
    <t>XOE 116-60A</t>
  </si>
  <si>
    <t>XOE 138-45</t>
  </si>
  <si>
    <t>XOE 135-45</t>
  </si>
  <si>
    <t>XOE 135-45A</t>
  </si>
  <si>
    <t>XOE 135-55</t>
  </si>
  <si>
    <t>XOE 135-65</t>
  </si>
  <si>
    <t>XOE 153-55</t>
  </si>
  <si>
    <t>XOE 153-63</t>
  </si>
  <si>
    <t>XOE 153-70</t>
  </si>
  <si>
    <t>XOE 153-70A</t>
  </si>
  <si>
    <t>XOE 166-45</t>
  </si>
  <si>
    <t>XOE 166-45A</t>
  </si>
  <si>
    <t>XOE 166-50</t>
  </si>
  <si>
    <t>XOE 166-50A</t>
  </si>
  <si>
    <t>XOE 166-55</t>
  </si>
  <si>
    <t>XOE 166-60</t>
  </si>
  <si>
    <t>XOE 166-70</t>
  </si>
  <si>
    <t>XOE 166-63</t>
  </si>
  <si>
    <t>XOE 166-80</t>
  </si>
  <si>
    <t>XOE 181-45</t>
  </si>
  <si>
    <t>XOE 191-55</t>
  </si>
  <si>
    <t>XOE 191-60</t>
  </si>
  <si>
    <t>XOE 191-63</t>
  </si>
  <si>
    <t>XOE 191-80</t>
  </si>
  <si>
    <t>XOE 191-80A</t>
  </si>
  <si>
    <t>XOE 191-85</t>
  </si>
  <si>
    <t>XOE 210-60</t>
  </si>
  <si>
    <t>XOE 210-60A</t>
  </si>
  <si>
    <t>XOE 210-63</t>
  </si>
  <si>
    <t>XOE 210-75</t>
  </si>
  <si>
    <t>XOE 210-95</t>
  </si>
  <si>
    <t>XOE 210-95A</t>
  </si>
  <si>
    <t>XOE 210-90</t>
  </si>
  <si>
    <t>XOE 237-60</t>
  </si>
  <si>
    <t>XOE 237-75</t>
  </si>
  <si>
    <t>XOE 237-90</t>
  </si>
  <si>
    <t>XOE 237-110</t>
  </si>
  <si>
    <t>XOE 237-100</t>
  </si>
  <si>
    <t>XOE 273-65</t>
  </si>
  <si>
    <t>XOE 273-80</t>
  </si>
  <si>
    <t>XOE 273-90</t>
  </si>
  <si>
    <t>XOE 273-110</t>
  </si>
  <si>
    <t>XOE 273-120</t>
  </si>
  <si>
    <t>XOE 253-120</t>
  </si>
  <si>
    <t>XOE 306-85</t>
  </si>
  <si>
    <t>XOE 306-95</t>
  </si>
  <si>
    <t>XOE 306-100</t>
  </si>
  <si>
    <t>XOE 306-130</t>
  </si>
  <si>
    <t>XOE 306-125</t>
  </si>
  <si>
    <t>XOE 306-120</t>
  </si>
  <si>
    <t>XOE 320-75</t>
  </si>
  <si>
    <t>XOE 337-95</t>
  </si>
  <si>
    <t>XOE 337-125</t>
  </si>
  <si>
    <t>XOE 337-130</t>
  </si>
  <si>
    <t>XOE 337-125B</t>
  </si>
  <si>
    <t>XOE 68-23</t>
  </si>
  <si>
    <t>XOE 339-180</t>
  </si>
  <si>
    <t>XOE 153-45</t>
  </si>
  <si>
    <t>XOE 355-166</t>
  </si>
  <si>
    <t>XOE 111-32</t>
  </si>
  <si>
    <t>XOE 128-34</t>
  </si>
  <si>
    <t>XMP 39-10</t>
  </si>
  <si>
    <t>XMP 48-10</t>
  </si>
  <si>
    <t>XMP 49-10</t>
  </si>
  <si>
    <t>XMP 48-13</t>
  </si>
  <si>
    <t>XMP 52-10</t>
  </si>
  <si>
    <t>XMP 52-16</t>
  </si>
  <si>
    <t>XMP 52-20</t>
  </si>
  <si>
    <t>XMP 52-25</t>
  </si>
  <si>
    <t>XMP 76-20</t>
  </si>
  <si>
    <t>XMP 76-25</t>
  </si>
  <si>
    <t>XMP 76-31</t>
  </si>
  <si>
    <t>XMP 89-20</t>
  </si>
  <si>
    <t>XMP 90-25</t>
  </si>
  <si>
    <t>XMP 90-25A</t>
  </si>
  <si>
    <t>XMP 90-25B</t>
  </si>
  <si>
    <t>XMP 90-31</t>
  </si>
  <si>
    <t>XMP 90-31A</t>
  </si>
  <si>
    <t>XMP 90-31B</t>
  </si>
  <si>
    <t>XMP 90-35</t>
  </si>
  <si>
    <t>XMP 90-35A</t>
  </si>
  <si>
    <t>XMP 90-35B</t>
  </si>
  <si>
    <t>XMP 98-20</t>
  </si>
  <si>
    <t>XMP 98-25</t>
  </si>
  <si>
    <t>XMP 98-31</t>
  </si>
  <si>
    <t>XMP 98-35</t>
  </si>
  <si>
    <t>XMP 98-40</t>
  </si>
  <si>
    <t>XMP 123-20</t>
  </si>
  <si>
    <t>XMP 123-25</t>
  </si>
  <si>
    <t>XMP 123-31</t>
  </si>
  <si>
    <t>XMP 123-40</t>
  </si>
  <si>
    <t>XMP 198-70</t>
  </si>
  <si>
    <t>XMP 215-80</t>
  </si>
  <si>
    <t>XSP 58-16</t>
  </si>
  <si>
    <t>XSP 58-16A</t>
  </si>
  <si>
    <t>XSP 58-16B</t>
  </si>
  <si>
    <t>XSP 58-20</t>
  </si>
  <si>
    <t>XSP 70-25</t>
  </si>
  <si>
    <t>XSP 76-25</t>
  </si>
  <si>
    <t>XSP 76-31</t>
  </si>
  <si>
    <t>XSP 90-25</t>
  </si>
  <si>
    <t>XSP 90-35</t>
  </si>
  <si>
    <t>XSP 98-35</t>
  </si>
  <si>
    <t>XSP 98-40</t>
  </si>
  <si>
    <t>XSP 108-45</t>
  </si>
  <si>
    <t>XSP 123-40</t>
  </si>
  <si>
    <t>XSP 123-50</t>
  </si>
  <si>
    <t>XSP 138-55</t>
  </si>
  <si>
    <t>XSP 144-63</t>
  </si>
  <si>
    <t>XSP 198-70</t>
  </si>
  <si>
    <t>XSP 215-80</t>
  </si>
  <si>
    <t>XHP 63-10</t>
  </si>
  <si>
    <t>XHP 63-15</t>
  </si>
  <si>
    <t>XHP 63-10B</t>
  </si>
  <si>
    <t>XHP 63-15B</t>
  </si>
  <si>
    <t>XHP 63-13</t>
  </si>
  <si>
    <t>XHP 63-15D</t>
  </si>
  <si>
    <t>XHP 68-16</t>
  </si>
  <si>
    <t>XHP 68-20</t>
  </si>
  <si>
    <t>XHP 68-20A</t>
  </si>
  <si>
    <t>XHP 68-20B</t>
  </si>
  <si>
    <t>XHP 68-10</t>
  </si>
  <si>
    <t>XHP 68-15</t>
  </si>
  <si>
    <t>XHP 68-10B</t>
  </si>
  <si>
    <t>XHP 68-15B</t>
  </si>
  <si>
    <t>XHP 68-13</t>
  </si>
  <si>
    <t>XHP 68-15D</t>
  </si>
  <si>
    <t>XHP 72-16</t>
  </si>
  <si>
    <t>XHP 72-20</t>
  </si>
  <si>
    <t>XHP 81-10</t>
  </si>
  <si>
    <t>XHP 81-15</t>
  </si>
  <si>
    <t>XHP 81-10B</t>
  </si>
  <si>
    <t>XHP 81-15B</t>
  </si>
  <si>
    <t>XHP 81-15C</t>
  </si>
  <si>
    <t>XHP 81-19</t>
  </si>
  <si>
    <t>XHP 82-19</t>
  </si>
  <si>
    <t>XHP 90-10</t>
  </si>
  <si>
    <t>XHP 90-15</t>
  </si>
  <si>
    <t>XHP 90-10B</t>
  </si>
  <si>
    <t>XHP 90-15B</t>
  </si>
  <si>
    <t>XHP 90-13</t>
  </si>
  <si>
    <t>XHP 90-15D</t>
  </si>
  <si>
    <t>XHP 90-19</t>
  </si>
  <si>
    <t>XHP 94-15</t>
  </si>
  <si>
    <t>XHP 94-15A</t>
  </si>
  <si>
    <t>XHP 94-15B</t>
  </si>
  <si>
    <t>XHP 103-19</t>
  </si>
  <si>
    <t>XHP 94-15D</t>
  </si>
  <si>
    <t>XHP 103-19B</t>
  </si>
  <si>
    <t>XLP 34-15</t>
  </si>
  <si>
    <t>XLP 34-15A</t>
  </si>
  <si>
    <t>XLP 41-18</t>
  </si>
  <si>
    <t>XLP 41-18A</t>
  </si>
  <si>
    <t>XLP 52-20</t>
  </si>
  <si>
    <t>XLP 52-20A</t>
  </si>
  <si>
    <t>XLP 60-25</t>
  </si>
  <si>
    <t>XLP 60-25A</t>
  </si>
  <si>
    <t>XLP 70-31</t>
  </si>
  <si>
    <t>XLP 70-31A</t>
  </si>
  <si>
    <t>XLP 79-35</t>
  </si>
  <si>
    <t>XLP 79-35A</t>
  </si>
  <si>
    <t>XLP 91-40</t>
  </si>
  <si>
    <t>XLP 100-45</t>
  </si>
  <si>
    <t>XLP 104-50</t>
  </si>
  <si>
    <t>XLP 145-70</t>
  </si>
  <si>
    <t>XLP 150-80</t>
  </si>
  <si>
    <t>XLP 176-90</t>
  </si>
  <si>
    <t>XLP 215-100</t>
  </si>
  <si>
    <t>XLP 117-58</t>
  </si>
  <si>
    <t>XLP 130-55</t>
  </si>
  <si>
    <t>XTS_52-20</t>
  </si>
  <si>
    <t>XTS_52-20A</t>
  </si>
  <si>
    <t>XTS_60-25</t>
  </si>
  <si>
    <t>XTS_60-25A</t>
  </si>
  <si>
    <t>XTS_70-31</t>
  </si>
  <si>
    <t>XTS_70-31A</t>
  </si>
  <si>
    <t>XTS_70-43</t>
  </si>
  <si>
    <t>XTS_70-43A</t>
  </si>
  <si>
    <t>XTS_79-35</t>
  </si>
  <si>
    <t>XTS_79-35A</t>
  </si>
  <si>
    <t>XTS_91-40</t>
  </si>
  <si>
    <t>XVSB_52-20</t>
  </si>
  <si>
    <t>XVSB_52-20A</t>
  </si>
  <si>
    <t>XVSB_60-25</t>
  </si>
  <si>
    <t>XVSB_60-25A</t>
  </si>
  <si>
    <t>XVSB_70-31</t>
  </si>
  <si>
    <t>XVSB_70-31A</t>
  </si>
  <si>
    <t>XVSB_70-43</t>
  </si>
  <si>
    <t>XVSB_70-43A</t>
  </si>
  <si>
    <t>Inlet_D</t>
  </si>
  <si>
    <t>Blades_TW</t>
  </si>
  <si>
    <t>g</t>
  </si>
  <si>
    <t>est. Eff.</t>
  </si>
  <si>
    <t>Pa, atm. Pressure(h)</t>
  </si>
  <si>
    <t>93-30</t>
  </si>
  <si>
    <t>Old name convention</t>
  </si>
  <si>
    <t>XOE 74-23</t>
  </si>
  <si>
    <t>XOE 147-35</t>
  </si>
  <si>
    <t>XOE 147-25</t>
  </si>
  <si>
    <t>XOE 93-30</t>
  </si>
  <si>
    <t>XOE 136-38</t>
  </si>
  <si>
    <t>XOE 135-38</t>
  </si>
  <si>
    <t>XOE 83-30</t>
  </si>
  <si>
    <t>XOE 111-50</t>
  </si>
  <si>
    <t>XOE 123-33</t>
  </si>
  <si>
    <t>XOE 166-45G</t>
  </si>
  <si>
    <t>XOE 88-40</t>
  </si>
  <si>
    <t>XOE 134-20</t>
  </si>
  <si>
    <t>XOE 132-35</t>
  </si>
  <si>
    <t>no fan</t>
  </si>
  <si>
    <t>no fanA</t>
  </si>
  <si>
    <t>XOE 281-135</t>
  </si>
  <si>
    <t>XOE 318-170</t>
  </si>
  <si>
    <t>1029-200</t>
  </si>
  <si>
    <t>560-350</t>
  </si>
  <si>
    <t>690-350</t>
  </si>
  <si>
    <t>690-400</t>
  </si>
  <si>
    <t>690-600</t>
  </si>
  <si>
    <t>800-450</t>
  </si>
  <si>
    <t>800-500</t>
  </si>
  <si>
    <t>800-550</t>
  </si>
  <si>
    <t>800-650</t>
  </si>
  <si>
    <t>900-550</t>
  </si>
  <si>
    <t>900-630</t>
  </si>
  <si>
    <t>900-700</t>
  </si>
  <si>
    <t>900-750</t>
  </si>
  <si>
    <t>980-450</t>
  </si>
  <si>
    <t>980-500</t>
  </si>
  <si>
    <t>980-550</t>
  </si>
  <si>
    <t>980-600</t>
  </si>
  <si>
    <t>980-700</t>
  </si>
  <si>
    <t>980-630</t>
  </si>
  <si>
    <t>980-800</t>
  </si>
  <si>
    <t>1120-450</t>
  </si>
  <si>
    <t>1120-550</t>
  </si>
  <si>
    <t>1120-600</t>
  </si>
  <si>
    <t>1120-650</t>
  </si>
  <si>
    <t>1120-800</t>
  </si>
  <si>
    <t>1120-850</t>
  </si>
  <si>
    <t>1235-600</t>
  </si>
  <si>
    <t>1235-630</t>
  </si>
  <si>
    <t>1235-750</t>
  </si>
  <si>
    <t>1235-950</t>
  </si>
  <si>
    <t>1235-900</t>
  </si>
  <si>
    <t>1400-600</t>
  </si>
  <si>
    <t>1400-750</t>
  </si>
  <si>
    <t>1400-900</t>
  </si>
  <si>
    <t>1400-1100</t>
  </si>
  <si>
    <t>1400-1000</t>
  </si>
  <si>
    <t>1600-700</t>
  </si>
  <si>
    <t>1600-800</t>
  </si>
  <si>
    <t>1600-950</t>
  </si>
  <si>
    <t>1600-1100</t>
  </si>
  <si>
    <t>1600-1200</t>
  </si>
  <si>
    <t>1800-850</t>
  </si>
  <si>
    <t>1800-950</t>
  </si>
  <si>
    <t>1800-1000</t>
  </si>
  <si>
    <t>1800-1300</t>
  </si>
  <si>
    <t>1800-1250</t>
  </si>
  <si>
    <t>1800-1200</t>
  </si>
  <si>
    <t>1980-750</t>
  </si>
  <si>
    <t>1980-950</t>
  </si>
  <si>
    <t>1980-1300</t>
  </si>
  <si>
    <t>1980-1250</t>
  </si>
  <si>
    <t>424-225</t>
  </si>
  <si>
    <t>503-225</t>
  </si>
  <si>
    <t>2009-1800</t>
  </si>
  <si>
    <t>1140-500</t>
  </si>
  <si>
    <t>1024-350</t>
  </si>
  <si>
    <t>1021-500</t>
  </si>
  <si>
    <t>603-300</t>
  </si>
  <si>
    <t>1788-1661</t>
  </si>
  <si>
    <t>723-324</t>
  </si>
  <si>
    <t>842-340</t>
  </si>
  <si>
    <t>903-375</t>
  </si>
  <si>
    <t>481-300</t>
  </si>
  <si>
    <t>638-500</t>
  </si>
  <si>
    <t>1062-450</t>
  </si>
  <si>
    <t>504-400</t>
  </si>
  <si>
    <t>882-350</t>
  </si>
  <si>
    <t>1313-1350</t>
  </si>
  <si>
    <t>1597-1700</t>
  </si>
  <si>
    <t>325-102</t>
  </si>
  <si>
    <t>325-125</t>
  </si>
  <si>
    <t>600-250</t>
  </si>
  <si>
    <t>600-310</t>
  </si>
  <si>
    <t>600-350</t>
  </si>
  <si>
    <t>950-625</t>
  </si>
  <si>
    <t>1100-700</t>
  </si>
  <si>
    <t>1235-800</t>
  </si>
  <si>
    <t>0-160</t>
  </si>
  <si>
    <t>200-150</t>
  </si>
  <si>
    <t>265-175</t>
  </si>
  <si>
    <t>315-200</t>
  </si>
  <si>
    <t>365-250</t>
  </si>
  <si>
    <t>425-310</t>
  </si>
  <si>
    <t>465-350</t>
  </si>
  <si>
    <t>515-400</t>
  </si>
  <si>
    <t>565-450</t>
  </si>
  <si>
    <t>615-500</t>
  </si>
  <si>
    <t>765-700</t>
  </si>
  <si>
    <t>815-800</t>
  </si>
  <si>
    <t>1100-1000</t>
  </si>
  <si>
    <t>650-575</t>
  </si>
  <si>
    <t>700-550</t>
  </si>
  <si>
    <t>370-425</t>
  </si>
  <si>
    <t>400-425</t>
  </si>
  <si>
    <t>415-425</t>
  </si>
  <si>
    <t>XOE 99-35</t>
  </si>
  <si>
    <t>XOE 120-35</t>
  </si>
  <si>
    <t>XOE 120-40</t>
  </si>
  <si>
    <t>XOE 119-60</t>
  </si>
  <si>
    <t>XOE 140-45</t>
  </si>
  <si>
    <t>XOE 140-50</t>
  </si>
  <si>
    <t>XOE 140-55</t>
  </si>
  <si>
    <t>XOE 138-65</t>
  </si>
  <si>
    <t>XOE 158-55</t>
  </si>
  <si>
    <t>XOE 158-63</t>
  </si>
  <si>
    <t>XOE 158-70</t>
  </si>
  <si>
    <t>XOE 158-75</t>
  </si>
  <si>
    <t>XOE 171-45</t>
  </si>
  <si>
    <t>XOE 172-45</t>
  </si>
  <si>
    <t>XOE 165-50</t>
  </si>
  <si>
    <t>XOE 173-55</t>
  </si>
  <si>
    <t>XOE 173-60</t>
  </si>
  <si>
    <t>XOE 173-70</t>
  </si>
  <si>
    <t>XOE 173-63</t>
  </si>
  <si>
    <t>XOE 172-80</t>
  </si>
  <si>
    <t>XOE 196-45</t>
  </si>
  <si>
    <t>XOE 196-55</t>
  </si>
  <si>
    <t>XOE 196-60</t>
  </si>
  <si>
    <t>XOE 196-65</t>
  </si>
  <si>
    <t>XOE 196-80</t>
  </si>
  <si>
    <t>XOE 196-85</t>
  </si>
  <si>
    <t>XOE 215-60</t>
  </si>
  <si>
    <t>XOE 215-63</t>
  </si>
  <si>
    <t>XOE 215-75</t>
  </si>
  <si>
    <t>XOE 215-95</t>
  </si>
  <si>
    <t>XOE 215-90</t>
  </si>
  <si>
    <t>XOE 240-60</t>
  </si>
  <si>
    <t>XOE 240-75</t>
  </si>
  <si>
    <t>XOE 240-90</t>
  </si>
  <si>
    <t>XOE 242-110</t>
  </si>
  <si>
    <t>XOE 240-100</t>
  </si>
  <si>
    <t>XOE 279-70</t>
  </si>
  <si>
    <t>XOE 279-80</t>
  </si>
  <si>
    <t>XOE 279-95</t>
  </si>
  <si>
    <t>XOE 279-110</t>
  </si>
  <si>
    <t>XOE 279-120</t>
  </si>
  <si>
    <t>XOE 309-85</t>
  </si>
  <si>
    <t>XOE 309-95</t>
  </si>
  <si>
    <t>XOE 309-100</t>
  </si>
  <si>
    <t>XOE 309-130</t>
  </si>
  <si>
    <t>XOE 309-125</t>
  </si>
  <si>
    <t>XOE 309-120</t>
  </si>
  <si>
    <t>XOE 342-75</t>
  </si>
  <si>
    <t>XOE 343-95</t>
  </si>
  <si>
    <t>XOE 343-130</t>
  </si>
  <si>
    <t>XOE 343-125</t>
  </si>
  <si>
    <t>XOE 73-23</t>
  </si>
  <si>
    <t>XOE 358-180</t>
  </si>
  <si>
    <t>XOE 153-50</t>
  </si>
  <si>
    <t>1455-1625</t>
  </si>
  <si>
    <t>XOE 322-163</t>
  </si>
  <si>
    <t>wishlist</t>
  </si>
  <si>
    <t>maxrpm</t>
  </si>
  <si>
    <t>rpm_op</t>
  </si>
  <si>
    <t>minrpm</t>
  </si>
  <si>
    <t>Measured OP data @ Std cond.</t>
  </si>
  <si>
    <t>1062-0</t>
  </si>
  <si>
    <t>Total Height</t>
  </si>
  <si>
    <t>E</t>
  </si>
  <si>
    <t>F</t>
  </si>
  <si>
    <t>CF 1070-233</t>
  </si>
  <si>
    <t>CF 504-468</t>
  </si>
  <si>
    <t>CF 1029-200</t>
  </si>
  <si>
    <t>CF 882-345</t>
  </si>
  <si>
    <t>XOE 0-0</t>
  </si>
  <si>
    <t>CF 1313-1342</t>
  </si>
  <si>
    <t>CF 1597-1658</t>
  </si>
  <si>
    <t>CF 1455-1629</t>
  </si>
  <si>
    <t>done</t>
  </si>
  <si>
    <t>1070-233</t>
  </si>
  <si>
    <t>937-362</t>
  </si>
  <si>
    <t>784-331</t>
  </si>
  <si>
    <t>XOE 130-28</t>
  </si>
  <si>
    <t>943-278</t>
  </si>
  <si>
    <t>XOE 107-15</t>
  </si>
  <si>
    <t>744-150</t>
  </si>
  <si>
    <t>XOE 144-23</t>
  </si>
  <si>
    <t>XOE 136-36</t>
  </si>
  <si>
    <t>XOE 121-33</t>
  </si>
  <si>
    <t>CF 943-278</t>
  </si>
  <si>
    <t>CF 744-150</t>
  </si>
  <si>
    <t>XOE 128-30</t>
  </si>
  <si>
    <t>XOE 164-65</t>
  </si>
  <si>
    <t xml:space="preserve">CFOE </t>
  </si>
  <si>
    <t>990-450</t>
  </si>
  <si>
    <t>XOE 115-49</t>
  </si>
  <si>
    <t>262-98</t>
  </si>
  <si>
    <t>327-98</t>
  </si>
  <si>
    <t>392-98</t>
  </si>
  <si>
    <t>402-160</t>
  </si>
  <si>
    <t>402-200</t>
  </si>
  <si>
    <t>427-250</t>
  </si>
  <si>
    <t>502-200</t>
  </si>
  <si>
    <t>502-250</t>
  </si>
  <si>
    <t>502-310</t>
  </si>
  <si>
    <t>602-200</t>
  </si>
  <si>
    <t>602-250</t>
  </si>
  <si>
    <t>602-310</t>
  </si>
  <si>
    <t>602-350</t>
  </si>
  <si>
    <t>677-200</t>
  </si>
  <si>
    <t>677-250</t>
  </si>
  <si>
    <t>677-310</t>
  </si>
  <si>
    <t>677-350</t>
  </si>
  <si>
    <t>677-400</t>
  </si>
  <si>
    <t>727-450</t>
  </si>
  <si>
    <t>802-200</t>
  </si>
  <si>
    <t>802-250</t>
  </si>
  <si>
    <t>802-310</t>
  </si>
  <si>
    <t>802-350</t>
  </si>
  <si>
    <t>802-400</t>
  </si>
  <si>
    <t>802-500</t>
  </si>
  <si>
    <t>902-550</t>
  </si>
  <si>
    <t>952-625</t>
  </si>
  <si>
    <t>1102-700</t>
  </si>
  <si>
    <t>467-102</t>
  </si>
  <si>
    <t>467-150</t>
  </si>
  <si>
    <t>467-125</t>
  </si>
  <si>
    <t>467-160</t>
  </si>
  <si>
    <t>467-200</t>
  </si>
  <si>
    <t>532-102</t>
  </si>
  <si>
    <t>532-150</t>
  </si>
  <si>
    <t>532-125</t>
  </si>
  <si>
    <t>532-160</t>
  </si>
  <si>
    <t>532-200</t>
  </si>
  <si>
    <t>632-102</t>
  </si>
  <si>
    <t>632-150</t>
  </si>
  <si>
    <t>632-190</t>
  </si>
  <si>
    <t>702-102</t>
  </si>
  <si>
    <t>702-150</t>
  </si>
  <si>
    <t>702-125</t>
  </si>
  <si>
    <t>702-190</t>
  </si>
  <si>
    <t>752-150</t>
  </si>
  <si>
    <t>752-190</t>
  </si>
  <si>
    <t>777-150</t>
  </si>
  <si>
    <t>777-190</t>
  </si>
  <si>
    <t>1000-900</t>
  </si>
  <si>
    <t>262-298</t>
  </si>
  <si>
    <t>CFOE 262-298</t>
  </si>
  <si>
    <t>262-650</t>
  </si>
  <si>
    <t>CFOE 262-650</t>
  </si>
  <si>
    <t>262-488</t>
  </si>
  <si>
    <t>CFOE 262-488</t>
  </si>
  <si>
    <t>96-35</t>
  </si>
  <si>
    <t>116-35</t>
  </si>
  <si>
    <t>116-40</t>
  </si>
  <si>
    <t>690-450</t>
  </si>
  <si>
    <t>116-60</t>
  </si>
  <si>
    <t>690-560</t>
  </si>
  <si>
    <t>116-60A</t>
  </si>
  <si>
    <t>690-560vA</t>
  </si>
  <si>
    <t>138-45</t>
  </si>
  <si>
    <t>800-350</t>
  </si>
  <si>
    <t>135-45</t>
  </si>
  <si>
    <t>800-400</t>
  </si>
  <si>
    <t>135-45A</t>
  </si>
  <si>
    <t>135-55</t>
  </si>
  <si>
    <t>135-65</t>
  </si>
  <si>
    <t>800-630</t>
  </si>
  <si>
    <t>153-55</t>
  </si>
  <si>
    <t>900-500</t>
  </si>
  <si>
    <t>153-63</t>
  </si>
  <si>
    <t>900-560</t>
  </si>
  <si>
    <t>153-70</t>
  </si>
  <si>
    <t>153-70A</t>
  </si>
  <si>
    <t>900-710</t>
  </si>
  <si>
    <t>166-45</t>
  </si>
  <si>
    <t>1000-400,45</t>
  </si>
  <si>
    <t>166-45A</t>
  </si>
  <si>
    <t>1000-400</t>
  </si>
  <si>
    <t>166-50</t>
  </si>
  <si>
    <t>1000-450</t>
  </si>
  <si>
    <t>166-50A</t>
  </si>
  <si>
    <t>166-55</t>
  </si>
  <si>
    <t>1000-500</t>
  </si>
  <si>
    <t>166-60</t>
  </si>
  <si>
    <t>1000-560</t>
  </si>
  <si>
    <t>166-70</t>
  </si>
  <si>
    <t>1000-630</t>
  </si>
  <si>
    <t>166-63</t>
  </si>
  <si>
    <t>1000-710</t>
  </si>
  <si>
    <t>166-80</t>
  </si>
  <si>
    <t>1000-800</t>
  </si>
  <si>
    <t>181-45</t>
  </si>
  <si>
    <t>1120-400</t>
  </si>
  <si>
    <t>191-55</t>
  </si>
  <si>
    <t>1120-500</t>
  </si>
  <si>
    <t>191-60</t>
  </si>
  <si>
    <t>1120-560</t>
  </si>
  <si>
    <t>191-63</t>
  </si>
  <si>
    <t>1120-630</t>
  </si>
  <si>
    <t>191-80</t>
  </si>
  <si>
    <t>1120-710</t>
  </si>
  <si>
    <t>191-80A</t>
  </si>
  <si>
    <t>191-85</t>
  </si>
  <si>
    <t>1120-900</t>
  </si>
  <si>
    <t>210-60</t>
  </si>
  <si>
    <t>1250-500</t>
  </si>
  <si>
    <t>210-60A</t>
  </si>
  <si>
    <t>1250-560</t>
  </si>
  <si>
    <t>210-63</t>
  </si>
  <si>
    <t>1250-630</t>
  </si>
  <si>
    <t>210-75</t>
  </si>
  <si>
    <t>1250-710</t>
  </si>
  <si>
    <t>210-95</t>
  </si>
  <si>
    <t>1250-800</t>
  </si>
  <si>
    <t>210-95A</t>
  </si>
  <si>
    <t>1250-900</t>
  </si>
  <si>
    <t>210-90</t>
  </si>
  <si>
    <t>1250-1000</t>
  </si>
  <si>
    <t>237-60</t>
  </si>
  <si>
    <t>1400-560</t>
  </si>
  <si>
    <t>237-75</t>
  </si>
  <si>
    <t>1400-710</t>
  </si>
  <si>
    <t>237-90</t>
  </si>
  <si>
    <t>237-110</t>
  </si>
  <si>
    <t>237-100</t>
  </si>
  <si>
    <t>1400-1120</t>
  </si>
  <si>
    <t>273-65</t>
  </si>
  <si>
    <t>1600-560</t>
  </si>
  <si>
    <t>273-80</t>
  </si>
  <si>
    <t>1600-710</t>
  </si>
  <si>
    <t>273-90</t>
  </si>
  <si>
    <t>1600-900</t>
  </si>
  <si>
    <t>273-110</t>
  </si>
  <si>
    <t>1600-1000</t>
  </si>
  <si>
    <t>273-120</t>
  </si>
  <si>
    <t>1600-1120</t>
  </si>
  <si>
    <t>253-120</t>
  </si>
  <si>
    <t>1600-1250</t>
  </si>
  <si>
    <t>306-85</t>
  </si>
  <si>
    <t>1800-710</t>
  </si>
  <si>
    <t>306-95</t>
  </si>
  <si>
    <t>1800-900</t>
  </si>
  <si>
    <t>306-100</t>
  </si>
  <si>
    <t>306-130</t>
  </si>
  <si>
    <t>1800-1120</t>
  </si>
  <si>
    <t>306-125</t>
  </si>
  <si>
    <t>306-120</t>
  </si>
  <si>
    <t>1800-1400</t>
  </si>
  <si>
    <t>320-75</t>
  </si>
  <si>
    <t>2000-710</t>
  </si>
  <si>
    <t>337-95</t>
  </si>
  <si>
    <t>2000-900</t>
  </si>
  <si>
    <t>337-125</t>
  </si>
  <si>
    <t>2000-1120</t>
  </si>
  <si>
    <t>337-130</t>
  </si>
  <si>
    <t>2000-1400</t>
  </si>
  <si>
    <t>337-125B</t>
  </si>
  <si>
    <t>2000-1600</t>
  </si>
  <si>
    <t>68-23</t>
  </si>
  <si>
    <t>424-230</t>
  </si>
  <si>
    <t>74-23</t>
  </si>
  <si>
    <t>494-229</t>
  </si>
  <si>
    <t>339-180</t>
  </si>
  <si>
    <t>2009-1906</t>
  </si>
  <si>
    <t>173-50</t>
  </si>
  <si>
    <t>1140-481</t>
  </si>
  <si>
    <t>147-35</t>
  </si>
  <si>
    <t>1020-350</t>
  </si>
  <si>
    <t>147-25</t>
  </si>
  <si>
    <t>153-45</t>
  </si>
  <si>
    <t>1021-441</t>
  </si>
  <si>
    <t>603-295</t>
  </si>
  <si>
    <t>355-166</t>
  </si>
  <si>
    <t>111-32</t>
  </si>
  <si>
    <t>128-34</t>
  </si>
  <si>
    <t>136-38</t>
  </si>
  <si>
    <t>903-376</t>
  </si>
  <si>
    <t>135-38</t>
  </si>
  <si>
    <t>83-30</t>
  </si>
  <si>
    <t>481-293</t>
  </si>
  <si>
    <t>111-50</t>
  </si>
  <si>
    <t>638-510</t>
  </si>
  <si>
    <t>123-33</t>
  </si>
  <si>
    <t>166-45G</t>
  </si>
  <si>
    <t>1062-444</t>
  </si>
  <si>
    <t>88-40</t>
  </si>
  <si>
    <t>504-468</t>
  </si>
  <si>
    <t>134-20</t>
  </si>
  <si>
    <t>132-35</t>
  </si>
  <si>
    <t>882-345</t>
  </si>
  <si>
    <t>130-28</t>
  </si>
  <si>
    <t>fanA</t>
  </si>
  <si>
    <t>281-135</t>
  </si>
  <si>
    <t>1313-1342</t>
  </si>
  <si>
    <t>318-170</t>
  </si>
  <si>
    <t>1597-1658</t>
  </si>
  <si>
    <t>322-163</t>
  </si>
  <si>
    <t>1455-1629</t>
  </si>
  <si>
    <t>107-15</t>
  </si>
  <si>
    <t>128-30</t>
  </si>
  <si>
    <t/>
  </si>
  <si>
    <t>164-65</t>
  </si>
  <si>
    <t>115-49</t>
  </si>
  <si>
    <t>39-10</t>
  </si>
  <si>
    <t>26</t>
  </si>
  <si>
    <t>48-10</t>
  </si>
  <si>
    <t>28</t>
  </si>
  <si>
    <t>49-10</t>
  </si>
  <si>
    <t>28-100</t>
  </si>
  <si>
    <t>48-13</t>
  </si>
  <si>
    <t>28-125</t>
  </si>
  <si>
    <t>52-10</t>
  </si>
  <si>
    <t>29</t>
  </si>
  <si>
    <t>52-16</t>
  </si>
  <si>
    <t>400-160</t>
  </si>
  <si>
    <t>52-20</t>
  </si>
  <si>
    <t>400-200</t>
  </si>
  <si>
    <t>52-25</t>
  </si>
  <si>
    <t>425-250</t>
  </si>
  <si>
    <t>76-20</t>
  </si>
  <si>
    <t>500-200</t>
  </si>
  <si>
    <t>76-25</t>
  </si>
  <si>
    <t>500-250</t>
  </si>
  <si>
    <t>76-31</t>
  </si>
  <si>
    <t>500-310</t>
  </si>
  <si>
    <t>89-20</t>
  </si>
  <si>
    <t>600-200</t>
  </si>
  <si>
    <t>90-25</t>
  </si>
  <si>
    <t>90-25A</t>
  </si>
  <si>
    <t>600-250vA</t>
  </si>
  <si>
    <t>90-25B</t>
  </si>
  <si>
    <t>600-250vB</t>
  </si>
  <si>
    <t>90-31</t>
  </si>
  <si>
    <t>90-31A</t>
  </si>
  <si>
    <t>600-310vA</t>
  </si>
  <si>
    <t>90-31B</t>
  </si>
  <si>
    <t>600-310vB</t>
  </si>
  <si>
    <t>90-35</t>
  </si>
  <si>
    <t>90-35A</t>
  </si>
  <si>
    <t>600-350vA</t>
  </si>
  <si>
    <t>90-35B</t>
  </si>
  <si>
    <t>600-350vB</t>
  </si>
  <si>
    <t>98-20</t>
  </si>
  <si>
    <t>675-200</t>
  </si>
  <si>
    <t>98-25</t>
  </si>
  <si>
    <t>675-250</t>
  </si>
  <si>
    <t>98-31</t>
  </si>
  <si>
    <t>675-310</t>
  </si>
  <si>
    <t>98-35</t>
  </si>
  <si>
    <t>675-350</t>
  </si>
  <si>
    <t>98-40</t>
  </si>
  <si>
    <t>675-400</t>
  </si>
  <si>
    <t>107-45</t>
  </si>
  <si>
    <t>725-450</t>
  </si>
  <si>
    <t>123-20</t>
  </si>
  <si>
    <t>800-200</t>
  </si>
  <si>
    <t>123-25</t>
  </si>
  <si>
    <t>800-250</t>
  </si>
  <si>
    <t>123-31</t>
  </si>
  <si>
    <t>800-310</t>
  </si>
  <si>
    <t>123-35</t>
  </si>
  <si>
    <t>123-40</t>
  </si>
  <si>
    <t>123-50</t>
  </si>
  <si>
    <t>138-55</t>
  </si>
  <si>
    <t>144-63</t>
  </si>
  <si>
    <t>198-70</t>
  </si>
  <si>
    <t>215-80</t>
  </si>
  <si>
    <t>58-16</t>
  </si>
  <si>
    <t>24</t>
  </si>
  <si>
    <t>58-16A</t>
  </si>
  <si>
    <t>33</t>
  </si>
  <si>
    <t>58-16B</t>
  </si>
  <si>
    <t>58-20</t>
  </si>
  <si>
    <t>70-25</t>
  </si>
  <si>
    <t>108-45</t>
  </si>
  <si>
    <t>63-10</t>
  </si>
  <si>
    <t>5-370</t>
  </si>
  <si>
    <t>63-15</t>
  </si>
  <si>
    <t>63-10B</t>
  </si>
  <si>
    <t>10-370</t>
  </si>
  <si>
    <t>63-15B</t>
  </si>
  <si>
    <t>63-13</t>
  </si>
  <si>
    <t>15-370</t>
  </si>
  <si>
    <t>63-15D</t>
  </si>
  <si>
    <t>68-16</t>
  </si>
  <si>
    <t>20-370</t>
  </si>
  <si>
    <t>68-20</t>
  </si>
  <si>
    <t>30-370</t>
  </si>
  <si>
    <t>68-20A</t>
  </si>
  <si>
    <t>30-370vA</t>
  </si>
  <si>
    <t>68-20B</t>
  </si>
  <si>
    <t>30-370vB</t>
  </si>
  <si>
    <t>68-10</t>
  </si>
  <si>
    <t>5-530</t>
  </si>
  <si>
    <t>68-15</t>
  </si>
  <si>
    <t>68-10B</t>
  </si>
  <si>
    <t>10-530</t>
  </si>
  <si>
    <t>68-15B</t>
  </si>
  <si>
    <t>68-13</t>
  </si>
  <si>
    <t>15-530</t>
  </si>
  <si>
    <t>68-15D</t>
  </si>
  <si>
    <t>72-16</t>
  </si>
  <si>
    <t>25-530</t>
  </si>
  <si>
    <t>72-20</t>
  </si>
  <si>
    <t>35-530</t>
  </si>
  <si>
    <t>81-10</t>
  </si>
  <si>
    <t>5-630</t>
  </si>
  <si>
    <t>81-15</t>
  </si>
  <si>
    <t>81-10B</t>
  </si>
  <si>
    <t>10-630</t>
  </si>
  <si>
    <t>81-15B</t>
  </si>
  <si>
    <t>81-15C</t>
  </si>
  <si>
    <t>15-630</t>
  </si>
  <si>
    <t>81-19</t>
  </si>
  <si>
    <t>25-630</t>
  </si>
  <si>
    <t>82-19</t>
  </si>
  <si>
    <t>35-630</t>
  </si>
  <si>
    <t>90-10</t>
  </si>
  <si>
    <t>5-700</t>
  </si>
  <si>
    <t>90-15</t>
  </si>
  <si>
    <t>90-10B</t>
  </si>
  <si>
    <t>10-700</t>
  </si>
  <si>
    <t>90-15B</t>
  </si>
  <si>
    <t>90-13</t>
  </si>
  <si>
    <t>15-700</t>
  </si>
  <si>
    <t>90-15D</t>
  </si>
  <si>
    <t>90-19</t>
  </si>
  <si>
    <t>25-700</t>
  </si>
  <si>
    <t>94-15</t>
  </si>
  <si>
    <t>5-750</t>
  </si>
  <si>
    <t>94-15A</t>
  </si>
  <si>
    <t>10-750</t>
  </si>
  <si>
    <t>94-15B</t>
  </si>
  <si>
    <t>15-750</t>
  </si>
  <si>
    <t>103-19</t>
  </si>
  <si>
    <t>25-750</t>
  </si>
  <si>
    <t>94-15D</t>
  </si>
  <si>
    <t>10-775</t>
  </si>
  <si>
    <t>103-19B</t>
  </si>
  <si>
    <t>25-775</t>
  </si>
  <si>
    <t>34-15</t>
  </si>
  <si>
    <t>200</t>
  </si>
  <si>
    <t>34-15A</t>
  </si>
  <si>
    <t>200vA</t>
  </si>
  <si>
    <t>41-18</t>
  </si>
  <si>
    <t>265</t>
  </si>
  <si>
    <t>41-18A</t>
  </si>
  <si>
    <t>315</t>
  </si>
  <si>
    <t>52-20A</t>
  </si>
  <si>
    <t>60-25</t>
  </si>
  <si>
    <t>365</t>
  </si>
  <si>
    <t>60-25A</t>
  </si>
  <si>
    <t>70-31</t>
  </si>
  <si>
    <t>425</t>
  </si>
  <si>
    <t>70-31A</t>
  </si>
  <si>
    <t>79-35</t>
  </si>
  <si>
    <t>465</t>
  </si>
  <si>
    <t>79-35A</t>
  </si>
  <si>
    <t>91-40</t>
  </si>
  <si>
    <t>515</t>
  </si>
  <si>
    <t>100-45</t>
  </si>
  <si>
    <t>565</t>
  </si>
  <si>
    <t>104-50</t>
  </si>
  <si>
    <t>615</t>
  </si>
  <si>
    <t>145-70</t>
  </si>
  <si>
    <t>765</t>
  </si>
  <si>
    <t>150-80</t>
  </si>
  <si>
    <t>815</t>
  </si>
  <si>
    <t>176-90</t>
  </si>
  <si>
    <t>1000</t>
  </si>
  <si>
    <t>215-100</t>
  </si>
  <si>
    <t>1100</t>
  </si>
  <si>
    <t>117-58</t>
  </si>
  <si>
    <t>650</t>
  </si>
  <si>
    <t>130-55</t>
  </si>
  <si>
    <t>700</t>
  </si>
  <si>
    <t>425-370</t>
  </si>
  <si>
    <t>425-400</t>
  </si>
  <si>
    <t>425-415</t>
  </si>
  <si>
    <t>new names check</t>
  </si>
  <si>
    <t>effmax</t>
  </si>
  <si>
    <t>AISI304</t>
  </si>
  <si>
    <t>AISI316</t>
  </si>
  <si>
    <t>AISI321</t>
  </si>
  <si>
    <t>AISI2205</t>
  </si>
  <si>
    <t>AISI304L</t>
  </si>
  <si>
    <t>AISI316L</t>
  </si>
  <si>
    <t>no_Blades</t>
  </si>
  <si>
    <t>int_Ring_TW</t>
  </si>
  <si>
    <t>ext_Ring_TW</t>
  </si>
  <si>
    <t>min_Blade_T</t>
  </si>
  <si>
    <t>no_int_Rings</t>
  </si>
  <si>
    <t>int_Ring_T_ax</t>
  </si>
  <si>
    <t>int_Ring_D_rad</t>
  </si>
  <si>
    <t>no_ext_Rings</t>
  </si>
  <si>
    <t>ext_Ring_T_ax</t>
  </si>
  <si>
    <t>ext_Ring_D_rad</t>
  </si>
  <si>
    <t>AISI304, REG</t>
  </si>
  <si>
    <t>AISI304, HS</t>
  </si>
  <si>
    <t>AISI304L, REG</t>
  </si>
  <si>
    <t>AISI304L, HS</t>
  </si>
  <si>
    <t>AISI316L, REG</t>
  </si>
  <si>
    <t>AISI316L, HS</t>
  </si>
  <si>
    <t>AISI2205, REG</t>
  </si>
  <si>
    <t>AISI2205, HS</t>
  </si>
  <si>
    <t>possible imp mat</t>
  </si>
  <si>
    <t>STEEL</t>
  </si>
  <si>
    <t>no_blades</t>
  </si>
  <si>
    <t>min_blade_T</t>
  </si>
  <si>
    <t>diam_Ring 2 (int)</t>
  </si>
  <si>
    <t>New names 1' rev</t>
  </si>
  <si>
    <t>OP_power</t>
  </si>
  <si>
    <t>rev</t>
  </si>
  <si>
    <t>p</t>
  </si>
  <si>
    <t>q</t>
  </si>
  <si>
    <t>eff</t>
  </si>
  <si>
    <t>power</t>
  </si>
  <si>
    <t>max_power</t>
  </si>
  <si>
    <t>max power</t>
  </si>
  <si>
    <t>min_power</t>
  </si>
  <si>
    <t>Criterion: maxPower</t>
  </si>
  <si>
    <t>XOE 67-17</t>
  </si>
  <si>
    <t>67-17</t>
  </si>
  <si>
    <t>XOE 136-30</t>
  </si>
  <si>
    <t>136-30</t>
  </si>
  <si>
    <t>XOE 83-25</t>
  </si>
  <si>
    <t>83-25</t>
  </si>
  <si>
    <t>XOE 134-35</t>
  </si>
  <si>
    <t>134-35</t>
  </si>
  <si>
    <t>XOE 126-30</t>
  </si>
  <si>
    <t>126-30</t>
  </si>
  <si>
    <t>XOE 73-25</t>
  </si>
  <si>
    <t>73-25</t>
  </si>
  <si>
    <t>XOE 109-40</t>
  </si>
  <si>
    <t>109-40</t>
  </si>
  <si>
    <t>XOE 117-30</t>
  </si>
  <si>
    <t>117-30</t>
  </si>
  <si>
    <t>XOE 139-35</t>
  </si>
  <si>
    <t>139-35</t>
  </si>
  <si>
    <t>HOUSE_B_ins</t>
  </si>
  <si>
    <t>HOUSE_C_ins</t>
  </si>
  <si>
    <t>Imoi_3</t>
  </si>
  <si>
    <t>delta^4=</t>
  </si>
  <si>
    <t>y/(j*j)=</t>
  </si>
  <si>
    <t>Value @ OP</t>
  </si>
  <si>
    <t>Data in this area are calculated based on the fan number selected in cell d1 = number of fan in c1</t>
  </si>
  <si>
    <t>fan data calculated at rev's in b61</t>
  </si>
  <si>
    <t>regression data used to calculate phi @ OP. Used to calculate best guess of Rev's @ OP based on fan data in rows 18-27</t>
  </si>
  <si>
    <t>regression data used to calculate Pt @ Q(OP) and rev's in b61 based on fan data in rows 18-27 calculated at rev's in b61</t>
  </si>
  <si>
    <t>iteration to 0 of P @ OP - L61. Result is the rev's necessary (b61) to run the actual fan at the required OP</t>
  </si>
  <si>
    <t>phi OP</t>
  </si>
  <si>
    <t>iteration n</t>
  </si>
  <si>
    <t>regression data used to calculate est eff @ OP based on fan data in rows 18-27</t>
  </si>
  <si>
    <t>BOM:180207</t>
  </si>
  <si>
    <t>Direct</t>
    <phoneticPr fontId="77" type="noConversion"/>
  </si>
  <si>
    <t>Std.</t>
    <phoneticPr fontId="77" type="noConversion"/>
  </si>
  <si>
    <t>Y</t>
    <phoneticPr fontId="77" type="noConversion"/>
  </si>
  <si>
    <t>Steel</t>
    <phoneticPr fontId="77" type="noConversion"/>
  </si>
  <si>
    <t>Local - Desktop</t>
  </si>
  <si>
    <t>A.S. warning</t>
  </si>
  <si>
    <t>REG</t>
    <phoneticPr fontId="77" type="noConversion"/>
  </si>
  <si>
    <t>Coupling</t>
    <phoneticPr fontId="77" type="noConversion"/>
  </si>
  <si>
    <t>Belt</t>
    <phoneticPr fontId="77" type="noConversion"/>
  </si>
  <si>
    <t>BMS_type</t>
    <phoneticPr fontId="77" type="noConversion"/>
  </si>
  <si>
    <t>NEW1</t>
  </si>
  <si>
    <t>OLD</t>
  </si>
  <si>
    <r>
      <t>N</t>
    </r>
    <r>
      <rPr>
        <sz val="11"/>
        <color theme="1"/>
        <rFont val="宋体"/>
        <family val="2"/>
        <scheme val="minor"/>
      </rPr>
      <t>EW_company</t>
    </r>
    <phoneticPr fontId="78" type="noConversion"/>
  </si>
  <si>
    <r>
      <t>A</t>
    </r>
    <r>
      <rPr>
        <sz val="11"/>
        <color theme="1"/>
        <rFont val="宋体"/>
        <family val="2"/>
        <scheme val="minor"/>
      </rPr>
      <t>P 160-625</t>
    </r>
    <phoneticPr fontId="78" type="noConversion"/>
  </si>
  <si>
    <t>GT 424-23</t>
    <phoneticPr fontId="78" type="noConversion"/>
  </si>
  <si>
    <t>GT 494-23</t>
    <phoneticPr fontId="78" type="noConversion"/>
  </si>
  <si>
    <t>GT 20X-19X</t>
    <phoneticPr fontId="78" type="noConversion"/>
  </si>
  <si>
    <r>
      <t>G</t>
    </r>
    <r>
      <rPr>
        <sz val="11"/>
        <color theme="1"/>
        <rFont val="宋体"/>
        <family val="2"/>
        <scheme val="minor"/>
      </rPr>
      <t>T 114X-48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</si>
  <si>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102-35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</si>
  <si>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107-23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</si>
  <si>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1021-44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</si>
  <si>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60-30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</si>
  <si>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1788-1661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</si>
  <si>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72-33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</si>
  <si>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84-34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</si>
  <si>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90-38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</si>
  <si>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94-37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</si>
  <si>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48-30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</si>
  <si>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64-51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</si>
  <si>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78-33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</si>
  <si>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106-44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</si>
  <si>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50-46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</si>
  <si>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102-20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</si>
  <si>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88-34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</si>
  <si>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94-28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</si>
  <si>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1313-1342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</si>
  <si>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1597-1658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</si>
  <si>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1455-1629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</si>
  <si>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T 744-150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</si>
  <si>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PX 425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</si>
  <si>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P 425-370</t>
    </r>
    <phoneticPr fontId="78" type="noConversion"/>
  </si>
  <si>
    <r>
      <t>G</t>
    </r>
    <r>
      <rPr>
        <sz val="11"/>
        <color theme="1"/>
        <rFont val="宋体"/>
        <family val="2"/>
        <scheme val="minor"/>
      </rPr>
      <t>P 425-415</t>
    </r>
    <phoneticPr fontId="78" type="noConversion"/>
  </si>
  <si>
    <t>AP 56-175</t>
  </si>
  <si>
    <t>AP 69-175</t>
  </si>
  <si>
    <t>AP 69-225</t>
  </si>
  <si>
    <t>AP 69-280</t>
  </si>
  <si>
    <t>AP 80-175</t>
  </si>
  <si>
    <t>AP 80-200</t>
  </si>
  <si>
    <t>AP 80-225</t>
  </si>
  <si>
    <t>AP 80-250</t>
  </si>
  <si>
    <t>AP 80-315</t>
  </si>
  <si>
    <t>AP 90-250</t>
  </si>
  <si>
    <t>AP 90-280</t>
  </si>
  <si>
    <t>AP 90-315</t>
  </si>
  <si>
    <t>AP 90-355</t>
  </si>
  <si>
    <t>AP 100-200A</t>
  </si>
  <si>
    <t>AP 100-200B</t>
  </si>
  <si>
    <t>AP 100-225</t>
  </si>
  <si>
    <t>AP 100-250</t>
  </si>
  <si>
    <t>AP 100-280</t>
  </si>
  <si>
    <t>AP 100-315</t>
  </si>
  <si>
    <t>AP 100-355</t>
  </si>
  <si>
    <t>AP 100-400</t>
  </si>
  <si>
    <t>AP 112-200</t>
  </si>
  <si>
    <t>AP 112-250</t>
  </si>
  <si>
    <t>AP 112-280</t>
  </si>
  <si>
    <t>AP 112-315</t>
  </si>
  <si>
    <t>AP 112-355</t>
  </si>
  <si>
    <t>AP 112-400</t>
  </si>
  <si>
    <t>AP 112-450</t>
  </si>
  <si>
    <t>AP 125-250</t>
  </si>
  <si>
    <t>AP 125-280</t>
  </si>
  <si>
    <t>AP 125-315</t>
  </si>
  <si>
    <t>AP 125-355</t>
  </si>
  <si>
    <t>AP 125-400</t>
  </si>
  <si>
    <t>AP 125-450</t>
  </si>
  <si>
    <t>AP 125-500</t>
  </si>
  <si>
    <t>AP 140-280</t>
  </si>
  <si>
    <t>AP 140-355</t>
  </si>
  <si>
    <t>AP 140-450</t>
  </si>
  <si>
    <t>AP 140-500</t>
  </si>
  <si>
    <t>AP 140-560</t>
  </si>
  <si>
    <t>AP 160-280</t>
  </si>
  <si>
    <t>AP 160-355</t>
  </si>
  <si>
    <t>AP 160-450</t>
  </si>
  <si>
    <t>AP 160-500</t>
  </si>
  <si>
    <t>AP 160-560</t>
  </si>
  <si>
    <t>AP 160-625</t>
  </si>
  <si>
    <t>AP 180-355</t>
  </si>
  <si>
    <t>AP 180-450</t>
  </si>
  <si>
    <t>AP 180-500</t>
  </si>
  <si>
    <t>AP 180-560</t>
  </si>
  <si>
    <t>AP 180-625</t>
  </si>
  <si>
    <t>AP 180-700</t>
  </si>
  <si>
    <t>AP 200-355</t>
  </si>
  <si>
    <t>AP 200-450</t>
  </si>
  <si>
    <t>AP 200-560</t>
  </si>
  <si>
    <t>AP 200-700</t>
  </si>
  <si>
    <t>AP 200-800</t>
  </si>
  <si>
    <t>GT 424-23</t>
  </si>
  <si>
    <t>GT 494-23</t>
  </si>
  <si>
    <t>GT 20X-19X</t>
  </si>
  <si>
    <t>GT 114X-48</t>
  </si>
  <si>
    <t>GT 102-35</t>
  </si>
  <si>
    <t>GT 107-23</t>
  </si>
  <si>
    <t>GT 1021-44</t>
  </si>
  <si>
    <t>GT 60-30</t>
  </si>
  <si>
    <t>GT 1788-1661</t>
  </si>
  <si>
    <t>GT 72-33</t>
  </si>
  <si>
    <t>GT 84-34</t>
  </si>
  <si>
    <t>GT 90-38</t>
  </si>
  <si>
    <t>GT 94-37</t>
  </si>
  <si>
    <t>GT 48-30</t>
  </si>
  <si>
    <t>GT 64-51</t>
  </si>
  <si>
    <t>GT 78-33</t>
  </si>
  <si>
    <t>GT 106-44</t>
  </si>
  <si>
    <t>GT 50-46</t>
  </si>
  <si>
    <t>GT 102-20</t>
  </si>
  <si>
    <t>GT 88-34</t>
  </si>
  <si>
    <t>GT 94-28</t>
  </si>
  <si>
    <t>GT 1313-1342</t>
  </si>
  <si>
    <t>GT 1597-1658</t>
  </si>
  <si>
    <t>GT 1455-1629</t>
  </si>
  <si>
    <t>GT 744-150</t>
  </si>
  <si>
    <t>BP 26-0</t>
  </si>
  <si>
    <t>BP 28-0</t>
  </si>
  <si>
    <t>BP 28-10</t>
  </si>
  <si>
    <t>BP 28-12</t>
  </si>
  <si>
    <t>BP 29-0</t>
  </si>
  <si>
    <t>BP 80-16</t>
  </si>
  <si>
    <t>BP 80-20</t>
  </si>
  <si>
    <t>BP 85-25</t>
  </si>
  <si>
    <t>BP 100-20</t>
  </si>
  <si>
    <t>BP 100-25</t>
  </si>
  <si>
    <t>BP 100-31</t>
  </si>
  <si>
    <t>BP 120-20</t>
  </si>
  <si>
    <t>BP 120-25</t>
  </si>
  <si>
    <t>BP 120-25A</t>
  </si>
  <si>
    <t>BP 120-25B</t>
  </si>
  <si>
    <t>BP 120-31</t>
  </si>
  <si>
    <t>BP 120-31A</t>
  </si>
  <si>
    <t>BP 120-31B</t>
  </si>
  <si>
    <t>BP 120-35</t>
  </si>
  <si>
    <t>BP 120-35A</t>
  </si>
  <si>
    <t>BP 120-35B</t>
  </si>
  <si>
    <t>BP 135-20</t>
  </si>
  <si>
    <t>BP 135-25</t>
  </si>
  <si>
    <t>BP 135-31</t>
  </si>
  <si>
    <t>BP 135-35</t>
  </si>
  <si>
    <t>BP 135-40</t>
  </si>
  <si>
    <t>BP 145-45</t>
  </si>
  <si>
    <t>BP 160-20</t>
  </si>
  <si>
    <t>BP 160-25</t>
  </si>
  <si>
    <t>BP 160-31</t>
  </si>
  <si>
    <t>BP 160-35</t>
  </si>
  <si>
    <t>BP 160-40</t>
  </si>
  <si>
    <t>BP 160-50</t>
  </si>
  <si>
    <t>BP 180-55</t>
  </si>
  <si>
    <t>BP 190-63</t>
  </si>
  <si>
    <t>BP 220-70</t>
  </si>
  <si>
    <t>BP 250-80</t>
  </si>
  <si>
    <t>FP 24</t>
  </si>
  <si>
    <t>FP 33</t>
  </si>
  <si>
    <t>DP 400-160</t>
  </si>
  <si>
    <t>DP 400-200</t>
  </si>
  <si>
    <t>DP 425-250</t>
  </si>
  <si>
    <t>DP 500-250</t>
  </si>
  <si>
    <t>DP 500-310</t>
  </si>
  <si>
    <t>DP 600-250</t>
  </si>
  <si>
    <t>DP 600-350</t>
  </si>
  <si>
    <t>DP 675-350</t>
  </si>
  <si>
    <t>DP 675-400</t>
  </si>
  <si>
    <t>DP 725-450</t>
  </si>
  <si>
    <t>DP 800-400</t>
  </si>
  <si>
    <t>DP 800-500</t>
  </si>
  <si>
    <t>DP 900-550</t>
  </si>
  <si>
    <t>DP 950-625</t>
  </si>
  <si>
    <t>DP 1100-700</t>
  </si>
  <si>
    <t>DP 1250-800</t>
  </si>
  <si>
    <t>CP 5-370</t>
  </si>
  <si>
    <t>CP 10-370</t>
  </si>
  <si>
    <t>CP 15-370</t>
  </si>
  <si>
    <t>CP 20-370</t>
  </si>
  <si>
    <t>CP 30-370</t>
  </si>
  <si>
    <t>CP 30-370vA</t>
  </si>
  <si>
    <t>CP 30-370vB</t>
  </si>
  <si>
    <t>CP 5-530</t>
  </si>
  <si>
    <t>CP 10-530</t>
  </si>
  <si>
    <t>CP 15-530</t>
  </si>
  <si>
    <t>CP 25-530</t>
  </si>
  <si>
    <t>CP 35-530</t>
  </si>
  <si>
    <t>CP 5-630</t>
  </si>
  <si>
    <t>CP 10-630</t>
  </si>
  <si>
    <t>CP 15-630</t>
  </si>
  <si>
    <t>CP 25-630</t>
  </si>
  <si>
    <t>CP 35-630</t>
  </si>
  <si>
    <t>CP 5-700</t>
  </si>
  <si>
    <t>CP 10-700</t>
  </si>
  <si>
    <t>CP 15-700</t>
  </si>
  <si>
    <t>CP 25-700</t>
  </si>
  <si>
    <t>CP 5-750</t>
  </si>
  <si>
    <t>CP 10-750</t>
  </si>
  <si>
    <t>CP 15-750</t>
  </si>
  <si>
    <t>CP 25-750</t>
  </si>
  <si>
    <t>CP 10-775</t>
  </si>
  <si>
    <t>CP 25-775</t>
  </si>
  <si>
    <t>EP 200</t>
  </si>
  <si>
    <t>EP 200vA</t>
  </si>
  <si>
    <t>EP 265</t>
  </si>
  <si>
    <t>EP  265</t>
  </si>
  <si>
    <t>EP 315</t>
  </si>
  <si>
    <t>EP  315</t>
  </si>
  <si>
    <t>EP 365</t>
  </si>
  <si>
    <t>EP  365</t>
  </si>
  <si>
    <t>EP 425</t>
  </si>
  <si>
    <t>EP  425</t>
  </si>
  <si>
    <t>EP 465</t>
  </si>
  <si>
    <t>EP  465</t>
  </si>
  <si>
    <t>EP 515</t>
  </si>
  <si>
    <t>EP 565</t>
  </si>
  <si>
    <t>EP 615</t>
  </si>
  <si>
    <t>EP 765</t>
  </si>
  <si>
    <t>EP 815</t>
  </si>
  <si>
    <t>EP 1000</t>
  </si>
  <si>
    <t>EP 1100</t>
  </si>
  <si>
    <t>EP 650</t>
  </si>
  <si>
    <t>EP 700</t>
  </si>
  <si>
    <t>FP 315</t>
  </si>
  <si>
    <t>FP  315</t>
  </si>
  <si>
    <t>FP 365</t>
  </si>
  <si>
    <t>FP  365</t>
  </si>
  <si>
    <t>FP 425</t>
  </si>
  <si>
    <t>FP  425</t>
  </si>
  <si>
    <t>FP 425-370</t>
  </si>
  <si>
    <t>FP 425-400</t>
  </si>
  <si>
    <t>FP 465</t>
  </si>
  <si>
    <t>FP  465</t>
  </si>
  <si>
    <t>FP 515</t>
  </si>
  <si>
    <t>GP 315</t>
  </si>
  <si>
    <t>GP 315X</t>
  </si>
  <si>
    <t>GP 365</t>
  </si>
  <si>
    <t>GP365X</t>
  </si>
  <si>
    <t>GP 425</t>
  </si>
  <si>
    <t>GPX 425</t>
  </si>
  <si>
    <t>GP 425-370</t>
  </si>
  <si>
    <t>GP 425-415</t>
  </si>
  <si>
    <t>Air Density @ Std. Press (101325) / 20C</t>
    <phoneticPr fontId="77" type="noConversion"/>
  </si>
  <si>
    <t>Reg</t>
    <phoneticPr fontId="77" type="noConversion"/>
  </si>
  <si>
    <t>温度</t>
    <phoneticPr fontId="77" type="noConversion"/>
  </si>
  <si>
    <t>实际工况下空气密度</t>
    <phoneticPr fontId="77" type="noConversion"/>
  </si>
  <si>
    <t>C</t>
    <phoneticPr fontId="77" type="noConversion"/>
  </si>
  <si>
    <t>实际海拔下大气压力</t>
    <phoneticPr fontId="77" type="noConversion"/>
  </si>
  <si>
    <t>Pa</t>
    <phoneticPr fontId="77" type="noConversion"/>
  </si>
  <si>
    <t>O.P. warning</t>
  </si>
  <si>
    <r>
      <t>Op. Temp.</t>
    </r>
    <r>
      <rPr>
        <sz val="9"/>
        <rFont val="宋体"/>
        <family val="2"/>
        <charset val="134"/>
      </rPr>
      <t>【工况温度】</t>
    </r>
    <phoneticPr fontId="77" type="noConversion"/>
  </si>
  <si>
    <t>mmH2O</t>
    <phoneticPr fontId="77" type="noConversion"/>
  </si>
  <si>
    <t>P in[进风口压力]</t>
    <phoneticPr fontId="77" type="noConversion"/>
  </si>
  <si>
    <t>P dyn[动压]</t>
    <phoneticPr fontId="77" type="noConversion"/>
  </si>
  <si>
    <t>P stat[静压]</t>
    <phoneticPr fontId="77" type="noConversion"/>
  </si>
  <si>
    <t>P total[全压]</t>
    <phoneticPr fontId="77" type="noConversion"/>
  </si>
  <si>
    <t>Temp.【温度】</t>
    <phoneticPr fontId="77" type="noConversion"/>
  </si>
  <si>
    <t>Q【风量】</t>
    <phoneticPr fontId="77" type="noConversion"/>
  </si>
  <si>
    <t>rev.[转速】</t>
    <phoneticPr fontId="77" type="noConversion"/>
  </si>
  <si>
    <t>Efficiency [全压效率]</t>
    <phoneticPr fontId="77" type="noConversion"/>
  </si>
  <si>
    <t>[电机功率]min</t>
    <phoneticPr fontId="77" type="noConversion"/>
  </si>
  <si>
    <t>工况转换</t>
    <phoneticPr fontId="77" type="noConversion"/>
  </si>
  <si>
    <t>实际流量换算成标方</t>
    <phoneticPr fontId="77" type="noConversion"/>
  </si>
  <si>
    <t>标方换算成实际流量</t>
    <phoneticPr fontId="77" type="noConversion"/>
  </si>
  <si>
    <t>input：</t>
    <phoneticPr fontId="77" type="noConversion"/>
  </si>
  <si>
    <t>海拔高度</t>
    <phoneticPr fontId="77" type="noConversion"/>
  </si>
  <si>
    <t>标方</t>
    <phoneticPr fontId="77" type="noConversion"/>
  </si>
  <si>
    <t>input</t>
    <phoneticPr fontId="77" type="noConversion"/>
  </si>
  <si>
    <t>output</t>
    <phoneticPr fontId="77" type="noConversion"/>
  </si>
  <si>
    <t>m</t>
    <phoneticPr fontId="77" type="noConversion"/>
  </si>
  <si>
    <t>Nm3/h</t>
    <phoneticPr fontId="77" type="noConversion"/>
  </si>
  <si>
    <t>实际流量</t>
    <phoneticPr fontId="77" type="noConversion"/>
  </si>
  <si>
    <t>气体密度</t>
    <phoneticPr fontId="77" type="noConversion"/>
  </si>
  <si>
    <t>m3/h</t>
    <phoneticPr fontId="77" type="noConversion"/>
  </si>
  <si>
    <r>
      <t>实际体积</t>
    </r>
    <r>
      <rPr>
        <b/>
        <sz val="9"/>
        <color theme="0" tint="-0.34998626667073579"/>
        <rFont val="Times New Roman"/>
        <family val="1"/>
      </rPr>
      <t>V2(m3)</t>
    </r>
    <phoneticPr fontId="77" type="noConversion"/>
  </si>
  <si>
    <r>
      <t>实际温度</t>
    </r>
    <r>
      <rPr>
        <b/>
        <sz val="9"/>
        <color theme="0" tint="-0.34998626667073579"/>
        <rFont val="Times New Roman"/>
        <family val="1"/>
      </rPr>
      <t>T2(</t>
    </r>
    <r>
      <rPr>
        <b/>
        <sz val="9"/>
        <color theme="0" tint="-0.34998626667073579"/>
        <rFont val="宋体"/>
        <family val="3"/>
        <charset val="134"/>
      </rPr>
      <t>℃</t>
    </r>
    <r>
      <rPr>
        <b/>
        <sz val="9"/>
        <color theme="0" tint="-0.34998626667073579"/>
        <rFont val="Times New Roman"/>
        <family val="1"/>
      </rPr>
      <t>)</t>
    </r>
    <phoneticPr fontId="77" type="noConversion"/>
  </si>
  <si>
    <r>
      <t>实际压力</t>
    </r>
    <r>
      <rPr>
        <b/>
        <sz val="9"/>
        <color theme="0" tint="-0.34998626667073579"/>
        <rFont val="Times New Roman"/>
        <family val="1"/>
      </rPr>
      <t>P2(Pa)</t>
    </r>
    <phoneticPr fontId="77" type="noConversion"/>
  </si>
  <si>
    <r>
      <t>标况温度</t>
    </r>
    <r>
      <rPr>
        <b/>
        <sz val="9"/>
        <color theme="0" tint="-0.34998626667073579"/>
        <rFont val="Times New Roman"/>
        <family val="1"/>
      </rPr>
      <t>T</t>
    </r>
    <r>
      <rPr>
        <b/>
        <sz val="9"/>
        <color theme="0" tint="-0.34998626667073579"/>
        <rFont val="Arial"/>
        <family val="2"/>
      </rPr>
      <t>标</t>
    </r>
    <r>
      <rPr>
        <b/>
        <sz val="9"/>
        <color theme="0" tint="-0.34998626667073579"/>
        <rFont val="Times New Roman"/>
        <family val="1"/>
      </rPr>
      <t>(K)</t>
    </r>
    <phoneticPr fontId="77" type="noConversion"/>
  </si>
  <si>
    <r>
      <t>标况压力</t>
    </r>
    <r>
      <rPr>
        <b/>
        <sz val="9"/>
        <color theme="0" tint="-0.34998626667073579"/>
        <rFont val="Times New Roman"/>
        <family val="1"/>
      </rPr>
      <t>P</t>
    </r>
    <r>
      <rPr>
        <b/>
        <sz val="9"/>
        <color theme="0" tint="-0.34998626667073579"/>
        <rFont val="Arial"/>
        <family val="2"/>
      </rPr>
      <t>标</t>
    </r>
    <r>
      <rPr>
        <b/>
        <sz val="9"/>
        <color theme="0" tint="-0.34998626667073579"/>
        <rFont val="Times New Roman"/>
        <family val="1"/>
      </rPr>
      <t>(Pa)</t>
    </r>
    <phoneticPr fontId="77" type="noConversion"/>
  </si>
  <si>
    <r>
      <t>标况体积</t>
    </r>
    <r>
      <rPr>
        <b/>
        <sz val="9"/>
        <color theme="0" tint="-0.34998626667073579"/>
        <rFont val="Times New Roman"/>
        <family val="1"/>
      </rPr>
      <t>V</t>
    </r>
    <r>
      <rPr>
        <b/>
        <sz val="9"/>
        <color theme="0" tint="-0.34998626667073579"/>
        <rFont val="宋体"/>
        <family val="3"/>
        <charset val="134"/>
      </rPr>
      <t>标</t>
    </r>
    <r>
      <rPr>
        <b/>
        <sz val="9"/>
        <color theme="0" tint="-0.34998626667073579"/>
        <rFont val="Times New Roman"/>
        <family val="1"/>
      </rPr>
      <t>(Nm3)</t>
    </r>
    <phoneticPr fontId="77" type="noConversion"/>
  </si>
  <si>
    <r>
      <rPr>
        <b/>
        <sz val="9"/>
        <color theme="0" tint="-0.34998626667073579"/>
        <rFont val="宋体"/>
        <family val="3"/>
        <charset val="134"/>
      </rPr>
      <t>：</t>
    </r>
    <r>
      <rPr>
        <b/>
        <sz val="9"/>
        <color theme="0" tint="-0.34998626667073579"/>
        <rFont val="Times New Roman"/>
        <family val="3"/>
      </rPr>
      <t>out</t>
    </r>
    <phoneticPr fontId="77" type="noConversion"/>
  </si>
  <si>
    <r>
      <t>[</t>
    </r>
    <r>
      <rPr>
        <sz val="9"/>
        <rFont val="微软雅黑"/>
        <family val="2"/>
        <charset val="134"/>
      </rPr>
      <t>海拔</t>
    </r>
    <r>
      <rPr>
        <sz val="9"/>
        <rFont val="Calibri"/>
        <family val="2"/>
      </rPr>
      <t>]</t>
    </r>
    <phoneticPr fontId="77" type="noConversion"/>
  </si>
  <si>
    <r>
      <t>SP</t>
    </r>
    <r>
      <rPr>
        <sz val="9"/>
        <rFont val="宋体"/>
        <family val="2"/>
        <charset val="134"/>
      </rPr>
      <t>【静压】</t>
    </r>
    <phoneticPr fontId="77" type="noConversion"/>
  </si>
  <si>
    <t>TP【全压】</t>
    <phoneticPr fontId="77" type="noConversion"/>
  </si>
  <si>
    <r>
      <t xml:space="preserve">Inlet P  </t>
    </r>
    <r>
      <rPr>
        <sz val="9"/>
        <rFont val="宋体"/>
        <family val="2"/>
        <charset val="134"/>
      </rPr>
      <t>【进风口压力】</t>
    </r>
    <phoneticPr fontId="77" type="noConversion"/>
  </si>
  <si>
    <r>
      <t>Q.OP</t>
    </r>
    <r>
      <rPr>
        <sz val="9"/>
        <rFont val="宋体"/>
        <family val="2"/>
        <charset val="134"/>
      </rPr>
      <t>【风量】【标立方】</t>
    </r>
    <phoneticPr fontId="77" type="noConversion"/>
  </si>
  <si>
    <r>
      <t>Q.STD</t>
    </r>
    <r>
      <rPr>
        <sz val="9"/>
        <rFont val="宋体"/>
        <family val="2"/>
        <charset val="134"/>
      </rPr>
      <t>【风量】【标方】</t>
    </r>
    <phoneticPr fontId="77" type="noConversion"/>
  </si>
  <si>
    <t xml:space="preserve"> </t>
    <phoneticPr fontId="77" type="noConversion"/>
  </si>
  <si>
    <t xml:space="preserve">FS File 6666, , , GT 78-33, Steel, Steel - </t>
    <phoneticPr fontId="77" type="noConversion"/>
  </si>
  <si>
    <t>Shaft Power [kW]</t>
    <phoneticPr fontId="77" type="noConversion"/>
  </si>
  <si>
    <t>14 m/s</t>
  </si>
  <si>
    <t>A.S.= 17 m/s</t>
  </si>
  <si>
    <t>A.S.= 29 m/s</t>
  </si>
  <si>
    <t>A.S.= 22 m/s</t>
  </si>
  <si>
    <t>A.S.= 25 m/s</t>
  </si>
  <si>
    <t>15 m/s</t>
  </si>
  <si>
    <t>37 m/s</t>
  </si>
  <si>
    <t>57 m/s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</si>
</sst>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176" formatCode="_-* #,##0_-;\-* #,##0_-;_-* &quot;-&quot;_-;_-@_-"/>
    <numFmt numFmtId="177" formatCode="_-* #,##0.00_-;\-* #,##0.00_-;_-* &quot;-&quot;??_-;_-@_-"/>
    <numFmt numFmtId="178" formatCode="_(* #,##0.00_);_(* \(#,##0.00\);_(* &quot;-&quot;??_);_(@_)"/>
    <numFmt numFmtId="179" formatCode="_(* #,##0_);_(* \-#,##0;_(* &quot;-&quot;??_);_(@_)"/>
    <numFmt numFmtId="180" formatCode="_(* #,##0.000_);_(* \-#,##0.000;_(* &quot;-&quot;??_);_(@_)"/>
    <numFmt numFmtId="181" formatCode="_(* #,##0.00_);_(* \-#,##0.00;_(* &quot;-&quot;??_);_(@_)"/>
    <numFmt numFmtId="182" formatCode="_(* #,##0.0_);_(* \-#,##0.0;_(* &quot;-&quot;??_);_(@_)"/>
    <numFmt numFmtId="183" formatCode="_(* #,##0.0000_);_(* \-#,##0.0000;_(* &quot;-&quot;??_);_(@_)"/>
    <numFmt numFmtId="184" formatCode="0_ ;\-0\ "/>
    <numFmt numFmtId="185" formatCode="_-* #,##0_-;\-* #,##0_-;_-* &quot;-&quot;??_-;_-@_-"/>
    <numFmt numFmtId="186" formatCode="0.0"/>
    <numFmt numFmtId="187" formatCode="_(* #,##0_);_(* \(#,##0\);_(* &quot;-&quot;??_);_(@_)"/>
    <numFmt numFmtId="188" formatCode="0.000"/>
    <numFmt numFmtId="189" formatCode="_-* #,##0.000_-;\-* #,##0.000_-;_-* &quot;-&quot;_-;_-@_-"/>
    <numFmt numFmtId="190" formatCode="_-* #,##0.0_-;\-* #,##0.0_-;_-* &quot;-&quot;_-;_-@_-"/>
    <numFmt numFmtId="191" formatCode="_-\ #,##0_-;\-\ #,##0_-;_-\ &quot;-&quot;??_-;_-@_-"/>
    <numFmt numFmtId="192" formatCode="_-\ #,##0.0_-;\-\ #,##0.0_-;_-\ &quot;-&quot;??_-;_-@_-"/>
    <numFmt numFmtId="193" formatCode="_-\ ###0_-;\-\ ###0_-;_-\ &quot;-&quot;_-;_-@_-"/>
    <numFmt numFmtId="194" formatCode="_-\ ###0.0_-;\-\ ###0.0_-;_-\ &quot;-&quot;_-;_-@_-"/>
    <numFmt numFmtId="195" formatCode="_-\ ###0.00_-;\-\ ###0.00_-;_-\ &quot;-&quot;_-;_-@_-"/>
    <numFmt numFmtId="196" formatCode="_-\ ###0.000_-;\-\ ###0.000_-;_-\ &quot;-&quot;_-;_-@_-"/>
    <numFmt numFmtId="197" formatCode="_-\ ###0_-;\-\ ###0_-;_-\ &quot;-&quot;??_-;_-@_-"/>
    <numFmt numFmtId="198" formatCode="_-\ ###0.000_-;\-\ ###0.000_-;_-\ &quot;-&quot;???_-;_-@_-"/>
    <numFmt numFmtId="199" formatCode="_-\ ###0.0_-;\-\ ###0.0_-;_-\ &quot;-&quot;??_-;_-@_-"/>
    <numFmt numFmtId="200" formatCode="_-\ ###0.00_-;\-\ ###0.00_-;_-\ &quot;-&quot;??_-;_-@_-"/>
    <numFmt numFmtId="201" formatCode="#,##0.000"/>
    <numFmt numFmtId="202" formatCode="_(* #,##0.000_);_(* \(#,##0.000\);_(* &quot;-&quot;??_);_(@_)"/>
    <numFmt numFmtId="203" formatCode="_-\ ###0.000_-;\-\ ###0.000_-;_-\ &quot;-&quot;??_-;_-@_-"/>
    <numFmt numFmtId="204" formatCode="0.0E+00"/>
    <numFmt numFmtId="205" formatCode="0.0000"/>
    <numFmt numFmtId="206" formatCode="#,##0_ ;\-#,##0\ "/>
    <numFmt numFmtId="207" formatCode="000000"/>
    <numFmt numFmtId="208" formatCode="0.000_ "/>
    <numFmt numFmtId="209" formatCode="0.00_ "/>
  </numFmts>
  <fonts count="105">
    <font>
      <sz val="10"/>
      <name val="Arial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1"/>
      <color theme="1"/>
      <name val="Arial"/>
      <family val="2"/>
    </font>
    <font>
      <sz val="12"/>
      <name val="Arial"/>
      <family val="2"/>
    </font>
    <font>
      <b/>
      <u val="singleAccounting"/>
      <sz val="14"/>
      <name val="Calibri"/>
      <family val="2"/>
    </font>
    <font>
      <b/>
      <sz val="9"/>
      <color indexed="81"/>
      <name val="Tahoma"/>
      <family val="2"/>
    </font>
    <font>
      <b/>
      <sz val="11"/>
      <name val="宋体"/>
      <family val="2"/>
      <scheme val="minor"/>
    </font>
    <font>
      <sz val="11"/>
      <name val="宋体"/>
      <family val="2"/>
      <scheme val="minor"/>
    </font>
    <font>
      <sz val="11"/>
      <name val="Symbol"/>
      <family val="1"/>
      <charset val="2"/>
    </font>
    <font>
      <sz val="10"/>
      <name val="宋体"/>
      <family val="2"/>
      <scheme val="minor"/>
    </font>
    <font>
      <b/>
      <u val="singleAccounting"/>
      <sz val="11"/>
      <name val="宋体"/>
      <family val="2"/>
      <scheme val="minor"/>
    </font>
    <font>
      <b/>
      <u val="singleAccounting"/>
      <sz val="14"/>
      <color rgb="FFFF0000"/>
      <name val="宋体"/>
      <family val="2"/>
      <scheme val="minor"/>
    </font>
    <font>
      <sz val="14"/>
      <name val="宋体"/>
      <family val="2"/>
      <scheme val="minor"/>
    </font>
    <font>
      <sz val="9"/>
      <name val="宋体"/>
      <family val="2"/>
      <scheme val="minor"/>
    </font>
    <font>
      <b/>
      <sz val="10"/>
      <name val="宋体"/>
      <family val="2"/>
      <scheme val="minor"/>
    </font>
    <font>
      <sz val="10"/>
      <color theme="0"/>
      <name val="宋体"/>
      <family val="2"/>
      <scheme val="minor"/>
    </font>
    <font>
      <sz val="11"/>
      <color rgb="FFFF0000"/>
      <name val="宋体"/>
      <family val="2"/>
      <scheme val="minor"/>
    </font>
    <font>
      <b/>
      <u val="singleAccounting"/>
      <sz val="12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b/>
      <sz val="12"/>
      <name val="宋体"/>
      <family val="2"/>
      <scheme val="minor"/>
    </font>
    <font>
      <sz val="12"/>
      <name val="宋体"/>
      <family val="2"/>
      <scheme val="minor"/>
    </font>
    <font>
      <sz val="12"/>
      <color theme="0" tint="-0.14999847407452621"/>
      <name val="宋体"/>
      <family val="2"/>
      <scheme val="minor"/>
    </font>
    <font>
      <vertAlign val="superscript"/>
      <sz val="12"/>
      <name val="宋体"/>
      <family val="2"/>
      <scheme val="minor"/>
    </font>
    <font>
      <vertAlign val="subscript"/>
      <sz val="12"/>
      <name val="宋体"/>
      <family val="2"/>
      <scheme val="minor"/>
    </font>
    <font>
      <sz val="12"/>
      <color theme="2"/>
      <name val="宋体"/>
      <family val="2"/>
      <scheme val="minor"/>
    </font>
    <font>
      <sz val="11"/>
      <color indexed="81"/>
      <name val="Tahoma"/>
      <family val="2"/>
    </font>
    <font>
      <u/>
      <sz val="11"/>
      <name val="宋体"/>
      <family val="2"/>
      <scheme val="minor"/>
    </font>
    <font>
      <b/>
      <i/>
      <u/>
      <sz val="11"/>
      <name val="宋体"/>
      <family val="2"/>
      <scheme val="minor"/>
    </font>
    <font>
      <u val="singleAccounting"/>
      <sz val="11"/>
      <name val="宋体"/>
      <family val="2"/>
      <scheme val="minor"/>
    </font>
    <font>
      <b/>
      <u/>
      <sz val="11"/>
      <name val="宋体"/>
      <family val="2"/>
      <scheme val="minor"/>
    </font>
    <font>
      <sz val="9"/>
      <color indexed="81"/>
      <name val="Tahoma"/>
      <family val="2"/>
    </font>
    <font>
      <sz val="11"/>
      <color indexed="81"/>
      <name val="宋体"/>
      <family val="2"/>
      <scheme val="minor"/>
    </font>
    <font>
      <sz val="10"/>
      <color theme="0" tint="-4.9989318521683403E-2"/>
      <name val="宋体"/>
      <family val="2"/>
      <scheme val="minor"/>
    </font>
    <font>
      <b/>
      <sz val="10"/>
      <color theme="0" tint="-4.9989318521683403E-2"/>
      <name val="宋体"/>
      <family val="2"/>
      <scheme val="minor"/>
    </font>
    <font>
      <b/>
      <u val="singleAccounting"/>
      <sz val="12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1"/>
      <color rgb="FFFF0000"/>
      <name val="宋体"/>
      <family val="2"/>
      <scheme val="minor"/>
    </font>
    <font>
      <b/>
      <sz val="11"/>
      <color indexed="81"/>
      <name val="宋体"/>
      <family val="2"/>
      <scheme val="minor"/>
    </font>
    <font>
      <sz val="10"/>
      <color indexed="8"/>
      <name val="Calibri"/>
      <family val="2"/>
    </font>
    <font>
      <sz val="11"/>
      <name val="Arial"/>
      <family val="2"/>
    </font>
    <font>
      <b/>
      <sz val="14"/>
      <color rgb="FFFF0000"/>
      <name val="宋体"/>
      <family val="2"/>
      <scheme val="minor"/>
    </font>
    <font>
      <b/>
      <sz val="10"/>
      <name val="Arial"/>
      <family val="2"/>
    </font>
    <font>
      <sz val="11"/>
      <color rgb="FF00B050"/>
      <name val="宋体"/>
      <family val="2"/>
      <scheme val="minor"/>
    </font>
    <font>
      <sz val="10"/>
      <color theme="1"/>
      <name val="宋体"/>
      <family val="2"/>
      <scheme val="minor"/>
    </font>
    <font>
      <b/>
      <sz val="10"/>
      <color rgb="FFFF0000"/>
      <name val="宋体"/>
      <family val="2"/>
      <scheme val="minor"/>
    </font>
    <font>
      <sz val="14"/>
      <name val="宋体"/>
      <family val="2"/>
      <scheme val="minor"/>
    </font>
    <font>
      <sz val="10"/>
      <name val="宋体"/>
      <family val="2"/>
      <scheme val="minor"/>
    </font>
    <font>
      <b/>
      <sz val="11"/>
      <color rgb="FFFF0000"/>
      <name val="Calibri"/>
      <family val="2"/>
    </font>
    <font>
      <b/>
      <u/>
      <sz val="11"/>
      <color rgb="FFFF0000"/>
      <name val="Calibri"/>
      <family val="2"/>
    </font>
    <font>
      <b/>
      <u val="singleAccounting"/>
      <sz val="14"/>
      <name val="Calibri"/>
      <family val="2"/>
    </font>
    <font>
      <sz val="14"/>
      <name val="Calibri"/>
      <family val="2"/>
    </font>
    <font>
      <sz val="14"/>
      <color rgb="FF00B0F0"/>
      <name val="Calibri"/>
      <family val="2"/>
    </font>
    <font>
      <sz val="14"/>
      <color rgb="FFFF000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FF0000"/>
      <name val="Calibri"/>
      <family val="2"/>
    </font>
    <font>
      <b/>
      <u val="singleAccounting"/>
      <sz val="14"/>
      <color rgb="FF00B0F0"/>
      <name val="Calibri"/>
      <family val="2"/>
    </font>
    <font>
      <b/>
      <u val="singleAccounting"/>
      <sz val="14"/>
      <color rgb="FFFF0000"/>
      <name val="Calibri"/>
      <family val="2"/>
    </font>
    <font>
      <b/>
      <u val="singleAccounting"/>
      <sz val="11"/>
      <name val="Calibri"/>
      <family val="2"/>
    </font>
    <font>
      <b/>
      <sz val="14"/>
      <name val="Calibri"/>
      <family val="2"/>
    </font>
    <font>
      <i/>
      <sz val="11"/>
      <name val="Calibri"/>
      <family val="2"/>
    </font>
    <font>
      <b/>
      <sz val="16"/>
      <name val="Calibri"/>
      <family val="2"/>
    </font>
    <font>
      <sz val="8"/>
      <name val="Calibri"/>
      <family val="2"/>
    </font>
    <font>
      <b/>
      <u val="singleAccounting"/>
      <sz val="20"/>
      <color rgb="FFFF0000"/>
      <name val="Calibri"/>
      <family val="2"/>
    </font>
    <font>
      <b/>
      <sz val="14"/>
      <color rgb="FFFF0000"/>
      <name val="Calibri"/>
      <family val="2"/>
    </font>
    <font>
      <b/>
      <sz val="11"/>
      <name val="宋体"/>
      <family val="2"/>
      <scheme val="minor"/>
    </font>
    <font>
      <sz val="12"/>
      <color rgb="FFFF0000"/>
      <name val="宋体"/>
      <family val="2"/>
      <scheme val="minor"/>
    </font>
    <font>
      <sz val="9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18"/>
      <name val="宋体"/>
      <family val="3"/>
      <charset val="134"/>
      <scheme val="minor"/>
    </font>
    <font>
      <b/>
      <u/>
      <sz val="22"/>
      <color rgb="FFFF0000"/>
      <name val="Calibri"/>
      <family val="2"/>
    </font>
    <font>
      <sz val="11"/>
      <name val="宋体"/>
      <family val="2"/>
      <charset val="134"/>
    </font>
    <font>
      <sz val="16"/>
      <name val="宋体"/>
      <family val="2"/>
      <scheme val="minor"/>
    </font>
    <font>
      <sz val="9"/>
      <name val="Calibri"/>
      <family val="2"/>
    </font>
    <font>
      <sz val="9"/>
      <name val="Arial"/>
      <family val="2"/>
    </font>
    <font>
      <sz val="9"/>
      <name val="宋体"/>
      <family val="2"/>
      <charset val="134"/>
    </font>
    <font>
      <sz val="10"/>
      <name val="Microsoft YaHei UI"/>
      <family val="2"/>
      <charset val="134"/>
    </font>
    <font>
      <sz val="10"/>
      <color theme="0"/>
      <name val="Microsoft YaHei UI"/>
      <family val="2"/>
      <charset val="134"/>
    </font>
    <font>
      <b/>
      <sz val="10"/>
      <name val="Microsoft YaHei UI"/>
      <family val="2"/>
      <charset val="134"/>
    </font>
    <font>
      <b/>
      <sz val="10"/>
      <name val="宋体"/>
      <family val="3"/>
      <charset val="134"/>
      <scheme val="minor"/>
    </font>
    <font>
      <sz val="9"/>
      <color theme="0" tint="-0.34998626667073579"/>
      <name val="Arial"/>
      <family val="2"/>
    </font>
    <font>
      <sz val="10"/>
      <color theme="0" tint="-0.34998626667073579"/>
      <name val="楷体_GB2312"/>
      <family val="3"/>
      <charset val="134"/>
    </font>
    <font>
      <b/>
      <sz val="9"/>
      <color theme="0" tint="-0.34998626667073579"/>
      <name val="宋体"/>
      <family val="3"/>
      <charset val="134"/>
    </font>
    <font>
      <b/>
      <sz val="9"/>
      <color theme="0" tint="-0.34998626667073579"/>
      <name val="Arial"/>
      <family val="2"/>
    </font>
    <font>
      <b/>
      <sz val="9"/>
      <color theme="0" tint="-0.34998626667073579"/>
      <name val="Times New Roman"/>
      <family val="1"/>
    </font>
    <font>
      <b/>
      <sz val="9"/>
      <color theme="0" tint="-0.34998626667073579"/>
      <name val="Times New Roman"/>
      <family val="3"/>
      <charset val="134"/>
    </font>
    <font>
      <b/>
      <sz val="9"/>
      <color theme="0" tint="-0.34998626667073579"/>
      <name val="Times New Roman"/>
      <family val="3"/>
    </font>
    <font>
      <b/>
      <sz val="9"/>
      <color theme="0" tint="-0.34998626667073579"/>
      <name val="楷体_GB2312"/>
      <family val="3"/>
      <charset val="134"/>
    </font>
    <font>
      <sz val="9"/>
      <color theme="0" tint="-0.34998626667073579"/>
      <name val="宋体"/>
      <family val="2"/>
      <charset val="134"/>
    </font>
    <font>
      <sz val="9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sz val="9"/>
      <name val="微软雅黑"/>
      <family val="2"/>
      <charset val="134"/>
    </font>
    <font>
      <sz val="9"/>
      <color theme="8" tint="0.59999389629810485"/>
      <name val="Arial"/>
      <family val="2"/>
    </font>
    <font>
      <sz val="9"/>
      <color theme="3"/>
      <name val="Arial"/>
      <family val="2"/>
    </font>
    <font>
      <b/>
      <sz val="9"/>
      <color theme="3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rgb="FF00B0F0"/>
      </left>
      <right/>
      <top/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ck">
        <color auto="1"/>
      </top>
      <bottom/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auto="1"/>
      </top>
      <bottom style="medium">
        <color auto="1"/>
      </bottom>
      <diagonal/>
    </border>
    <border>
      <left style="thick">
        <color rgb="FFFF0000"/>
      </left>
      <right style="medium">
        <color rgb="FFFF0000"/>
      </right>
      <top/>
      <bottom/>
      <diagonal/>
    </border>
    <border>
      <left style="thick">
        <color rgb="FFFF0000"/>
      </left>
      <right style="medium">
        <color rgb="FFFF0000"/>
      </right>
      <top/>
      <bottom style="thick">
        <color rgb="FFFF0000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rgb="FFFF0000"/>
      </right>
      <top/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thick">
        <color auto="1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ck">
        <color auto="1"/>
      </left>
      <right/>
      <top/>
      <bottom style="medium">
        <color auto="1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auto="1"/>
      </left>
      <right/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auto="1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/>
      <right style="medium">
        <color auto="1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auto="1"/>
      </bottom>
      <diagonal/>
    </border>
    <border>
      <left/>
      <right style="thin">
        <color indexed="64"/>
      </right>
      <top style="medium">
        <color rgb="FFFF000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auto="1"/>
      </bottom>
      <diagonal/>
    </border>
    <border>
      <left style="thin">
        <color indexed="64"/>
      </left>
      <right/>
      <top style="medium">
        <color rgb="FFFF0000"/>
      </top>
      <bottom style="thin">
        <color auto="1"/>
      </bottom>
      <diagonal/>
    </border>
    <border>
      <left/>
      <right/>
      <top style="medium">
        <color rgb="FFFF0000"/>
      </top>
      <bottom style="thin">
        <color auto="1"/>
      </bottom>
      <diagonal/>
    </border>
    <border>
      <left/>
      <right style="medium">
        <color rgb="FFFF0000"/>
      </right>
      <top style="medium">
        <color rgb="FFFF0000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thin">
        <color auto="1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rgb="FFFF0000"/>
      </bottom>
      <diagonal/>
    </border>
    <border>
      <left style="thin">
        <color auto="1"/>
      </left>
      <right/>
      <top style="thin">
        <color indexed="64"/>
      </top>
      <bottom style="medium">
        <color rgb="FFFF0000"/>
      </bottom>
      <diagonal/>
    </border>
    <border>
      <left/>
      <right/>
      <top style="thin">
        <color auto="1"/>
      </top>
      <bottom style="medium">
        <color rgb="FFFF0000"/>
      </bottom>
      <diagonal/>
    </border>
    <border>
      <left/>
      <right style="medium">
        <color rgb="FFFF0000"/>
      </right>
      <top style="thin">
        <color auto="1"/>
      </top>
      <bottom style="medium">
        <color rgb="FFFF0000"/>
      </bottom>
      <diagonal/>
    </border>
    <border>
      <left/>
      <right style="slantDashDot">
        <color indexed="64"/>
      </right>
      <top/>
      <bottom/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/>
      <right style="slantDashDot">
        <color indexed="64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 style="medium">
        <color rgb="FFFF0000"/>
      </left>
      <right/>
      <top/>
      <bottom style="medium">
        <color auto="1"/>
      </bottom>
      <diagonal/>
    </border>
  </borders>
  <cellStyleXfs count="24">
    <xf numFmtId="0" fontId="0" fillId="0" borderId="0"/>
    <xf numFmtId="9" fontId="6" fillId="0" borderId="0" applyFont="0" applyFill="0" applyBorder="0" applyAlignment="0" applyProtection="0"/>
    <xf numFmtId="177" fontId="6" fillId="0" borderId="0" applyFont="0" applyFill="0" applyBorder="0" applyAlignment="0" applyProtection="0"/>
    <xf numFmtId="0" fontId="6" fillId="0" borderId="0"/>
    <xf numFmtId="177" fontId="8" fillId="0" borderId="0" applyFont="0" applyFill="0" applyBorder="0" applyAlignment="0" applyProtection="0"/>
    <xf numFmtId="177" fontId="6" fillId="0" borderId="0" applyFont="0" applyFill="0" applyBorder="0" applyAlignment="0" applyProtection="0"/>
    <xf numFmtId="177" fontId="6" fillId="0" borderId="0" applyFont="0" applyFill="0" applyBorder="0" applyAlignment="0" applyProtection="0"/>
    <xf numFmtId="0" fontId="6" fillId="0" borderId="0"/>
    <xf numFmtId="0" fontId="10" fillId="0" borderId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77" fontId="6" fillId="0" borderId="0" applyFont="0" applyFill="0" applyBorder="0" applyAlignment="0" applyProtection="0"/>
    <xf numFmtId="0" fontId="5" fillId="0" borderId="0"/>
    <xf numFmtId="177" fontId="5" fillId="0" borderId="0" applyFont="0" applyFill="0" applyBorder="0" applyAlignment="0" applyProtection="0"/>
    <xf numFmtId="177" fontId="11" fillId="0" borderId="0" applyFont="0" applyFill="0" applyBorder="0" applyAlignment="0" applyProtection="0"/>
    <xf numFmtId="0" fontId="6" fillId="0" borderId="0"/>
    <xf numFmtId="178" fontId="6" fillId="0" borderId="0" applyFont="0" applyFill="0" applyBorder="0" applyAlignment="0" applyProtection="0"/>
    <xf numFmtId="0" fontId="5" fillId="0" borderId="0"/>
    <xf numFmtId="178" fontId="6" fillId="0" borderId="0" applyFont="0" applyFill="0" applyBorder="0" applyAlignment="0" applyProtection="0"/>
    <xf numFmtId="177" fontId="48" fillId="0" borderId="0" applyFont="0" applyFill="0" applyBorder="0" applyAlignment="0" applyProtection="0"/>
    <xf numFmtId="0" fontId="6" fillId="0" borderId="0"/>
    <xf numFmtId="0" fontId="3" fillId="0" borderId="0"/>
    <xf numFmtId="178" fontId="6" fillId="0" borderId="0" applyFont="0" applyFill="0" applyBorder="0" applyAlignment="0" applyProtection="0"/>
    <xf numFmtId="0" fontId="2" fillId="0" borderId="0"/>
  </cellStyleXfs>
  <cellXfs count="1476">
    <xf numFmtId="0" fontId="0" fillId="0" borderId="0" xfId="0"/>
    <xf numFmtId="179" fontId="9" fillId="0" borderId="5" xfId="2" applyNumberFormat="1" applyFont="1" applyFill="1" applyBorder="1" applyAlignment="1" applyProtection="1">
      <alignment vertical="center"/>
    </xf>
    <xf numFmtId="179" fontId="15" fillId="0" borderId="0" xfId="5" applyNumberFormat="1" applyFont="1" applyProtection="1"/>
    <xf numFmtId="179" fontId="15" fillId="3" borderId="0" xfId="5" applyNumberFormat="1" applyFont="1" applyFill="1" applyProtection="1"/>
    <xf numFmtId="0" fontId="17" fillId="0" borderId="0" xfId="0" applyFont="1"/>
    <xf numFmtId="179" fontId="15" fillId="0" borderId="3" xfId="5" applyNumberFormat="1" applyFont="1" applyFill="1" applyBorder="1" applyAlignment="1" applyProtection="1">
      <alignment vertical="center"/>
    </xf>
    <xf numFmtId="179" fontId="15" fillId="0" borderId="4" xfId="5" applyNumberFormat="1" applyFont="1" applyFill="1" applyBorder="1" applyAlignment="1" applyProtection="1">
      <alignment vertical="center"/>
    </xf>
    <xf numFmtId="179" fontId="19" fillId="0" borderId="0" xfId="2" applyNumberFormat="1" applyFont="1" applyFill="1" applyAlignment="1" applyProtection="1">
      <alignment horizontal="left" vertical="center"/>
    </xf>
    <xf numFmtId="14" fontId="15" fillId="0" borderId="0" xfId="2" applyNumberFormat="1" applyFont="1" applyProtection="1"/>
    <xf numFmtId="14" fontId="14" fillId="0" borderId="0" xfId="2" applyNumberFormat="1" applyFont="1" applyFill="1" applyBorder="1" applyAlignment="1" applyProtection="1">
      <alignment horizontal="left"/>
    </xf>
    <xf numFmtId="179" fontId="14" fillId="0" borderId="0" xfId="2" applyNumberFormat="1" applyFont="1" applyFill="1" applyBorder="1" applyAlignment="1" applyProtection="1">
      <alignment horizontal="left"/>
    </xf>
    <xf numFmtId="179" fontId="20" fillId="0" borderId="0" xfId="2" applyNumberFormat="1" applyFont="1" applyFill="1" applyAlignment="1" applyProtection="1">
      <alignment vertical="center"/>
    </xf>
    <xf numFmtId="179" fontId="15" fillId="0" borderId="0" xfId="2" applyNumberFormat="1" applyFont="1" applyFill="1" applyBorder="1" applyProtection="1"/>
    <xf numFmtId="179" fontId="14" fillId="0" borderId="5" xfId="5" applyNumberFormat="1" applyFont="1" applyFill="1" applyBorder="1" applyAlignment="1" applyProtection="1">
      <alignment horizontal="left"/>
    </xf>
    <xf numFmtId="179" fontId="21" fillId="0" borderId="0" xfId="5" applyNumberFormat="1" applyFont="1" applyFill="1" applyBorder="1" applyProtection="1"/>
    <xf numFmtId="180" fontId="21" fillId="0" borderId="0" xfId="5" applyNumberFormat="1" applyFont="1" applyFill="1" applyBorder="1" applyAlignment="1" applyProtection="1">
      <alignment vertical="center"/>
    </xf>
    <xf numFmtId="179" fontId="14" fillId="0" borderId="0" xfId="5" applyNumberFormat="1" applyFont="1" applyFill="1" applyBorder="1" applyAlignment="1" applyProtection="1">
      <alignment horizontal="left"/>
    </xf>
    <xf numFmtId="179" fontId="14" fillId="0" borderId="6" xfId="5" applyNumberFormat="1" applyFont="1" applyFill="1" applyBorder="1" applyProtection="1"/>
    <xf numFmtId="179" fontId="18" fillId="0" borderId="0" xfId="2" quotePrefix="1" applyNumberFormat="1" applyFont="1" applyFill="1" applyBorder="1" applyAlignment="1" applyProtection="1">
      <alignment vertical="center"/>
    </xf>
    <xf numFmtId="179" fontId="18" fillId="0" borderId="0" xfId="2" applyNumberFormat="1" applyFont="1" applyFill="1" applyBorder="1" applyAlignment="1" applyProtection="1">
      <alignment horizontal="center" vertical="center"/>
    </xf>
    <xf numFmtId="14" fontId="14" fillId="0" borderId="0" xfId="2" applyNumberFormat="1" applyFont="1" applyFill="1" applyBorder="1" applyAlignment="1" applyProtection="1">
      <alignment horizontal="left" vertical="center"/>
    </xf>
    <xf numFmtId="179" fontId="14" fillId="0" borderId="0" xfId="2" applyNumberFormat="1" applyFont="1" applyFill="1" applyBorder="1" applyAlignment="1" applyProtection="1">
      <alignment horizontal="left" vertical="center"/>
    </xf>
    <xf numFmtId="182" fontId="15" fillId="0" borderId="0" xfId="2" applyNumberFormat="1" applyFont="1" applyProtection="1"/>
    <xf numFmtId="181" fontId="21" fillId="0" borderId="5" xfId="5" applyNumberFormat="1" applyFont="1" applyFill="1" applyBorder="1" applyAlignment="1" applyProtection="1">
      <alignment horizontal="left" vertical="center"/>
    </xf>
    <xf numFmtId="183" fontId="21" fillId="0" borderId="0" xfId="5" applyNumberFormat="1" applyFont="1" applyFill="1" applyBorder="1" applyProtection="1"/>
    <xf numFmtId="183" fontId="21" fillId="0" borderId="0" xfId="5" applyNumberFormat="1" applyFont="1" applyBorder="1" applyAlignment="1" applyProtection="1">
      <alignment vertical="center"/>
    </xf>
    <xf numFmtId="182" fontId="21" fillId="0" borderId="0" xfId="5" applyNumberFormat="1" applyFont="1" applyBorder="1" applyAlignment="1" applyProtection="1">
      <alignment vertical="center"/>
    </xf>
    <xf numFmtId="9" fontId="21" fillId="0" borderId="6" xfId="1" applyFont="1" applyFill="1" applyBorder="1" applyProtection="1"/>
    <xf numFmtId="179" fontId="15" fillId="0" borderId="3" xfId="2" applyNumberFormat="1" applyFont="1" applyFill="1" applyBorder="1" applyAlignment="1" applyProtection="1">
      <alignment vertical="center"/>
    </xf>
    <xf numFmtId="179" fontId="15" fillId="0" borderId="4" xfId="2" applyNumberFormat="1" applyFont="1" applyFill="1" applyBorder="1" applyAlignment="1" applyProtection="1">
      <alignment vertical="center"/>
    </xf>
    <xf numFmtId="179" fontId="21" fillId="0" borderId="0" xfId="2" applyNumberFormat="1" applyFont="1" applyFill="1" applyAlignment="1" applyProtection="1">
      <alignment vertical="center"/>
    </xf>
    <xf numFmtId="179" fontId="15" fillId="0" borderId="0" xfId="2" applyNumberFormat="1" applyFont="1" applyFill="1" applyAlignment="1" applyProtection="1">
      <alignment vertical="center"/>
    </xf>
    <xf numFmtId="179" fontId="15" fillId="3" borderId="0" xfId="2" applyNumberFormat="1" applyFont="1" applyFill="1" applyAlignment="1" applyProtection="1">
      <alignment vertical="center"/>
    </xf>
    <xf numFmtId="179" fontId="15" fillId="0" borderId="0" xfId="2" applyNumberFormat="1" applyFont="1" applyAlignment="1" applyProtection="1">
      <alignment vertical="center"/>
    </xf>
    <xf numFmtId="183" fontId="15" fillId="0" borderId="0" xfId="2" applyNumberFormat="1" applyFont="1" applyAlignment="1" applyProtection="1">
      <alignment vertical="center"/>
    </xf>
    <xf numFmtId="180" fontId="15" fillId="0" borderId="0" xfId="2" applyNumberFormat="1" applyFont="1" applyFill="1" applyBorder="1" applyProtection="1"/>
    <xf numFmtId="180" fontId="15" fillId="0" borderId="0" xfId="2" applyNumberFormat="1" applyFont="1" applyAlignment="1" applyProtection="1">
      <alignment vertical="center"/>
    </xf>
    <xf numFmtId="180" fontId="15" fillId="3" borderId="0" xfId="2" applyNumberFormat="1" applyFont="1" applyFill="1" applyAlignment="1" applyProtection="1">
      <alignment vertical="center"/>
    </xf>
    <xf numFmtId="179" fontId="15" fillId="3" borderId="0" xfId="2" applyNumberFormat="1" applyFont="1" applyFill="1" applyBorder="1" applyProtection="1"/>
    <xf numFmtId="179" fontId="15" fillId="0" borderId="5" xfId="2" applyNumberFormat="1" applyFont="1" applyFill="1" applyBorder="1" applyAlignment="1" applyProtection="1">
      <alignment vertical="center"/>
    </xf>
    <xf numFmtId="179" fontId="15" fillId="0" borderId="0" xfId="2" applyNumberFormat="1" applyFont="1" applyFill="1" applyBorder="1" applyAlignment="1" applyProtection="1">
      <alignment vertical="center"/>
    </xf>
    <xf numFmtId="180" fontId="15" fillId="0" borderId="0" xfId="2" applyNumberFormat="1" applyFont="1" applyFill="1" applyBorder="1" applyAlignment="1" applyProtection="1">
      <alignment vertical="center"/>
    </xf>
    <xf numFmtId="179" fontId="15" fillId="0" borderId="6" xfId="2" applyNumberFormat="1" applyFont="1" applyFill="1" applyBorder="1" applyAlignment="1" applyProtection="1">
      <alignment vertical="center"/>
    </xf>
    <xf numFmtId="180" fontId="15" fillId="0" borderId="1" xfId="2" applyNumberFormat="1" applyFont="1" applyFill="1" applyBorder="1" applyAlignment="1" applyProtection="1">
      <alignment vertical="center"/>
    </xf>
    <xf numFmtId="179" fontId="15" fillId="0" borderId="8" xfId="2" applyNumberFormat="1" applyFont="1" applyFill="1" applyBorder="1" applyAlignment="1" applyProtection="1">
      <alignment vertical="center"/>
    </xf>
    <xf numFmtId="179" fontId="15" fillId="0" borderId="0" xfId="5" applyNumberFormat="1" applyFont="1" applyFill="1" applyBorder="1" applyProtection="1"/>
    <xf numFmtId="179" fontId="15" fillId="0" borderId="0" xfId="5" applyNumberFormat="1" applyFont="1" applyFill="1" applyProtection="1"/>
    <xf numFmtId="179" fontId="14" fillId="0" borderId="0" xfId="5" applyNumberFormat="1" applyFont="1" applyFill="1" applyBorder="1" applyAlignment="1" applyProtection="1">
      <alignment horizontal="left" vertical="center"/>
    </xf>
    <xf numFmtId="182" fontId="15" fillId="0" borderId="0" xfId="5" applyNumberFormat="1" applyFont="1" applyFill="1" applyBorder="1" applyProtection="1"/>
    <xf numFmtId="179" fontId="18" fillId="0" borderId="2" xfId="2" applyNumberFormat="1" applyFont="1" applyFill="1" applyBorder="1" applyAlignment="1" applyProtection="1">
      <alignment vertical="center"/>
    </xf>
    <xf numFmtId="182" fontId="15" fillId="0" borderId="0" xfId="2" applyNumberFormat="1" applyFont="1" applyFill="1" applyBorder="1" applyAlignment="1" applyProtection="1">
      <alignment vertical="center"/>
    </xf>
    <xf numFmtId="179" fontId="15" fillId="3" borderId="0" xfId="5" applyNumberFormat="1" applyFont="1" applyFill="1" applyBorder="1" applyProtection="1"/>
    <xf numFmtId="179" fontId="15" fillId="0" borderId="7" xfId="2" applyNumberFormat="1" applyFont="1" applyFill="1" applyBorder="1" applyAlignment="1" applyProtection="1">
      <alignment vertical="center"/>
    </xf>
    <xf numFmtId="179" fontId="15" fillId="0" borderId="1" xfId="2" applyNumberFormat="1" applyFont="1" applyFill="1" applyBorder="1" applyAlignment="1" applyProtection="1">
      <alignment vertical="center"/>
    </xf>
    <xf numFmtId="179" fontId="15" fillId="0" borderId="5" xfId="5" applyNumberFormat="1" applyFont="1" applyFill="1" applyBorder="1" applyProtection="1"/>
    <xf numFmtId="179" fontId="15" fillId="0" borderId="6" xfId="5" applyNumberFormat="1" applyFont="1" applyFill="1" applyBorder="1" applyProtection="1"/>
    <xf numFmtId="179" fontId="18" fillId="0" borderId="0" xfId="5" applyNumberFormat="1" applyFont="1" applyFill="1" applyBorder="1" applyAlignment="1" applyProtection="1">
      <alignment vertical="center"/>
    </xf>
    <xf numFmtId="179" fontId="15" fillId="0" borderId="0" xfId="5" applyNumberFormat="1" applyFont="1" applyFill="1" applyBorder="1" applyAlignment="1" applyProtection="1">
      <alignment vertical="center"/>
      <protection locked="0"/>
    </xf>
    <xf numFmtId="179" fontId="15" fillId="0" borderId="0" xfId="5" applyNumberFormat="1" applyFont="1" applyFill="1" applyBorder="1" applyAlignment="1" applyProtection="1">
      <alignment vertical="center"/>
    </xf>
    <xf numFmtId="179" fontId="21" fillId="0" borderId="0" xfId="5" applyNumberFormat="1" applyFont="1" applyFill="1" applyBorder="1" applyAlignment="1" applyProtection="1">
      <alignment vertical="center"/>
    </xf>
    <xf numFmtId="179" fontId="15" fillId="0" borderId="5" xfId="5" applyNumberFormat="1" applyFont="1" applyBorder="1" applyProtection="1"/>
    <xf numFmtId="179" fontId="15" fillId="0" borderId="0" xfId="5" applyNumberFormat="1" applyFont="1" applyBorder="1" applyProtection="1"/>
    <xf numFmtId="179" fontId="15" fillId="3" borderId="0" xfId="5" applyNumberFormat="1" applyFont="1" applyFill="1" applyBorder="1" applyAlignment="1" applyProtection="1">
      <alignment vertical="center"/>
    </xf>
    <xf numFmtId="181" fontId="15" fillId="0" borderId="5" xfId="5" applyNumberFormat="1" applyFont="1" applyBorder="1" applyAlignment="1" applyProtection="1">
      <alignment vertical="center"/>
    </xf>
    <xf numFmtId="179" fontId="15" fillId="0" borderId="0" xfId="5" applyNumberFormat="1" applyFont="1" applyBorder="1" applyAlignment="1" applyProtection="1">
      <alignment vertical="center"/>
    </xf>
    <xf numFmtId="179" fontId="15" fillId="0" borderId="5" xfId="5" applyNumberFormat="1" applyFont="1" applyBorder="1" applyAlignment="1" applyProtection="1">
      <alignment vertical="center"/>
    </xf>
    <xf numFmtId="181" fontId="15" fillId="0" borderId="5" xfId="5" applyNumberFormat="1" applyFont="1" applyFill="1" applyBorder="1" applyProtection="1"/>
    <xf numFmtId="179" fontId="15" fillId="0" borderId="7" xfId="5" applyNumberFormat="1" applyFont="1" applyFill="1" applyBorder="1" applyProtection="1"/>
    <xf numFmtId="179" fontId="15" fillId="0" borderId="1" xfId="5" applyNumberFormat="1" applyFont="1" applyFill="1" applyBorder="1" applyProtection="1"/>
    <xf numFmtId="179" fontId="15" fillId="0" borderId="8" xfId="5" applyNumberFormat="1" applyFont="1" applyFill="1" applyBorder="1" applyProtection="1"/>
    <xf numFmtId="179" fontId="15" fillId="0" borderId="0" xfId="5" applyNumberFormat="1" applyFont="1" applyAlignment="1" applyProtection="1">
      <alignment horizontal="right"/>
    </xf>
    <xf numFmtId="179" fontId="15" fillId="0" borderId="3" xfId="2" applyNumberFormat="1" applyFont="1" applyFill="1" applyBorder="1" applyAlignment="1" applyProtection="1">
      <alignment vertical="center"/>
      <protection locked="0"/>
    </xf>
    <xf numFmtId="0" fontId="0" fillId="0" borderId="10" xfId="0" applyBorder="1"/>
    <xf numFmtId="177" fontId="15" fillId="0" borderId="0" xfId="4" applyNumberFormat="1" applyFont="1" applyFill="1" applyAlignment="1" applyProtection="1">
      <alignment horizontal="right"/>
    </xf>
    <xf numFmtId="179" fontId="15" fillId="0" borderId="0" xfId="2" applyNumberFormat="1" applyFont="1" applyFill="1" applyBorder="1" applyAlignment="1" applyProtection="1">
      <alignment horizontal="right" vertical="center"/>
    </xf>
    <xf numFmtId="0" fontId="0" fillId="0" borderId="0" xfId="0" applyBorder="1"/>
    <xf numFmtId="0" fontId="17" fillId="0" borderId="0" xfId="0" applyFont="1" applyProtection="1"/>
    <xf numFmtId="179" fontId="14" fillId="0" borderId="9" xfId="5" applyNumberFormat="1" applyFont="1" applyFill="1" applyBorder="1" applyAlignment="1" applyProtection="1">
      <alignment horizontal="left" vertical="center"/>
    </xf>
    <xf numFmtId="179" fontId="14" fillId="0" borderId="17" xfId="5" applyNumberFormat="1" applyFont="1" applyFill="1" applyBorder="1" applyAlignment="1" applyProtection="1">
      <alignment horizontal="left" vertical="center"/>
    </xf>
    <xf numFmtId="185" fontId="15" fillId="0" borderId="0" xfId="4" applyNumberFormat="1" applyFont="1" applyFill="1" applyAlignment="1" applyProtection="1">
      <alignment horizontal="right"/>
    </xf>
    <xf numFmtId="0" fontId="0" fillId="0" borderId="0" xfId="0" applyFill="1"/>
    <xf numFmtId="179" fontId="15" fillId="0" borderId="0" xfId="5" applyNumberFormat="1" applyFont="1" applyAlignment="1" applyProtection="1">
      <alignment wrapText="1"/>
    </xf>
    <xf numFmtId="185" fontId="15" fillId="0" borderId="0" xfId="11" applyNumberFormat="1" applyFont="1" applyProtection="1"/>
    <xf numFmtId="181" fontId="15" fillId="0" borderId="0" xfId="5" applyNumberFormat="1" applyFont="1" applyProtection="1"/>
    <xf numFmtId="193" fontId="20" fillId="0" borderId="0" xfId="2" applyNumberFormat="1" applyFont="1" applyFill="1" applyBorder="1" applyAlignment="1" applyProtection="1">
      <alignment vertical="center"/>
    </xf>
    <xf numFmtId="0" fontId="17" fillId="0" borderId="0" xfId="15" applyFont="1" applyFill="1" applyBorder="1" applyAlignment="1">
      <alignment vertical="center"/>
    </xf>
    <xf numFmtId="0" fontId="17" fillId="0" borderId="0" xfId="15" applyFont="1" applyAlignment="1">
      <alignment vertical="center"/>
    </xf>
    <xf numFmtId="1" fontId="17" fillId="0" borderId="0" xfId="15" applyNumberFormat="1" applyFont="1" applyAlignment="1">
      <alignment vertical="center"/>
    </xf>
    <xf numFmtId="0" fontId="22" fillId="0" borderId="0" xfId="15" applyFont="1" applyAlignment="1">
      <alignment vertical="center"/>
    </xf>
    <xf numFmtId="0" fontId="22" fillId="0" borderId="0" xfId="1" applyNumberFormat="1" applyFont="1" applyFill="1" applyAlignment="1" applyProtection="1">
      <alignment vertical="center"/>
    </xf>
    <xf numFmtId="0" fontId="17" fillId="0" borderId="0" xfId="15" applyFont="1" applyFill="1" applyAlignment="1">
      <alignment vertical="center"/>
    </xf>
    <xf numFmtId="9" fontId="17" fillId="0" borderId="0" xfId="1" applyFont="1" applyFill="1" applyAlignment="1" applyProtection="1">
      <alignment vertical="center"/>
    </xf>
    <xf numFmtId="0" fontId="23" fillId="0" borderId="0" xfId="15" applyFont="1" applyAlignment="1">
      <alignment vertical="center"/>
    </xf>
    <xf numFmtId="1" fontId="17" fillId="0" borderId="0" xfId="15" applyNumberFormat="1" applyFont="1" applyFill="1" applyAlignment="1" applyProtection="1">
      <alignment vertical="center"/>
    </xf>
    <xf numFmtId="1" fontId="23" fillId="0" borderId="0" xfId="15" applyNumberFormat="1" applyFont="1" applyAlignment="1">
      <alignment vertical="center"/>
    </xf>
    <xf numFmtId="188" fontId="17" fillId="0" borderId="0" xfId="15" applyNumberFormat="1" applyFont="1" applyFill="1" applyAlignment="1" applyProtection="1">
      <alignment vertical="center"/>
    </xf>
    <xf numFmtId="9" fontId="17" fillId="0" borderId="0" xfId="1" applyFont="1" applyAlignment="1">
      <alignment vertical="center"/>
    </xf>
    <xf numFmtId="186" fontId="17" fillId="0" borderId="0" xfId="15" applyNumberFormat="1" applyFont="1" applyAlignment="1">
      <alignment vertical="center"/>
    </xf>
    <xf numFmtId="0" fontId="22" fillId="0" borderId="0" xfId="15" applyFont="1" applyFill="1" applyAlignment="1" applyProtection="1">
      <alignment vertical="center"/>
    </xf>
    <xf numFmtId="1" fontId="22" fillId="0" borderId="0" xfId="15" applyNumberFormat="1" applyFont="1" applyFill="1" applyAlignment="1" applyProtection="1">
      <alignment vertical="center"/>
    </xf>
    <xf numFmtId="0" fontId="17" fillId="0" borderId="0" xfId="15" applyFont="1" applyFill="1" applyAlignment="1" applyProtection="1">
      <alignment vertical="center"/>
    </xf>
    <xf numFmtId="1" fontId="17" fillId="0" borderId="0" xfId="15" applyNumberFormat="1" applyFont="1" applyFill="1" applyAlignment="1" applyProtection="1">
      <alignment horizontal="right" vertical="center"/>
    </xf>
    <xf numFmtId="186" fontId="17" fillId="0" borderId="0" xfId="15" applyNumberFormat="1" applyFont="1" applyFill="1" applyAlignment="1" applyProtection="1">
      <alignment vertical="center"/>
    </xf>
    <xf numFmtId="9" fontId="17" fillId="0" borderId="0" xfId="9" applyFont="1" applyFill="1" applyAlignment="1" applyProtection="1">
      <alignment vertical="center"/>
    </xf>
    <xf numFmtId="0" fontId="17" fillId="0" borderId="0" xfId="15" applyFont="1" applyFill="1" applyAlignment="1" applyProtection="1">
      <alignment vertical="center"/>
      <protection locked="0"/>
    </xf>
    <xf numFmtId="0" fontId="17" fillId="0" borderId="0" xfId="15" applyFont="1" applyAlignment="1" applyProtection="1">
      <alignment vertical="center"/>
    </xf>
    <xf numFmtId="0" fontId="17" fillId="3" borderId="0" xfId="15" applyFont="1" applyFill="1" applyAlignment="1" applyProtection="1">
      <alignment vertical="center"/>
    </xf>
    <xf numFmtId="2" fontId="17" fillId="3" borderId="0" xfId="15" applyNumberFormat="1" applyFont="1" applyFill="1" applyAlignment="1" applyProtection="1">
      <alignment vertical="center"/>
      <protection locked="0"/>
    </xf>
    <xf numFmtId="1" fontId="17" fillId="3" borderId="0" xfId="15" applyNumberFormat="1" applyFont="1" applyFill="1" applyAlignment="1" applyProtection="1">
      <alignment vertical="center"/>
      <protection locked="0"/>
    </xf>
    <xf numFmtId="1" fontId="17" fillId="3" borderId="0" xfId="15" applyNumberFormat="1" applyFont="1" applyFill="1" applyAlignment="1">
      <alignment vertical="center"/>
    </xf>
    <xf numFmtId="0" fontId="6" fillId="0" borderId="0" xfId="15" applyAlignment="1">
      <alignment vertical="center"/>
    </xf>
    <xf numFmtId="1" fontId="6" fillId="0" borderId="0" xfId="15" applyNumberFormat="1" applyAlignment="1">
      <alignment vertical="center"/>
    </xf>
    <xf numFmtId="1" fontId="22" fillId="0" borderId="0" xfId="15" applyNumberFormat="1" applyFont="1" applyAlignment="1">
      <alignment vertical="center"/>
    </xf>
    <xf numFmtId="1" fontId="17" fillId="2" borderId="0" xfId="15" applyNumberFormat="1" applyFont="1" applyFill="1" applyAlignment="1" applyProtection="1">
      <alignment vertical="center"/>
    </xf>
    <xf numFmtId="186" fontId="17" fillId="2" borderId="0" xfId="15" applyNumberFormat="1" applyFont="1" applyFill="1" applyAlignment="1" applyProtection="1">
      <alignment vertical="center"/>
    </xf>
    <xf numFmtId="9" fontId="17" fillId="2" borderId="0" xfId="9" applyFont="1" applyFill="1" applyAlignment="1" applyProtection="1">
      <alignment vertical="center"/>
    </xf>
    <xf numFmtId="0" fontId="17" fillId="2" borderId="0" xfId="15" applyFont="1" applyFill="1" applyAlignment="1">
      <alignment vertical="center"/>
    </xf>
    <xf numFmtId="0" fontId="22" fillId="0" borderId="0" xfId="15" applyFont="1" applyFill="1" applyAlignment="1">
      <alignment vertical="center"/>
    </xf>
    <xf numFmtId="179" fontId="12" fillId="0" borderId="0" xfId="2" applyNumberFormat="1" applyFont="1" applyFill="1" applyAlignment="1" applyProtection="1">
      <alignment horizontal="center" vertical="center"/>
    </xf>
    <xf numFmtId="1" fontId="17" fillId="2" borderId="0" xfId="15" applyNumberFormat="1" applyFont="1" applyFill="1" applyAlignment="1">
      <alignment horizontal="right" vertical="center"/>
    </xf>
    <xf numFmtId="197" fontId="17" fillId="0" borderId="0" xfId="11" applyNumberFormat="1" applyFont="1" applyFill="1" applyBorder="1" applyProtection="1"/>
    <xf numFmtId="197" fontId="17" fillId="0" borderId="0" xfId="3" applyNumberFormat="1" applyFont="1"/>
    <xf numFmtId="197" fontId="17" fillId="0" borderId="0" xfId="11" applyNumberFormat="1" applyFont="1" applyBorder="1" applyProtection="1"/>
    <xf numFmtId="197" fontId="17" fillId="0" borderId="0" xfId="11" applyNumberFormat="1" applyFont="1" applyProtection="1"/>
    <xf numFmtId="197" fontId="17" fillId="0" borderId="0" xfId="11" applyNumberFormat="1" applyFont="1" applyAlignment="1" applyProtection="1">
      <alignment horizontal="right"/>
    </xf>
    <xf numFmtId="197" fontId="17" fillId="0" borderId="0" xfId="3" applyNumberFormat="1" applyFont="1" applyAlignment="1">
      <alignment horizontal="right"/>
    </xf>
    <xf numFmtId="197" fontId="22" fillId="0" borderId="0" xfId="11" applyNumberFormat="1" applyFont="1" applyFill="1" applyAlignment="1" applyProtection="1">
      <alignment horizontal="right"/>
    </xf>
    <xf numFmtId="197" fontId="17" fillId="0" borderId="0" xfId="11" applyNumberFormat="1" applyFont="1" applyAlignment="1" applyProtection="1">
      <alignment wrapText="1"/>
    </xf>
    <xf numFmtId="197" fontId="17" fillId="0" borderId="0" xfId="3" applyNumberFormat="1" applyFont="1" applyAlignment="1">
      <alignment horizontal="right" wrapText="1"/>
    </xf>
    <xf numFmtId="197" fontId="17" fillId="0" borderId="0" xfId="3" applyNumberFormat="1" applyFont="1" applyFill="1" applyAlignment="1">
      <alignment horizontal="right"/>
    </xf>
    <xf numFmtId="0" fontId="6" fillId="0" borderId="0" xfId="15" applyAlignment="1">
      <alignment horizontal="right" vertical="center"/>
    </xf>
    <xf numFmtId="9" fontId="17" fillId="0" borderId="0" xfId="15" applyNumberFormat="1" applyFont="1" applyAlignment="1">
      <alignment horizontal="right" vertical="center"/>
    </xf>
    <xf numFmtId="0" fontId="17" fillId="0" borderId="0" xfId="15" applyFont="1" applyAlignment="1">
      <alignment horizontal="right" vertical="center"/>
    </xf>
    <xf numFmtId="2" fontId="17" fillId="0" borderId="0" xfId="15" applyNumberFormat="1" applyFont="1" applyFill="1" applyAlignment="1" applyProtection="1">
      <alignment vertical="center"/>
    </xf>
    <xf numFmtId="197" fontId="26" fillId="0" borderId="0" xfId="4" applyNumberFormat="1" applyFont="1" applyFill="1" applyBorder="1" applyAlignment="1" applyProtection="1">
      <alignment vertical="center"/>
    </xf>
    <xf numFmtId="197" fontId="26" fillId="0" borderId="36" xfId="6" applyNumberFormat="1" applyFont="1" applyFill="1" applyBorder="1" applyAlignment="1" applyProtection="1">
      <alignment vertical="center"/>
    </xf>
    <xf numFmtId="197" fontId="26" fillId="0" borderId="15" xfId="4" applyNumberFormat="1" applyFont="1" applyFill="1" applyBorder="1" applyAlignment="1" applyProtection="1">
      <alignment vertical="center"/>
    </xf>
    <xf numFmtId="197" fontId="26" fillId="0" borderId="37" xfId="6" applyNumberFormat="1" applyFont="1" applyFill="1" applyBorder="1" applyAlignment="1" applyProtection="1">
      <alignment vertical="center"/>
    </xf>
    <xf numFmtId="197" fontId="27" fillId="0" borderId="38" xfId="6" applyNumberFormat="1" applyFont="1" applyFill="1" applyBorder="1" applyAlignment="1" applyProtection="1">
      <alignment vertical="center"/>
    </xf>
    <xf numFmtId="197" fontId="26" fillId="0" borderId="39" xfId="4" applyNumberFormat="1" applyFont="1" applyFill="1" applyBorder="1" applyAlignment="1" applyProtection="1">
      <alignment vertical="center"/>
    </xf>
    <xf numFmtId="197" fontId="27" fillId="0" borderId="39" xfId="4" applyNumberFormat="1" applyFont="1" applyFill="1" applyBorder="1" applyAlignment="1" applyProtection="1">
      <alignment vertical="center"/>
    </xf>
    <xf numFmtId="197" fontId="27" fillId="0" borderId="40" xfId="6" applyNumberFormat="1" applyFont="1" applyFill="1" applyBorder="1" applyAlignment="1" applyProtection="1">
      <alignment vertical="center"/>
    </xf>
    <xf numFmtId="197" fontId="26" fillId="0" borderId="26" xfId="4" applyNumberFormat="1" applyFont="1" applyFill="1" applyBorder="1" applyAlignment="1" applyProtection="1">
      <alignment vertical="center"/>
    </xf>
    <xf numFmtId="197" fontId="27" fillId="0" borderId="26" xfId="4" applyNumberFormat="1" applyFont="1" applyFill="1" applyBorder="1" applyAlignment="1" applyProtection="1">
      <alignment vertical="center"/>
    </xf>
    <xf numFmtId="197" fontId="26" fillId="0" borderId="0" xfId="4" applyNumberFormat="1" applyFont="1" applyFill="1" applyAlignment="1" applyProtection="1">
      <alignment vertical="center"/>
    </xf>
    <xf numFmtId="197" fontId="26" fillId="3" borderId="0" xfId="4" applyNumberFormat="1" applyFont="1" applyFill="1" applyAlignment="1" applyProtection="1">
      <alignment vertical="center"/>
      <protection locked="0"/>
    </xf>
    <xf numFmtId="179" fontId="15" fillId="0" borderId="0" xfId="2" applyNumberFormat="1" applyFont="1" applyAlignment="1" applyProtection="1">
      <alignment horizontal="right" vertical="center"/>
    </xf>
    <xf numFmtId="182" fontId="15" fillId="0" borderId="49" xfId="2" applyNumberFormat="1" applyFont="1" applyBorder="1" applyProtection="1"/>
    <xf numFmtId="0" fontId="29" fillId="0" borderId="0" xfId="15" applyFont="1" applyAlignment="1">
      <alignment vertical="center"/>
    </xf>
    <xf numFmtId="1" fontId="29" fillId="0" borderId="0" xfId="0" applyNumberFormat="1" applyFont="1" applyAlignment="1">
      <alignment vertical="center"/>
    </xf>
    <xf numFmtId="0" fontId="29" fillId="0" borderId="0" xfId="15" applyFont="1" applyFill="1" applyAlignment="1">
      <alignment vertical="center"/>
    </xf>
    <xf numFmtId="1" fontId="29" fillId="0" borderId="0" xfId="15" applyNumberFormat="1" applyFont="1" applyAlignment="1">
      <alignment vertical="center"/>
    </xf>
    <xf numFmtId="0" fontId="30" fillId="0" borderId="0" xfId="15" applyFont="1" applyAlignment="1">
      <alignment vertical="center"/>
    </xf>
    <xf numFmtId="1" fontId="30" fillId="0" borderId="0" xfId="15" applyNumberFormat="1" applyFont="1" applyAlignment="1">
      <alignment vertical="center"/>
    </xf>
    <xf numFmtId="1" fontId="29" fillId="0" borderId="0" xfId="15" applyNumberFormat="1" applyFont="1" applyFill="1" applyAlignment="1">
      <alignment vertical="center"/>
    </xf>
    <xf numFmtId="0" fontId="28" fillId="0" borderId="0" xfId="15" applyFont="1" applyFill="1" applyAlignment="1">
      <alignment vertical="center"/>
    </xf>
    <xf numFmtId="197" fontId="29" fillId="0" borderId="0" xfId="15" applyNumberFormat="1" applyFont="1" applyFill="1" applyAlignment="1">
      <alignment vertical="center"/>
    </xf>
    <xf numFmtId="9" fontId="29" fillId="0" borderId="0" xfId="1" applyFont="1" applyFill="1" applyAlignment="1">
      <alignment vertical="center"/>
    </xf>
    <xf numFmtId="0" fontId="29" fillId="0" borderId="0" xfId="15" applyFont="1" applyFill="1" applyAlignment="1" applyProtection="1">
      <alignment vertical="center"/>
    </xf>
    <xf numFmtId="0" fontId="29" fillId="0" borderId="0" xfId="15" applyFont="1" applyFill="1" applyAlignment="1" applyProtection="1">
      <alignment horizontal="right" vertical="center"/>
    </xf>
    <xf numFmtId="0" fontId="29" fillId="0" borderId="5" xfId="15" applyFont="1" applyFill="1" applyBorder="1" applyAlignment="1">
      <alignment vertical="center"/>
    </xf>
    <xf numFmtId="1" fontId="28" fillId="0" borderId="9" xfId="0" applyNumberFormat="1" applyFont="1" applyBorder="1" applyAlignment="1">
      <alignment vertical="center"/>
    </xf>
    <xf numFmtId="0" fontId="29" fillId="0" borderId="17" xfId="15" applyFont="1" applyFill="1" applyBorder="1" applyAlignment="1" applyProtection="1">
      <alignment vertical="center"/>
    </xf>
    <xf numFmtId="1" fontId="28" fillId="0" borderId="5" xfId="0" applyNumberFormat="1" applyFont="1" applyBorder="1" applyAlignment="1">
      <alignment vertical="center"/>
    </xf>
    <xf numFmtId="1" fontId="29" fillId="0" borderId="5" xfId="0" applyNumberFormat="1" applyFont="1" applyBorder="1" applyAlignment="1">
      <alignment vertical="center"/>
    </xf>
    <xf numFmtId="1" fontId="29" fillId="0" borderId="0" xfId="0" applyNumberFormat="1" applyFont="1" applyBorder="1" applyAlignment="1">
      <alignment vertical="center"/>
    </xf>
    <xf numFmtId="1" fontId="29" fillId="0" borderId="14" xfId="0" applyNumberFormat="1" applyFont="1" applyBorder="1" applyAlignment="1">
      <alignment vertical="center"/>
    </xf>
    <xf numFmtId="1" fontId="29" fillId="0" borderId="6" xfId="0" applyNumberFormat="1" applyFont="1" applyBorder="1" applyAlignment="1">
      <alignment vertical="center"/>
    </xf>
    <xf numFmtId="1" fontId="31" fillId="0" borderId="0" xfId="0" applyNumberFormat="1" applyFont="1" applyBorder="1" applyAlignment="1">
      <alignment vertical="center"/>
    </xf>
    <xf numFmtId="188" fontId="29" fillId="0" borderId="14" xfId="0" applyNumberFormat="1" applyFont="1" applyBorder="1" applyAlignment="1">
      <alignment vertical="center"/>
    </xf>
    <xf numFmtId="1" fontId="31" fillId="0" borderId="6" xfId="0" applyNumberFormat="1" applyFont="1" applyBorder="1" applyAlignment="1">
      <alignment vertical="center"/>
    </xf>
    <xf numFmtId="186" fontId="29" fillId="0" borderId="14" xfId="0" applyNumberFormat="1" applyFont="1" applyBorder="1" applyAlignment="1">
      <alignment vertical="center"/>
    </xf>
    <xf numFmtId="9" fontId="29" fillId="0" borderId="14" xfId="1" applyFont="1" applyBorder="1" applyAlignment="1">
      <alignment vertical="center"/>
    </xf>
    <xf numFmtId="1" fontId="29" fillId="0" borderId="7" xfId="0" applyNumberFormat="1" applyFont="1" applyBorder="1" applyAlignment="1">
      <alignment vertical="center"/>
    </xf>
    <xf numFmtId="1" fontId="29" fillId="0" borderId="1" xfId="0" applyNumberFormat="1" applyFont="1" applyBorder="1" applyAlignment="1">
      <alignment vertical="center"/>
    </xf>
    <xf numFmtId="1" fontId="29" fillId="0" borderId="8" xfId="0" applyNumberFormat="1" applyFont="1" applyBorder="1" applyAlignment="1">
      <alignment vertical="center"/>
    </xf>
    <xf numFmtId="0" fontId="29" fillId="0" borderId="16" xfId="15" applyFont="1" applyFill="1" applyBorder="1" applyAlignment="1" applyProtection="1">
      <alignment vertical="center"/>
    </xf>
    <xf numFmtId="0" fontId="33" fillId="0" borderId="0" xfId="15" applyFont="1" applyAlignment="1">
      <alignment vertical="center"/>
    </xf>
    <xf numFmtId="197" fontId="29" fillId="0" borderId="5" xfId="15" applyNumberFormat="1" applyFont="1" applyFill="1" applyBorder="1" applyAlignment="1">
      <alignment horizontal="right" vertical="center"/>
    </xf>
    <xf numFmtId="197" fontId="29" fillId="0" borderId="0" xfId="15" applyNumberFormat="1" applyFont="1" applyFill="1" applyBorder="1" applyAlignment="1">
      <alignment vertical="center"/>
    </xf>
    <xf numFmtId="197" fontId="29" fillId="0" borderId="0" xfId="15" applyNumberFormat="1" applyFont="1" applyFill="1" applyBorder="1" applyAlignment="1" applyProtection="1">
      <alignment horizontal="right" vertical="center"/>
    </xf>
    <xf numFmtId="197" fontId="29" fillId="0" borderId="6" xfId="15" applyNumberFormat="1" applyFont="1" applyFill="1" applyBorder="1" applyAlignment="1">
      <alignment vertical="center"/>
    </xf>
    <xf numFmtId="199" fontId="29" fillId="0" borderId="0" xfId="15" applyNumberFormat="1" applyFont="1" applyFill="1" applyBorder="1" applyAlignment="1">
      <alignment vertical="center"/>
    </xf>
    <xf numFmtId="197" fontId="29" fillId="0" borderId="5" xfId="15" applyNumberFormat="1" applyFont="1" applyFill="1" applyBorder="1" applyAlignment="1" applyProtection="1">
      <alignment horizontal="right" vertical="center"/>
    </xf>
    <xf numFmtId="197" fontId="29" fillId="0" borderId="0" xfId="15" applyNumberFormat="1" applyFont="1" applyFill="1" applyBorder="1" applyAlignment="1" applyProtection="1">
      <alignment vertical="center"/>
    </xf>
    <xf numFmtId="197" fontId="29" fillId="0" borderId="0" xfId="15" applyNumberFormat="1" applyFont="1" applyFill="1" applyBorder="1" applyAlignment="1">
      <alignment horizontal="right" vertical="center"/>
    </xf>
    <xf numFmtId="186" fontId="29" fillId="0" borderId="0" xfId="15" applyNumberFormat="1" applyFont="1" applyFill="1" applyAlignment="1" applyProtection="1">
      <alignment vertical="center"/>
    </xf>
    <xf numFmtId="9" fontId="29" fillId="0" borderId="0" xfId="9" applyFont="1" applyFill="1" applyAlignment="1" applyProtection="1">
      <alignment vertical="center"/>
    </xf>
    <xf numFmtId="0" fontId="29" fillId="0" borderId="1" xfId="15" applyFont="1" applyBorder="1" applyAlignment="1">
      <alignment vertical="center"/>
    </xf>
    <xf numFmtId="0" fontId="29" fillId="0" borderId="8" xfId="15" applyFont="1" applyBorder="1" applyAlignment="1">
      <alignment vertical="center"/>
    </xf>
    <xf numFmtId="0" fontId="29" fillId="0" borderId="0" xfId="15" applyFont="1" applyAlignment="1">
      <alignment horizontal="right" vertical="center"/>
    </xf>
    <xf numFmtId="1" fontId="29" fillId="0" borderId="17" xfId="0" applyNumberFormat="1" applyFont="1" applyBorder="1" applyAlignment="1">
      <alignment vertical="center"/>
    </xf>
    <xf numFmtId="1" fontId="29" fillId="0" borderId="50" xfId="0" applyNumberFormat="1" applyFont="1" applyBorder="1" applyAlignment="1">
      <alignment vertical="center"/>
    </xf>
    <xf numFmtId="0" fontId="30" fillId="0" borderId="0" xfId="15" applyFont="1" applyAlignment="1">
      <alignment horizontal="right" vertical="center"/>
    </xf>
    <xf numFmtId="1" fontId="29" fillId="0" borderId="0" xfId="15" applyNumberFormat="1" applyFont="1" applyBorder="1" applyAlignment="1">
      <alignment vertical="center"/>
    </xf>
    <xf numFmtId="9" fontId="29" fillId="0" borderId="0" xfId="1" applyFont="1" applyFill="1" applyBorder="1" applyAlignment="1" applyProtection="1">
      <alignment vertical="center"/>
    </xf>
    <xf numFmtId="0" fontId="29" fillId="0" borderId="0" xfId="15" applyFont="1" applyBorder="1" applyAlignment="1">
      <alignment vertical="center"/>
    </xf>
    <xf numFmtId="1" fontId="29" fillId="0" borderId="5" xfId="0" applyNumberFormat="1" applyFont="1" applyFill="1" applyBorder="1" applyAlignment="1" applyProtection="1">
      <alignment vertical="center"/>
    </xf>
    <xf numFmtId="0" fontId="29" fillId="0" borderId="5" xfId="15" applyFont="1" applyFill="1" applyBorder="1" applyAlignment="1">
      <alignment horizontal="right" vertical="center"/>
    </xf>
    <xf numFmtId="0" fontId="29" fillId="0" borderId="0" xfId="15" applyFont="1" applyFill="1" applyBorder="1" applyAlignment="1">
      <alignment vertical="center"/>
    </xf>
    <xf numFmtId="1" fontId="29" fillId="0" borderId="0" xfId="15" applyNumberFormat="1" applyFont="1" applyFill="1" applyBorder="1" applyAlignment="1">
      <alignment vertical="center"/>
    </xf>
    <xf numFmtId="0" fontId="29" fillId="0" borderId="0" xfId="15" applyFont="1" applyFill="1" applyBorder="1" applyAlignment="1">
      <alignment horizontal="right" vertical="center"/>
    </xf>
    <xf numFmtId="0" fontId="29" fillId="0" borderId="6" xfId="15" applyFont="1" applyFill="1" applyBorder="1" applyAlignment="1">
      <alignment vertical="center"/>
    </xf>
    <xf numFmtId="188" fontId="29" fillId="0" borderId="0" xfId="15" applyNumberFormat="1" applyFont="1" applyFill="1" applyBorder="1" applyAlignment="1">
      <alignment vertical="center"/>
    </xf>
    <xf numFmtId="9" fontId="29" fillId="0" borderId="0" xfId="1" applyFont="1" applyFill="1" applyBorder="1" applyAlignment="1">
      <alignment vertical="center"/>
    </xf>
    <xf numFmtId="186" fontId="29" fillId="0" borderId="0" xfId="15" applyNumberFormat="1" applyFont="1" applyFill="1" applyBorder="1" applyAlignment="1">
      <alignment vertical="center"/>
    </xf>
    <xf numFmtId="0" fontId="29" fillId="0" borderId="0" xfId="15" applyFont="1" applyFill="1" applyBorder="1" applyAlignment="1" applyProtection="1">
      <alignment vertical="center"/>
    </xf>
    <xf numFmtId="0" fontId="29" fillId="0" borderId="1" xfId="15" applyFont="1" applyFill="1" applyBorder="1" applyAlignment="1">
      <alignment vertical="center"/>
    </xf>
    <xf numFmtId="0" fontId="29" fillId="0" borderId="8" xfId="15" applyFont="1" applyFill="1" applyBorder="1" applyAlignment="1">
      <alignment vertical="center"/>
    </xf>
    <xf numFmtId="197" fontId="29" fillId="3" borderId="14" xfId="15" applyNumberFormat="1" applyFont="1" applyFill="1" applyBorder="1" applyAlignment="1" applyProtection="1">
      <alignment vertical="center"/>
      <protection locked="0"/>
    </xf>
    <xf numFmtId="2" fontId="29" fillId="3" borderId="14" xfId="15" applyNumberFormat="1" applyFont="1" applyFill="1" applyBorder="1" applyAlignment="1" applyProtection="1">
      <alignment vertical="center"/>
      <protection locked="0"/>
    </xf>
    <xf numFmtId="1" fontId="29" fillId="3" borderId="51" xfId="0" applyNumberFormat="1" applyFont="1" applyFill="1" applyBorder="1" applyAlignment="1" applyProtection="1">
      <alignment vertical="center"/>
      <protection locked="0"/>
    </xf>
    <xf numFmtId="1" fontId="29" fillId="3" borderId="14" xfId="0" applyNumberFormat="1" applyFont="1" applyFill="1" applyBorder="1" applyAlignment="1" applyProtection="1">
      <alignment vertical="center"/>
      <protection locked="0"/>
    </xf>
    <xf numFmtId="0" fontId="29" fillId="0" borderId="6" xfId="15" applyFont="1" applyBorder="1" applyAlignment="1">
      <alignment vertical="center"/>
    </xf>
    <xf numFmtId="0" fontId="29" fillId="0" borderId="0" xfId="15" applyFont="1" applyFill="1" applyBorder="1" applyAlignment="1" applyProtection="1">
      <alignment horizontal="right" vertical="center"/>
    </xf>
    <xf numFmtId="197" fontId="26" fillId="0" borderId="3" xfId="4" applyNumberFormat="1" applyFont="1" applyFill="1" applyBorder="1" applyAlignment="1" applyProtection="1">
      <alignment vertical="center"/>
    </xf>
    <xf numFmtId="197" fontId="26" fillId="0" borderId="3" xfId="4" applyNumberFormat="1" applyFont="1" applyFill="1" applyBorder="1" applyAlignment="1" applyProtection="1">
      <alignment vertical="center"/>
      <protection locked="0"/>
    </xf>
    <xf numFmtId="197" fontId="26" fillId="0" borderId="3" xfId="4" applyNumberFormat="1" applyFont="1" applyFill="1" applyBorder="1" applyAlignment="1" applyProtection="1">
      <alignment horizontal="right" vertical="center"/>
    </xf>
    <xf numFmtId="0" fontId="17" fillId="0" borderId="3" xfId="15" applyFont="1" applyBorder="1" applyAlignment="1">
      <alignment vertical="center"/>
    </xf>
    <xf numFmtId="0" fontId="17" fillId="0" borderId="4" xfId="15" applyFont="1" applyBorder="1" applyAlignment="1">
      <alignment vertical="center"/>
    </xf>
    <xf numFmtId="197" fontId="26" fillId="0" borderId="52" xfId="6" applyNumberFormat="1" applyFont="1" applyFill="1" applyBorder="1" applyAlignment="1" applyProtection="1">
      <alignment horizontal="center" vertical="center"/>
    </xf>
    <xf numFmtId="197" fontId="26" fillId="0" borderId="52" xfId="4" applyNumberFormat="1" applyFont="1" applyFill="1" applyBorder="1" applyAlignment="1" applyProtection="1">
      <alignment vertical="center"/>
    </xf>
    <xf numFmtId="197" fontId="26" fillId="0" borderId="53" xfId="4" applyNumberFormat="1" applyFont="1" applyFill="1" applyBorder="1" applyAlignment="1" applyProtection="1">
      <alignment vertical="center"/>
    </xf>
    <xf numFmtId="197" fontId="27" fillId="0" borderId="54" xfId="4" applyNumberFormat="1" applyFont="1" applyFill="1" applyBorder="1" applyAlignment="1" applyProtection="1">
      <alignment vertical="center"/>
    </xf>
    <xf numFmtId="197" fontId="27" fillId="0" borderId="55" xfId="4" applyNumberFormat="1" applyFont="1" applyFill="1" applyBorder="1" applyAlignment="1" applyProtection="1">
      <alignment vertical="center"/>
    </xf>
    <xf numFmtId="197" fontId="27" fillId="0" borderId="35" xfId="6" applyNumberFormat="1" applyFont="1" applyFill="1" applyBorder="1" applyAlignment="1" applyProtection="1">
      <alignment horizontal="left" vertical="center"/>
    </xf>
    <xf numFmtId="197" fontId="27" fillId="0" borderId="12" xfId="4" applyNumberFormat="1" applyFont="1" applyFill="1" applyBorder="1" applyAlignment="1" applyProtection="1">
      <alignment horizontal="right" vertical="center"/>
    </xf>
    <xf numFmtId="197" fontId="27" fillId="0" borderId="12" xfId="4" applyNumberFormat="1" applyFont="1" applyFill="1" applyBorder="1" applyAlignment="1" applyProtection="1">
      <alignment horizontal="right" vertical="center"/>
      <protection locked="0"/>
    </xf>
    <xf numFmtId="197" fontId="26" fillId="0" borderId="22" xfId="6" applyNumberFormat="1" applyFont="1" applyFill="1" applyBorder="1" applyAlignment="1" applyProtection="1">
      <alignment vertical="center"/>
    </xf>
    <xf numFmtId="0" fontId="29" fillId="0" borderId="3" xfId="15" applyFont="1" applyBorder="1" applyAlignment="1">
      <alignment vertical="center"/>
    </xf>
    <xf numFmtId="197" fontId="29" fillId="0" borderId="56" xfId="15" applyNumberFormat="1" applyFont="1" applyBorder="1" applyAlignment="1">
      <alignment vertical="center"/>
    </xf>
    <xf numFmtId="0" fontId="29" fillId="0" borderId="4" xfId="15" applyFont="1" applyBorder="1" applyAlignment="1">
      <alignment vertical="center"/>
    </xf>
    <xf numFmtId="197" fontId="26" fillId="0" borderId="23" xfId="6" applyNumberFormat="1" applyFont="1" applyFill="1" applyBorder="1" applyAlignment="1" applyProtection="1">
      <alignment vertical="center"/>
    </xf>
    <xf numFmtId="197" fontId="29" fillId="0" borderId="14" xfId="15" applyNumberFormat="1" applyFont="1" applyBorder="1" applyAlignment="1">
      <alignment vertical="center"/>
    </xf>
    <xf numFmtId="197" fontId="26" fillId="0" borderId="24" xfId="6" applyNumberFormat="1" applyFont="1" applyFill="1" applyBorder="1" applyAlignment="1" applyProtection="1">
      <alignment vertical="center"/>
    </xf>
    <xf numFmtId="197" fontId="29" fillId="0" borderId="41" xfId="15" applyNumberFormat="1" applyFont="1" applyBorder="1" applyAlignment="1">
      <alignment vertical="center"/>
    </xf>
    <xf numFmtId="0" fontId="28" fillId="5" borderId="3" xfId="15" applyFont="1" applyFill="1" applyBorder="1" applyAlignment="1">
      <alignment vertical="center"/>
    </xf>
    <xf numFmtId="1" fontId="17" fillId="3" borderId="0" xfId="15" applyNumberFormat="1" applyFont="1" applyFill="1" applyAlignment="1" applyProtection="1">
      <alignment vertical="center"/>
    </xf>
    <xf numFmtId="188" fontId="17" fillId="3" borderId="0" xfId="15" applyNumberFormat="1" applyFont="1" applyFill="1" applyAlignment="1" applyProtection="1">
      <alignment vertical="center"/>
      <protection locked="0"/>
    </xf>
    <xf numFmtId="0" fontId="17" fillId="3" borderId="0" xfId="15" applyFont="1" applyFill="1" applyAlignment="1">
      <alignment vertical="center"/>
    </xf>
    <xf numFmtId="197" fontId="26" fillId="3" borderId="0" xfId="4" applyNumberFormat="1" applyFont="1" applyFill="1" applyAlignment="1" applyProtection="1">
      <alignment vertical="center"/>
    </xf>
    <xf numFmtId="179" fontId="15" fillId="3" borderId="22" xfId="2" applyNumberFormat="1" applyFont="1" applyFill="1" applyBorder="1" applyAlignment="1" applyProtection="1">
      <alignment vertical="center"/>
      <protection locked="0"/>
    </xf>
    <xf numFmtId="179" fontId="15" fillId="3" borderId="2" xfId="2" applyNumberFormat="1" applyFont="1" applyFill="1" applyBorder="1" applyAlignment="1" applyProtection="1">
      <alignment vertical="center"/>
      <protection locked="0"/>
    </xf>
    <xf numFmtId="179" fontId="15" fillId="3" borderId="3" xfId="2" applyNumberFormat="1" applyFont="1" applyFill="1" applyBorder="1" applyAlignment="1" applyProtection="1">
      <alignment vertical="center"/>
      <protection locked="0"/>
    </xf>
    <xf numFmtId="9" fontId="15" fillId="3" borderId="3" xfId="1" applyFont="1" applyFill="1" applyBorder="1" applyAlignment="1" applyProtection="1">
      <alignment horizontal="center" vertical="center"/>
      <protection locked="0"/>
    </xf>
    <xf numFmtId="186" fontId="17" fillId="0" borderId="4" xfId="0" applyNumberFormat="1" applyFont="1" applyBorder="1"/>
    <xf numFmtId="1" fontId="17" fillId="0" borderId="6" xfId="0" applyNumberFormat="1" applyFont="1" applyBorder="1" applyProtection="1"/>
    <xf numFmtId="1" fontId="17" fillId="0" borderId="0" xfId="0" applyNumberFormat="1" applyFont="1"/>
    <xf numFmtId="179" fontId="15" fillId="3" borderId="23" xfId="2" applyNumberFormat="1" applyFont="1" applyFill="1" applyBorder="1" applyAlignment="1" applyProtection="1">
      <alignment vertical="center"/>
      <protection locked="0"/>
    </xf>
    <xf numFmtId="179" fontId="15" fillId="3" borderId="5" xfId="2" applyNumberFormat="1" applyFont="1" applyFill="1" applyBorder="1" applyAlignment="1" applyProtection="1">
      <alignment vertical="center"/>
      <protection locked="0"/>
    </xf>
    <xf numFmtId="179" fontId="15" fillId="3" borderId="0" xfId="2" applyNumberFormat="1" applyFont="1" applyFill="1" applyBorder="1" applyAlignment="1" applyProtection="1">
      <alignment vertical="center"/>
      <protection locked="0"/>
    </xf>
    <xf numFmtId="9" fontId="15" fillId="3" borderId="0" xfId="1" applyFont="1" applyFill="1" applyBorder="1" applyAlignment="1" applyProtection="1">
      <alignment horizontal="center" vertical="center"/>
      <protection locked="0"/>
    </xf>
    <xf numFmtId="186" fontId="17" fillId="0" borderId="6" xfId="0" applyNumberFormat="1" applyFont="1" applyBorder="1"/>
    <xf numFmtId="179" fontId="15" fillId="3" borderId="24" xfId="2" applyNumberFormat="1" applyFont="1" applyFill="1" applyBorder="1" applyAlignment="1" applyProtection="1">
      <alignment vertical="center"/>
      <protection locked="0"/>
    </xf>
    <xf numFmtId="179" fontId="15" fillId="3" borderId="7" xfId="2" applyNumberFormat="1" applyFont="1" applyFill="1" applyBorder="1" applyAlignment="1" applyProtection="1">
      <alignment vertical="center"/>
      <protection locked="0"/>
    </xf>
    <xf numFmtId="179" fontId="15" fillId="3" borderId="1" xfId="2" applyNumberFormat="1" applyFont="1" applyFill="1" applyBorder="1" applyAlignment="1" applyProtection="1">
      <alignment vertical="center"/>
      <protection locked="0"/>
    </xf>
    <xf numFmtId="9" fontId="15" fillId="3" borderId="1" xfId="1" applyFont="1" applyFill="1" applyBorder="1" applyAlignment="1" applyProtection="1">
      <alignment horizontal="center" vertical="center"/>
      <protection locked="0"/>
    </xf>
    <xf numFmtId="186" fontId="17" fillId="0" borderId="8" xfId="0" applyNumberFormat="1" applyFont="1" applyBorder="1"/>
    <xf numFmtId="1" fontId="17" fillId="0" borderId="8" xfId="0" applyNumberFormat="1" applyFont="1" applyBorder="1" applyProtection="1"/>
    <xf numFmtId="193" fontId="15" fillId="6" borderId="0" xfId="4" applyNumberFormat="1" applyFont="1" applyFill="1" applyAlignment="1" applyProtection="1">
      <alignment horizontal="right" vertical="center"/>
    </xf>
    <xf numFmtId="193" fontId="14" fillId="0" borderId="0" xfId="4" applyNumberFormat="1" applyFont="1" applyAlignment="1" applyProtection="1">
      <alignment vertical="center"/>
    </xf>
    <xf numFmtId="193" fontId="14" fillId="5" borderId="11" xfId="4" applyNumberFormat="1" applyFont="1" applyFill="1" applyBorder="1" applyAlignment="1" applyProtection="1">
      <alignment horizontal="left" vertical="center"/>
      <protection locked="0"/>
    </xf>
    <xf numFmtId="193" fontId="15" fillId="5" borderId="13" xfId="4" applyNumberFormat="1" applyFont="1" applyFill="1" applyBorder="1" applyAlignment="1" applyProtection="1">
      <alignment vertical="center"/>
      <protection locked="0"/>
    </xf>
    <xf numFmtId="193" fontId="15" fillId="0" borderId="14" xfId="4" applyNumberFormat="1" applyFont="1" applyBorder="1" applyAlignment="1" applyProtection="1">
      <alignment vertical="center"/>
    </xf>
    <xf numFmtId="193" fontId="15" fillId="0" borderId="0" xfId="4" applyNumberFormat="1" applyFont="1" applyAlignment="1" applyProtection="1">
      <alignment horizontal="right" vertical="center"/>
    </xf>
    <xf numFmtId="196" fontId="15" fillId="0" borderId="0" xfId="4" applyNumberFormat="1" applyFont="1" applyAlignment="1" applyProtection="1">
      <alignment vertical="center"/>
    </xf>
    <xf numFmtId="193" fontId="15" fillId="0" borderId="0" xfId="4" applyNumberFormat="1" applyFont="1" applyFill="1" applyBorder="1" applyAlignment="1" applyProtection="1">
      <alignment vertical="center"/>
    </xf>
    <xf numFmtId="193" fontId="15" fillId="0" borderId="0" xfId="4" applyNumberFormat="1" applyFont="1" applyAlignment="1" applyProtection="1">
      <alignment vertical="center"/>
    </xf>
    <xf numFmtId="193" fontId="15" fillId="0" borderId="15" xfId="4" applyNumberFormat="1" applyFont="1" applyBorder="1" applyAlignment="1" applyProtection="1">
      <alignment vertical="center"/>
    </xf>
    <xf numFmtId="193" fontId="15" fillId="0" borderId="0" xfId="4" applyNumberFormat="1" applyFont="1" applyFill="1" applyBorder="1" applyAlignment="1" applyProtection="1">
      <alignment horizontal="right" vertical="center"/>
    </xf>
    <xf numFmtId="193" fontId="15" fillId="0" borderId="0" xfId="4" applyNumberFormat="1" applyFont="1" applyAlignment="1" applyProtection="1">
      <alignment horizontal="left" vertical="center"/>
    </xf>
    <xf numFmtId="193" fontId="16" fillId="0" borderId="0" xfId="4" applyNumberFormat="1" applyFont="1" applyAlignment="1" applyProtection="1">
      <alignment vertical="center"/>
    </xf>
    <xf numFmtId="193" fontId="15" fillId="0" borderId="14" xfId="4" applyNumberFormat="1" applyFont="1" applyFill="1" applyBorder="1" applyAlignment="1" applyProtection="1">
      <alignment horizontal="center" vertical="center"/>
    </xf>
    <xf numFmtId="194" fontId="15" fillId="0" borderId="0" xfId="4" applyNumberFormat="1" applyFont="1" applyAlignment="1" applyProtection="1">
      <alignment vertical="center"/>
    </xf>
    <xf numFmtId="9" fontId="15" fillId="0" borderId="0" xfId="1" applyFont="1" applyAlignment="1" applyProtection="1">
      <alignment vertical="center"/>
    </xf>
    <xf numFmtId="9" fontId="14" fillId="5" borderId="18" xfId="1" applyFont="1" applyFill="1" applyBorder="1" applyAlignment="1" applyProtection="1">
      <alignment vertical="center"/>
      <protection locked="0"/>
    </xf>
    <xf numFmtId="195" fontId="15" fillId="0" borderId="0" xfId="4" applyNumberFormat="1" applyFont="1" applyAlignment="1" applyProtection="1">
      <alignment horizontal="right" vertical="center"/>
    </xf>
    <xf numFmtId="193" fontId="15" fillId="0" borderId="0" xfId="4" applyNumberFormat="1" applyFont="1" applyFill="1" applyAlignment="1" applyProtection="1">
      <alignment vertical="center"/>
    </xf>
    <xf numFmtId="193" fontId="15" fillId="0" borderId="0" xfId="4" applyNumberFormat="1" applyFont="1" applyFill="1" applyAlignment="1" applyProtection="1">
      <alignment horizontal="right" vertical="center"/>
    </xf>
    <xf numFmtId="193" fontId="15" fillId="0" borderId="0" xfId="4" applyNumberFormat="1" applyFont="1" applyBorder="1" applyAlignment="1" applyProtection="1">
      <alignment vertical="center"/>
    </xf>
    <xf numFmtId="193" fontId="15" fillId="0" borderId="0" xfId="4" applyNumberFormat="1" applyFont="1" applyBorder="1" applyAlignment="1" applyProtection="1">
      <alignment horizontal="right" vertical="center"/>
    </xf>
    <xf numFmtId="193" fontId="16" fillId="0" borderId="0" xfId="4" applyNumberFormat="1" applyFont="1" applyAlignment="1" applyProtection="1">
      <alignment horizontal="right" vertical="center"/>
    </xf>
    <xf numFmtId="195" fontId="15" fillId="0" borderId="0" xfId="4" applyNumberFormat="1" applyFont="1" applyAlignment="1" applyProtection="1">
      <alignment vertical="center"/>
    </xf>
    <xf numFmtId="196" fontId="15" fillId="0" borderId="19" xfId="4" applyNumberFormat="1" applyFont="1" applyBorder="1" applyAlignment="1" applyProtection="1">
      <alignment vertical="center"/>
    </xf>
    <xf numFmtId="193" fontId="15" fillId="3" borderId="0" xfId="4" applyNumberFormat="1" applyFont="1" applyFill="1" applyAlignment="1" applyProtection="1">
      <alignment vertical="center"/>
      <protection locked="0"/>
    </xf>
    <xf numFmtId="193" fontId="15" fillId="0" borderId="19" xfId="4" applyNumberFormat="1" applyFont="1" applyBorder="1" applyAlignment="1" applyProtection="1">
      <alignment vertical="center"/>
    </xf>
    <xf numFmtId="193" fontId="15" fillId="0" borderId="18" xfId="4" applyNumberFormat="1" applyFont="1" applyBorder="1" applyAlignment="1" applyProtection="1">
      <alignment vertical="center"/>
    </xf>
    <xf numFmtId="193" fontId="14" fillId="0" borderId="12" xfId="4" applyNumberFormat="1" applyFont="1" applyBorder="1" applyAlignment="1" applyProtection="1">
      <alignment vertical="center"/>
    </xf>
    <xf numFmtId="193" fontId="14" fillId="0" borderId="13" xfId="4" applyNumberFormat="1" applyFont="1" applyBorder="1" applyAlignment="1" applyProtection="1">
      <alignment vertical="center"/>
    </xf>
    <xf numFmtId="193" fontId="15" fillId="0" borderId="18" xfId="4" applyNumberFormat="1" applyFont="1" applyBorder="1" applyAlignment="1" applyProtection="1">
      <alignment horizontal="right" vertical="center"/>
    </xf>
    <xf numFmtId="193" fontId="14" fillId="0" borderId="18" xfId="4" applyNumberFormat="1" applyFont="1" applyBorder="1" applyAlignment="1" applyProtection="1">
      <alignment vertical="center"/>
    </xf>
    <xf numFmtId="193" fontId="15" fillId="0" borderId="18" xfId="1" applyNumberFormat="1" applyFont="1" applyBorder="1" applyAlignment="1" applyProtection="1">
      <alignment vertical="center"/>
    </xf>
    <xf numFmtId="193" fontId="15" fillId="0" borderId="14" xfId="4" applyNumberFormat="1" applyFont="1" applyBorder="1" applyAlignment="1" applyProtection="1">
      <alignment horizontal="right" vertical="center"/>
    </xf>
    <xf numFmtId="193" fontId="14" fillId="0" borderId="14" xfId="4" applyNumberFormat="1" applyFont="1" applyBorder="1" applyAlignment="1" applyProtection="1">
      <alignment vertical="center"/>
    </xf>
    <xf numFmtId="0" fontId="28" fillId="0" borderId="0" xfId="15" applyFont="1" applyFill="1" applyBorder="1" applyAlignment="1">
      <alignment horizontal="center" vertical="center"/>
    </xf>
    <xf numFmtId="0" fontId="28" fillId="0" borderId="6" xfId="15" applyFont="1" applyFill="1" applyBorder="1" applyAlignment="1">
      <alignment vertical="center"/>
    </xf>
    <xf numFmtId="0" fontId="28" fillId="0" borderId="5" xfId="15" applyFont="1" applyFill="1" applyBorder="1" applyAlignment="1">
      <alignment horizontal="right" vertical="center"/>
    </xf>
    <xf numFmtId="1" fontId="28" fillId="0" borderId="0" xfId="15" applyNumberFormat="1" applyFont="1" applyFill="1" applyBorder="1" applyAlignment="1">
      <alignment horizontal="right" vertical="center"/>
    </xf>
    <xf numFmtId="0" fontId="28" fillId="0" borderId="0" xfId="15" applyFont="1" applyFill="1" applyBorder="1" applyAlignment="1">
      <alignment horizontal="left" vertical="center"/>
    </xf>
    <xf numFmtId="0" fontId="28" fillId="0" borderId="0" xfId="15" applyFont="1" applyFill="1" applyBorder="1" applyAlignment="1">
      <alignment horizontal="right" vertical="center"/>
    </xf>
    <xf numFmtId="1" fontId="28" fillId="5" borderId="3" xfId="15" applyNumberFormat="1" applyFont="1" applyFill="1" applyBorder="1" applyAlignment="1">
      <alignment horizontal="center" vertical="center"/>
    </xf>
    <xf numFmtId="1" fontId="15" fillId="0" borderId="0" xfId="15" applyNumberFormat="1" applyFont="1" applyFill="1" applyAlignment="1" applyProtection="1">
      <alignment horizontal="right" vertical="center"/>
    </xf>
    <xf numFmtId="0" fontId="15" fillId="0" borderId="0" xfId="15" applyFont="1" applyFill="1" applyAlignment="1" applyProtection="1">
      <alignment vertical="center"/>
    </xf>
    <xf numFmtId="188" fontId="15" fillId="0" borderId="0" xfId="15" applyNumberFormat="1" applyFont="1" applyFill="1" applyAlignment="1" applyProtection="1">
      <alignment vertical="center"/>
    </xf>
    <xf numFmtId="1" fontId="17" fillId="0" borderId="2" xfId="15" applyNumberFormat="1" applyFont="1" applyFill="1" applyBorder="1" applyAlignment="1" applyProtection="1">
      <alignment horizontal="right" vertical="center"/>
    </xf>
    <xf numFmtId="1" fontId="17" fillId="0" borderId="3" xfId="15" applyNumberFormat="1" applyFont="1" applyFill="1" applyBorder="1" applyAlignment="1" applyProtection="1">
      <alignment vertical="center"/>
    </xf>
    <xf numFmtId="186" fontId="17" fillId="0" borderId="3" xfId="15" applyNumberFormat="1" applyFont="1" applyFill="1" applyBorder="1" applyAlignment="1" applyProtection="1">
      <alignment vertical="center"/>
    </xf>
    <xf numFmtId="9" fontId="17" fillId="0" borderId="4" xfId="9" applyFont="1" applyFill="1" applyBorder="1" applyAlignment="1" applyProtection="1">
      <alignment vertical="center"/>
    </xf>
    <xf numFmtId="0" fontId="17" fillId="0" borderId="5" xfId="15" applyFont="1" applyFill="1" applyBorder="1" applyAlignment="1" applyProtection="1">
      <alignment vertical="center"/>
    </xf>
    <xf numFmtId="1" fontId="17" fillId="0" borderId="0" xfId="15" applyNumberFormat="1" applyFont="1" applyFill="1" applyBorder="1" applyAlignment="1" applyProtection="1">
      <alignment vertical="center"/>
    </xf>
    <xf numFmtId="186" fontId="17" fillId="0" borderId="0" xfId="15" applyNumberFormat="1" applyFont="1" applyFill="1" applyBorder="1" applyAlignment="1" applyProtection="1">
      <alignment vertical="center"/>
    </xf>
    <xf numFmtId="9" fontId="17" fillId="0" borderId="6" xfId="9" applyFont="1" applyFill="1" applyBorder="1" applyAlignment="1" applyProtection="1">
      <alignment vertical="center"/>
    </xf>
    <xf numFmtId="1" fontId="17" fillId="0" borderId="5" xfId="15" applyNumberFormat="1" applyFont="1" applyFill="1" applyBorder="1" applyAlignment="1" applyProtection="1">
      <alignment vertical="center"/>
    </xf>
    <xf numFmtId="0" fontId="17" fillId="0" borderId="5" xfId="15" applyFont="1" applyFill="1" applyBorder="1" applyAlignment="1" applyProtection="1">
      <alignment vertical="center"/>
      <protection locked="0"/>
    </xf>
    <xf numFmtId="0" fontId="17" fillId="0" borderId="5" xfId="15" applyFont="1" applyBorder="1" applyAlignment="1" applyProtection="1">
      <alignment vertical="center"/>
    </xf>
    <xf numFmtId="0" fontId="17" fillId="0" borderId="7" xfId="15" applyFont="1" applyBorder="1" applyAlignment="1" applyProtection="1">
      <alignment vertical="center"/>
    </xf>
    <xf numFmtId="1" fontId="17" fillId="0" borderId="1" xfId="15" applyNumberFormat="1" applyFont="1" applyFill="1" applyBorder="1" applyAlignment="1" applyProtection="1">
      <alignment vertical="center"/>
    </xf>
    <xf numFmtId="186" fontId="17" fillId="0" borderId="1" xfId="15" applyNumberFormat="1" applyFont="1" applyFill="1" applyBorder="1" applyAlignment="1" applyProtection="1">
      <alignment vertical="center"/>
    </xf>
    <xf numFmtId="9" fontId="17" fillId="0" borderId="8" xfId="9" applyFont="1" applyFill="1" applyBorder="1" applyAlignment="1" applyProtection="1">
      <alignment vertical="center"/>
    </xf>
    <xf numFmtId="0" fontId="22" fillId="0" borderId="9" xfId="15" applyFont="1" applyFill="1" applyBorder="1" applyAlignment="1" applyProtection="1">
      <alignment vertical="center"/>
    </xf>
    <xf numFmtId="1" fontId="22" fillId="0" borderId="17" xfId="15" applyNumberFormat="1" applyFont="1" applyFill="1" applyBorder="1" applyAlignment="1" applyProtection="1">
      <alignment vertical="center"/>
    </xf>
    <xf numFmtId="0" fontId="22" fillId="0" borderId="17" xfId="15" applyFont="1" applyBorder="1" applyAlignment="1">
      <alignment vertical="center"/>
    </xf>
    <xf numFmtId="0" fontId="22" fillId="0" borderId="17" xfId="15" applyFont="1" applyFill="1" applyBorder="1" applyAlignment="1" applyProtection="1">
      <alignment vertical="center"/>
    </xf>
    <xf numFmtId="0" fontId="22" fillId="0" borderId="16" xfId="15" applyFont="1" applyFill="1" applyBorder="1" applyAlignment="1" applyProtection="1">
      <alignment vertical="center"/>
    </xf>
    <xf numFmtId="0" fontId="22" fillId="0" borderId="9" xfId="15" applyFont="1" applyBorder="1" applyAlignment="1">
      <alignment vertical="center"/>
    </xf>
    <xf numFmtId="1" fontId="17" fillId="0" borderId="3" xfId="15" applyNumberFormat="1" applyFont="1" applyBorder="1" applyAlignment="1">
      <alignment vertical="center"/>
    </xf>
    <xf numFmtId="0" fontId="17" fillId="0" borderId="5" xfId="15" applyFont="1" applyBorder="1" applyAlignment="1">
      <alignment vertical="center"/>
    </xf>
    <xf numFmtId="1" fontId="17" fillId="0" borderId="0" xfId="15" applyNumberFormat="1" applyFont="1" applyBorder="1" applyAlignment="1">
      <alignment vertical="center"/>
    </xf>
    <xf numFmtId="0" fontId="17" fillId="0" borderId="0" xfId="15" applyFont="1" applyBorder="1" applyAlignment="1">
      <alignment vertical="center"/>
    </xf>
    <xf numFmtId="0" fontId="17" fillId="0" borderId="7" xfId="15" applyFont="1" applyBorder="1" applyAlignment="1">
      <alignment vertical="center"/>
    </xf>
    <xf numFmtId="1" fontId="17" fillId="2" borderId="0" xfId="15" applyNumberFormat="1" applyFont="1" applyFill="1" applyAlignment="1" applyProtection="1">
      <alignment vertical="center"/>
      <protection locked="0"/>
    </xf>
    <xf numFmtId="188" fontId="17" fillId="2" borderId="0" xfId="15" applyNumberFormat="1" applyFont="1" applyFill="1" applyAlignment="1" applyProtection="1">
      <alignment vertical="center"/>
      <protection locked="0"/>
    </xf>
    <xf numFmtId="2" fontId="17" fillId="2" borderId="0" xfId="15" applyNumberFormat="1" applyFont="1" applyFill="1" applyAlignment="1" applyProtection="1">
      <alignment vertical="center"/>
      <protection locked="0"/>
    </xf>
    <xf numFmtId="2" fontId="17" fillId="0" borderId="0" xfId="15" applyNumberFormat="1" applyFont="1" applyAlignment="1">
      <alignment vertical="center"/>
    </xf>
    <xf numFmtId="188" fontId="17" fillId="0" borderId="0" xfId="15" applyNumberFormat="1" applyFont="1" applyAlignment="1">
      <alignment vertical="center"/>
    </xf>
    <xf numFmtId="188" fontId="17" fillId="0" borderId="0" xfId="15" applyNumberFormat="1" applyFont="1" applyFill="1" applyAlignment="1">
      <alignment vertical="center"/>
    </xf>
    <xf numFmtId="0" fontId="15" fillId="0" borderId="0" xfId="3" applyFont="1"/>
    <xf numFmtId="197" fontId="29" fillId="0" borderId="49" xfId="15" applyNumberFormat="1" applyFont="1" applyBorder="1" applyAlignment="1">
      <alignment horizontal="right" vertical="center"/>
    </xf>
    <xf numFmtId="197" fontId="29" fillId="0" borderId="10" xfId="15" applyNumberFormat="1" applyFont="1" applyBorder="1" applyAlignment="1">
      <alignment vertical="center"/>
    </xf>
    <xf numFmtId="197" fontId="29" fillId="0" borderId="10" xfId="15" applyNumberFormat="1" applyFont="1" applyBorder="1" applyAlignment="1">
      <alignment horizontal="right" vertical="center"/>
    </xf>
    <xf numFmtId="197" fontId="29" fillId="0" borderId="57" xfId="15" applyNumberFormat="1" applyFont="1" applyBorder="1" applyAlignment="1">
      <alignment vertical="center"/>
    </xf>
    <xf numFmtId="197" fontId="29" fillId="0" borderId="31" xfId="15" applyNumberFormat="1" applyFont="1" applyFill="1" applyBorder="1" applyAlignment="1">
      <alignment horizontal="right" vertical="center"/>
    </xf>
    <xf numFmtId="197" fontId="29" fillId="0" borderId="15" xfId="15" applyNumberFormat="1" applyFont="1" applyFill="1" applyBorder="1" applyAlignment="1">
      <alignment vertical="center"/>
    </xf>
    <xf numFmtId="197" fontId="28" fillId="0" borderId="15" xfId="15" applyNumberFormat="1" applyFont="1" applyFill="1" applyBorder="1" applyAlignment="1">
      <alignment vertical="center"/>
    </xf>
    <xf numFmtId="197" fontId="29" fillId="0" borderId="15" xfId="15" applyNumberFormat="1" applyFont="1" applyFill="1" applyBorder="1" applyAlignment="1" applyProtection="1">
      <alignment vertical="center"/>
    </xf>
    <xf numFmtId="197" fontId="29" fillId="0" borderId="15" xfId="15" applyNumberFormat="1" applyFont="1" applyFill="1" applyBorder="1" applyAlignment="1">
      <alignment horizontal="right" vertical="center"/>
    </xf>
    <xf numFmtId="199" fontId="29" fillId="0" borderId="15" xfId="15" applyNumberFormat="1" applyFont="1" applyFill="1" applyBorder="1" applyAlignment="1">
      <alignment vertical="center"/>
    </xf>
    <xf numFmtId="197" fontId="29" fillId="0" borderId="32" xfId="15" applyNumberFormat="1" applyFont="1" applyFill="1" applyBorder="1" applyAlignment="1">
      <alignment vertical="center"/>
    </xf>
    <xf numFmtId="197" fontId="29" fillId="0" borderId="7" xfId="15" applyNumberFormat="1" applyFont="1" applyFill="1" applyBorder="1" applyAlignment="1">
      <alignment horizontal="right" vertical="center"/>
    </xf>
    <xf numFmtId="197" fontId="29" fillId="0" borderId="1" xfId="15" applyNumberFormat="1" applyFont="1" applyFill="1" applyBorder="1" applyAlignment="1">
      <alignment vertical="center"/>
    </xf>
    <xf numFmtId="197" fontId="29" fillId="0" borderId="1" xfId="15" applyNumberFormat="1" applyFont="1" applyFill="1" applyBorder="1" applyAlignment="1" applyProtection="1">
      <alignment vertical="center"/>
    </xf>
    <xf numFmtId="197" fontId="29" fillId="0" borderId="1" xfId="15" applyNumberFormat="1" applyFont="1" applyFill="1" applyBorder="1" applyAlignment="1">
      <alignment horizontal="right" vertical="center"/>
    </xf>
    <xf numFmtId="197" fontId="29" fillId="0" borderId="8" xfId="15" applyNumberFormat="1" applyFont="1" applyFill="1" applyBorder="1" applyAlignment="1">
      <alignment vertical="center"/>
    </xf>
    <xf numFmtId="197" fontId="29" fillId="0" borderId="49" xfId="15" applyNumberFormat="1" applyFont="1" applyFill="1" applyBorder="1" applyAlignment="1">
      <alignment horizontal="right" vertical="center"/>
    </xf>
    <xf numFmtId="197" fontId="29" fillId="0" borderId="10" xfId="15" applyNumberFormat="1" applyFont="1" applyFill="1" applyBorder="1" applyAlignment="1">
      <alignment vertical="center"/>
    </xf>
    <xf numFmtId="0" fontId="29" fillId="5" borderId="4" xfId="15" applyFont="1" applyFill="1" applyBorder="1" applyAlignment="1">
      <alignment vertical="center"/>
    </xf>
    <xf numFmtId="4" fontId="18" fillId="0" borderId="0" xfId="16" applyNumberFormat="1" applyFont="1" applyProtection="1"/>
    <xf numFmtId="4" fontId="15" fillId="0" borderId="0" xfId="16" applyNumberFormat="1" applyFont="1"/>
    <xf numFmtId="14" fontId="15" fillId="0" borderId="0" xfId="16" applyNumberFormat="1" applyFont="1" applyFill="1" applyAlignment="1" applyProtection="1"/>
    <xf numFmtId="4" fontId="37" fillId="0" borderId="0" xfId="16" applyNumberFormat="1" applyFont="1"/>
    <xf numFmtId="4" fontId="15" fillId="0" borderId="0" xfId="16" applyNumberFormat="1" applyFont="1" applyFill="1"/>
    <xf numFmtId="4" fontId="15" fillId="0" borderId="0" xfId="16" applyNumberFormat="1" applyFont="1" applyFill="1" applyProtection="1"/>
    <xf numFmtId="4" fontId="15" fillId="0" borderId="0" xfId="16" applyNumberFormat="1" applyFont="1" applyFill="1" applyProtection="1">
      <protection locked="0"/>
    </xf>
    <xf numFmtId="4" fontId="38" fillId="0" borderId="0" xfId="16" applyNumberFormat="1" applyFont="1"/>
    <xf numFmtId="3" fontId="15" fillId="0" borderId="0" xfId="16" applyNumberFormat="1" applyFont="1" applyFill="1" applyBorder="1" applyProtection="1"/>
    <xf numFmtId="4" fontId="15" fillId="0" borderId="0" xfId="16" applyNumberFormat="1" applyFont="1" applyBorder="1"/>
    <xf numFmtId="11" fontId="15" fillId="0" borderId="0" xfId="16" applyNumberFormat="1" applyFont="1" applyFill="1" applyProtection="1"/>
    <xf numFmtId="4" fontId="15" fillId="0" borderId="0" xfId="16" applyNumberFormat="1" applyFont="1" applyProtection="1"/>
    <xf numFmtId="4" fontId="14" fillId="0" borderId="0" xfId="16" applyNumberFormat="1" applyFont="1" applyFill="1" applyBorder="1" applyAlignment="1" applyProtection="1">
      <protection locked="0"/>
    </xf>
    <xf numFmtId="11" fontId="15" fillId="0" borderId="0" xfId="16" applyNumberFormat="1" applyFont="1"/>
    <xf numFmtId="1" fontId="15" fillId="0" borderId="0" xfId="16" applyNumberFormat="1" applyFont="1"/>
    <xf numFmtId="4" fontId="38" fillId="0" borderId="1" xfId="16" applyNumberFormat="1" applyFont="1" applyBorder="1"/>
    <xf numFmtId="4" fontId="15" fillId="0" borderId="1" xfId="16" applyNumberFormat="1" applyFont="1" applyBorder="1"/>
    <xf numFmtId="4" fontId="15" fillId="0" borderId="0" xfId="16" applyNumberFormat="1" applyFont="1" applyAlignment="1">
      <alignment horizontal="right"/>
    </xf>
    <xf numFmtId="3" fontId="15" fillId="0" borderId="0" xfId="16" applyNumberFormat="1" applyFont="1" applyBorder="1"/>
    <xf numFmtId="3" fontId="15" fillId="0" borderId="6" xfId="16" applyNumberFormat="1" applyFont="1" applyFill="1" applyBorder="1" applyProtection="1"/>
    <xf numFmtId="4" fontId="15" fillId="0" borderId="4" xfId="16" applyNumberFormat="1" applyFont="1" applyBorder="1"/>
    <xf numFmtId="188" fontId="15" fillId="0" borderId="0" xfId="16" applyNumberFormat="1" applyFont="1" applyFill="1" applyProtection="1"/>
    <xf numFmtId="4" fontId="15" fillId="7" borderId="49" xfId="16" applyNumberFormat="1" applyFont="1" applyFill="1" applyBorder="1" applyProtection="1">
      <protection locked="0"/>
    </xf>
    <xf numFmtId="4" fontId="15" fillId="7" borderId="10" xfId="16" applyNumberFormat="1" applyFont="1" applyFill="1" applyBorder="1" applyProtection="1">
      <protection locked="0"/>
    </xf>
    <xf numFmtId="4" fontId="15" fillId="0" borderId="6" xfId="16" applyNumberFormat="1" applyFont="1" applyBorder="1"/>
    <xf numFmtId="202" fontId="15" fillId="0" borderId="0" xfId="16" applyNumberFormat="1" applyFont="1" applyFill="1" applyBorder="1" applyProtection="1"/>
    <xf numFmtId="1" fontId="15" fillId="0" borderId="0" xfId="16" applyNumberFormat="1" applyFont="1" applyFill="1" applyProtection="1"/>
    <xf numFmtId="201" fontId="15" fillId="0" borderId="0" xfId="16" applyNumberFormat="1" applyFont="1"/>
    <xf numFmtId="11" fontId="15" fillId="5" borderId="5" xfId="16" applyNumberFormat="1" applyFont="1" applyFill="1" applyBorder="1" applyProtection="1">
      <protection locked="0"/>
    </xf>
    <xf numFmtId="11" fontId="15" fillId="5" borderId="0" xfId="16" applyNumberFormat="1" applyFont="1" applyFill="1" applyBorder="1" applyProtection="1">
      <protection locked="0"/>
    </xf>
    <xf numFmtId="4" fontId="15" fillId="0" borderId="6" xfId="16" applyNumberFormat="1" applyFont="1" applyFill="1" applyBorder="1"/>
    <xf numFmtId="11" fontId="15" fillId="0" borderId="31" xfId="16" applyNumberFormat="1" applyFont="1" applyFill="1" applyBorder="1" applyProtection="1"/>
    <xf numFmtId="11" fontId="15" fillId="0" borderId="15" xfId="16" applyNumberFormat="1" applyFont="1" applyFill="1" applyBorder="1" applyProtection="1"/>
    <xf numFmtId="4" fontId="15" fillId="0" borderId="6" xfId="16" applyNumberFormat="1" applyFont="1" applyFill="1" applyBorder="1" applyProtection="1"/>
    <xf numFmtId="11" fontId="15" fillId="0" borderId="0" xfId="16" applyNumberFormat="1" applyFont="1" applyFill="1" applyBorder="1" applyProtection="1"/>
    <xf numFmtId="1" fontId="15" fillId="0" borderId="0" xfId="16" applyNumberFormat="1" applyFont="1" applyFill="1"/>
    <xf numFmtId="1" fontId="15" fillId="5" borderId="5" xfId="16" applyNumberFormat="1" applyFont="1" applyFill="1" applyBorder="1" applyProtection="1">
      <protection locked="0"/>
    </xf>
    <xf numFmtId="1" fontId="15" fillId="5" borderId="0" xfId="16" applyNumberFormat="1" applyFont="1" applyFill="1" applyBorder="1" applyProtection="1">
      <protection locked="0"/>
    </xf>
    <xf numFmtId="1" fontId="15" fillId="0" borderId="6" xfId="16" applyNumberFormat="1" applyFont="1" applyFill="1" applyBorder="1"/>
    <xf numFmtId="1" fontId="15" fillId="0" borderId="5" xfId="16" applyNumberFormat="1" applyFont="1" applyFill="1" applyBorder="1" applyProtection="1"/>
    <xf numFmtId="1" fontId="15" fillId="0" borderId="0" xfId="16" applyNumberFormat="1" applyFont="1" applyFill="1" applyBorder="1" applyProtection="1"/>
    <xf numFmtId="3" fontId="15" fillId="0" borderId="0" xfId="16" applyNumberFormat="1" applyFont="1" applyFill="1"/>
    <xf numFmtId="3" fontId="15" fillId="0" borderId="0" xfId="16" applyNumberFormat="1" applyFont="1" applyFill="1" applyProtection="1"/>
    <xf numFmtId="1" fontId="15" fillId="0" borderId="5" xfId="16" applyNumberFormat="1" applyFont="1" applyBorder="1"/>
    <xf numFmtId="1" fontId="15" fillId="0" borderId="0" xfId="16" applyNumberFormat="1" applyFont="1" applyBorder="1"/>
    <xf numFmtId="1" fontId="15" fillId="0" borderId="6" xfId="16" applyNumberFormat="1" applyFont="1" applyBorder="1"/>
    <xf numFmtId="187" fontId="15" fillId="5" borderId="5" xfId="16" applyNumberFormat="1" applyFont="1" applyFill="1" applyBorder="1" applyProtection="1">
      <protection locked="0"/>
    </xf>
    <xf numFmtId="187" fontId="15" fillId="5" borderId="0" xfId="16" applyNumberFormat="1" applyFont="1" applyFill="1" applyBorder="1" applyProtection="1">
      <protection locked="0"/>
    </xf>
    <xf numFmtId="1" fontId="15" fillId="7" borderId="5" xfId="16" applyNumberFormat="1" applyFont="1" applyFill="1" applyBorder="1" applyProtection="1">
      <protection locked="0"/>
    </xf>
    <xf numFmtId="1" fontId="15" fillId="7" borderId="0" xfId="16" applyNumberFormat="1" applyFont="1" applyFill="1" applyBorder="1" applyProtection="1">
      <protection locked="0"/>
    </xf>
    <xf numFmtId="11" fontId="15" fillId="0" borderId="5" xfId="16" applyNumberFormat="1" applyFont="1" applyBorder="1"/>
    <xf numFmtId="11" fontId="15" fillId="0" borderId="0" xfId="16" applyNumberFormat="1" applyFont="1" applyBorder="1"/>
    <xf numFmtId="11" fontId="15" fillId="0" borderId="5" xfId="16" applyNumberFormat="1" applyFont="1" applyFill="1" applyBorder="1" applyProtection="1"/>
    <xf numFmtId="4" fontId="15" fillId="0" borderId="5" xfId="16" applyNumberFormat="1" applyFont="1" applyBorder="1"/>
    <xf numFmtId="4" fontId="15" fillId="7" borderId="5" xfId="16" applyNumberFormat="1" applyFont="1" applyFill="1" applyBorder="1" applyProtection="1">
      <protection locked="0"/>
    </xf>
    <xf numFmtId="4" fontId="15" fillId="7" borderId="0" xfId="16" applyNumberFormat="1" applyFont="1" applyFill="1" applyBorder="1" applyProtection="1">
      <protection locked="0"/>
    </xf>
    <xf numFmtId="201" fontId="15" fillId="0" borderId="0" xfId="16" applyNumberFormat="1" applyFont="1" applyFill="1" applyProtection="1"/>
    <xf numFmtId="201" fontId="15" fillId="8" borderId="5" xfId="16" applyNumberFormat="1" applyFont="1" applyFill="1" applyBorder="1" applyProtection="1"/>
    <xf numFmtId="201" fontId="15" fillId="8" borderId="0" xfId="16" applyNumberFormat="1" applyFont="1" applyFill="1" applyBorder="1" applyProtection="1"/>
    <xf numFmtId="4" fontId="15" fillId="8" borderId="5" xfId="16" applyNumberFormat="1" applyFont="1" applyFill="1" applyBorder="1" applyProtection="1"/>
    <xf numFmtId="4" fontId="15" fillId="8" borderId="0" xfId="16" applyNumberFormat="1" applyFont="1" applyFill="1" applyBorder="1" applyProtection="1"/>
    <xf numFmtId="11" fontId="15" fillId="2" borderId="5" xfId="16" applyNumberFormat="1" applyFont="1" applyFill="1" applyBorder="1"/>
    <xf numFmtId="11" fontId="15" fillId="2" borderId="0" xfId="16" applyNumberFormat="1" applyFont="1" applyFill="1" applyBorder="1"/>
    <xf numFmtId="11" fontId="15" fillId="2" borderId="5" xfId="16" applyNumberFormat="1" applyFont="1" applyFill="1" applyBorder="1" applyProtection="1"/>
    <xf numFmtId="11" fontId="15" fillId="2" borderId="0" xfId="16" applyNumberFormat="1" applyFont="1" applyFill="1" applyBorder="1" applyProtection="1"/>
    <xf numFmtId="4" fontId="15" fillId="0" borderId="5" xfId="16" applyNumberFormat="1" applyFont="1" applyFill="1" applyBorder="1" applyProtection="1"/>
    <xf numFmtId="4" fontId="15" fillId="0" borderId="0" xfId="16" applyNumberFormat="1" applyFont="1" applyFill="1" applyBorder="1" applyProtection="1"/>
    <xf numFmtId="4" fontId="18" fillId="0" borderId="0" xfId="16" applyNumberFormat="1" applyFont="1"/>
    <xf numFmtId="11" fontId="15" fillId="0" borderId="6" xfId="16" applyNumberFormat="1" applyFont="1" applyBorder="1"/>
    <xf numFmtId="11" fontId="15" fillId="0" borderId="6" xfId="16" applyNumberFormat="1" applyFont="1" applyFill="1" applyBorder="1"/>
    <xf numFmtId="11" fontId="15" fillId="9" borderId="7" xfId="16" applyNumberFormat="1" applyFont="1" applyFill="1" applyBorder="1"/>
    <xf numFmtId="11" fontId="15" fillId="9" borderId="1" xfId="16" applyNumberFormat="1" applyFont="1" applyFill="1" applyBorder="1"/>
    <xf numFmtId="4" fontId="15" fillId="0" borderId="8" xfId="16" applyNumberFormat="1" applyFont="1" applyFill="1" applyBorder="1"/>
    <xf numFmtId="11" fontId="15" fillId="0" borderId="7" xfId="16" applyNumberFormat="1" applyFont="1" applyFill="1" applyBorder="1" applyProtection="1"/>
    <xf numFmtId="11" fontId="15" fillId="0" borderId="1" xfId="16" applyNumberFormat="1" applyFont="1" applyFill="1" applyBorder="1" applyProtection="1"/>
    <xf numFmtId="11" fontId="15" fillId="0" borderId="8" xfId="16" applyNumberFormat="1" applyFont="1" applyBorder="1"/>
    <xf numFmtId="197" fontId="9" fillId="0" borderId="0" xfId="16" applyNumberFormat="1" applyFont="1" applyFill="1" applyBorder="1" applyAlignment="1" applyProtection="1">
      <alignment vertical="center"/>
    </xf>
    <xf numFmtId="4" fontId="15" fillId="0" borderId="10" xfId="16" applyNumberFormat="1" applyFont="1" applyFill="1" applyBorder="1" applyProtection="1"/>
    <xf numFmtId="1" fontId="15" fillId="0" borderId="10" xfId="16" applyNumberFormat="1" applyFont="1" applyFill="1" applyBorder="1" applyProtection="1"/>
    <xf numFmtId="4" fontId="15" fillId="5" borderId="0" xfId="16" applyNumberFormat="1" applyFont="1" applyFill="1"/>
    <xf numFmtId="4" fontId="15" fillId="0" borderId="15" xfId="16" applyNumberFormat="1" applyFont="1" applyBorder="1"/>
    <xf numFmtId="4" fontId="15" fillId="0" borderId="42" xfId="16" applyNumberFormat="1" applyFont="1" applyBorder="1"/>
    <xf numFmtId="11" fontId="15" fillId="0" borderId="43" xfId="16" applyNumberFormat="1" applyFont="1" applyBorder="1"/>
    <xf numFmtId="3" fontId="15" fillId="5" borderId="0" xfId="16" applyNumberFormat="1" applyFont="1" applyFill="1" applyBorder="1" applyProtection="1"/>
    <xf numFmtId="4" fontId="15" fillId="5" borderId="0" xfId="16" applyNumberFormat="1" applyFont="1" applyFill="1" applyProtection="1"/>
    <xf numFmtId="201" fontId="15" fillId="5" borderId="0" xfId="16" applyNumberFormat="1" applyFont="1" applyFill="1"/>
    <xf numFmtId="1" fontId="15" fillId="5" borderId="0" xfId="16" applyNumberFormat="1" applyFont="1" applyFill="1" applyProtection="1"/>
    <xf numFmtId="187" fontId="15" fillId="5" borderId="0" xfId="16" applyNumberFormat="1" applyFont="1" applyFill="1" applyBorder="1" applyProtection="1"/>
    <xf numFmtId="201" fontId="15" fillId="5" borderId="0" xfId="16" applyNumberFormat="1" applyFont="1" applyFill="1" applyProtection="1"/>
    <xf numFmtId="3" fontId="15" fillId="0" borderId="0" xfId="16" applyNumberFormat="1" applyFont="1"/>
    <xf numFmtId="203" fontId="9" fillId="5" borderId="0" xfId="16" applyNumberFormat="1" applyFont="1" applyFill="1" applyBorder="1" applyAlignment="1" applyProtection="1">
      <alignment vertical="center"/>
    </xf>
    <xf numFmtId="200" fontId="29" fillId="0" borderId="0" xfId="15" applyNumberFormat="1" applyFont="1" applyFill="1" applyBorder="1" applyAlignment="1">
      <alignment vertical="center"/>
    </xf>
    <xf numFmtId="0" fontId="41" fillId="0" borderId="0" xfId="15" applyFont="1" applyAlignment="1">
      <alignment vertical="center"/>
    </xf>
    <xf numFmtId="1" fontId="41" fillId="0" borderId="0" xfId="15" applyNumberFormat="1" applyFont="1" applyAlignment="1">
      <alignment vertical="center"/>
    </xf>
    <xf numFmtId="1" fontId="42" fillId="0" borderId="0" xfId="15" applyNumberFormat="1" applyFont="1" applyAlignment="1">
      <alignment vertical="center"/>
    </xf>
    <xf numFmtId="0" fontId="42" fillId="0" borderId="0" xfId="15" applyFont="1" applyAlignment="1">
      <alignment vertical="center"/>
    </xf>
    <xf numFmtId="0" fontId="41" fillId="0" borderId="0" xfId="15" applyFont="1" applyAlignment="1">
      <alignment horizontal="left" vertical="center"/>
    </xf>
    <xf numFmtId="193" fontId="14" fillId="0" borderId="0" xfId="4" applyNumberFormat="1" applyFont="1" applyAlignment="1" applyProtection="1">
      <alignment horizontal="center" vertical="center"/>
    </xf>
    <xf numFmtId="193" fontId="14" fillId="0" borderId="19" xfId="4" applyNumberFormat="1" applyFont="1" applyBorder="1" applyAlignment="1" applyProtection="1">
      <alignment horizontal="center" vertical="center"/>
    </xf>
    <xf numFmtId="197" fontId="29" fillId="0" borderId="3" xfId="4" applyNumberFormat="1" applyFont="1" applyFill="1" applyBorder="1" applyAlignment="1" applyProtection="1">
      <alignment vertical="center"/>
      <protection locked="0"/>
    </xf>
    <xf numFmtId="197" fontId="29" fillId="0" borderId="3" xfId="4" applyNumberFormat="1" applyFont="1" applyFill="1" applyBorder="1" applyAlignment="1" applyProtection="1">
      <alignment vertical="center"/>
    </xf>
    <xf numFmtId="197" fontId="29" fillId="0" borderId="3" xfId="4" applyNumberFormat="1" applyFont="1" applyFill="1" applyBorder="1" applyAlignment="1" applyProtection="1">
      <alignment horizontal="right" vertical="center"/>
    </xf>
    <xf numFmtId="197" fontId="28" fillId="0" borderId="35" xfId="6" applyNumberFormat="1" applyFont="1" applyFill="1" applyBorder="1" applyAlignment="1" applyProtection="1">
      <alignment horizontal="left" vertical="center"/>
    </xf>
    <xf numFmtId="197" fontId="28" fillId="0" borderId="12" xfId="4" applyNumberFormat="1" applyFont="1" applyFill="1" applyBorder="1" applyAlignment="1" applyProtection="1">
      <alignment horizontal="right" vertical="center"/>
    </xf>
    <xf numFmtId="197" fontId="28" fillId="0" borderId="12" xfId="4" applyNumberFormat="1" applyFont="1" applyFill="1" applyBorder="1" applyAlignment="1" applyProtection="1">
      <alignment horizontal="right" vertical="center"/>
      <protection locked="0"/>
    </xf>
    <xf numFmtId="197" fontId="29" fillId="0" borderId="52" xfId="6" applyNumberFormat="1" applyFont="1" applyFill="1" applyBorder="1" applyAlignment="1" applyProtection="1">
      <alignment horizontal="center" vertical="center"/>
    </xf>
    <xf numFmtId="197" fontId="29" fillId="0" borderId="36" xfId="6" applyNumberFormat="1" applyFont="1" applyFill="1" applyBorder="1" applyAlignment="1" applyProtection="1">
      <alignment vertical="center"/>
    </xf>
    <xf numFmtId="197" fontId="29" fillId="0" borderId="0" xfId="4" applyNumberFormat="1" applyFont="1" applyFill="1" applyBorder="1" applyAlignment="1" applyProtection="1">
      <alignment vertical="center"/>
    </xf>
    <xf numFmtId="197" fontId="29" fillId="0" borderId="15" xfId="4" applyNumberFormat="1" applyFont="1" applyFill="1" applyBorder="1" applyAlignment="1" applyProtection="1">
      <alignment vertical="center"/>
    </xf>
    <xf numFmtId="197" fontId="29" fillId="0" borderId="52" xfId="4" applyNumberFormat="1" applyFont="1" applyFill="1" applyBorder="1" applyAlignment="1" applyProtection="1">
      <alignment vertical="center"/>
    </xf>
    <xf numFmtId="197" fontId="29" fillId="0" borderId="37" xfId="6" applyNumberFormat="1" applyFont="1" applyFill="1" applyBorder="1" applyAlignment="1" applyProtection="1">
      <alignment vertical="center"/>
    </xf>
    <xf numFmtId="197" fontId="28" fillId="0" borderId="38" xfId="6" applyNumberFormat="1" applyFont="1" applyFill="1" applyBorder="1" applyAlignment="1" applyProtection="1">
      <alignment vertical="center"/>
    </xf>
    <xf numFmtId="197" fontId="29" fillId="0" borderId="39" xfId="4" applyNumberFormat="1" applyFont="1" applyFill="1" applyBorder="1" applyAlignment="1" applyProtection="1">
      <alignment vertical="center"/>
    </xf>
    <xf numFmtId="197" fontId="28" fillId="0" borderId="39" xfId="4" applyNumberFormat="1" applyFont="1" applyFill="1" applyBorder="1" applyAlignment="1" applyProtection="1">
      <alignment vertical="center"/>
    </xf>
    <xf numFmtId="197" fontId="28" fillId="0" borderId="54" xfId="4" applyNumberFormat="1" applyFont="1" applyFill="1" applyBorder="1" applyAlignment="1" applyProtection="1">
      <alignment vertical="center"/>
    </xf>
    <xf numFmtId="197" fontId="28" fillId="0" borderId="6" xfId="4" applyNumberFormat="1" applyFont="1" applyFill="1" applyBorder="1" applyAlignment="1" applyProtection="1">
      <alignment vertical="center"/>
    </xf>
    <xf numFmtId="197" fontId="28" fillId="0" borderId="40" xfId="6" applyNumberFormat="1" applyFont="1" applyFill="1" applyBorder="1" applyAlignment="1" applyProtection="1">
      <alignment vertical="center"/>
    </xf>
    <xf numFmtId="197" fontId="29" fillId="0" borderId="26" xfId="4" applyNumberFormat="1" applyFont="1" applyFill="1" applyBorder="1" applyAlignment="1" applyProtection="1">
      <alignment vertical="center"/>
    </xf>
    <xf numFmtId="197" fontId="28" fillId="0" borderId="26" xfId="4" applyNumberFormat="1" applyFont="1" applyFill="1" applyBorder="1" applyAlignment="1" applyProtection="1">
      <alignment vertical="center"/>
    </xf>
    <xf numFmtId="197" fontId="28" fillId="0" borderId="55" xfId="4" applyNumberFormat="1" applyFont="1" applyFill="1" applyBorder="1" applyAlignment="1" applyProtection="1">
      <alignment vertical="center"/>
    </xf>
    <xf numFmtId="197" fontId="29" fillId="3" borderId="0" xfId="4" applyNumberFormat="1" applyFont="1" applyFill="1" applyAlignment="1" applyProtection="1">
      <alignment vertical="center"/>
      <protection locked="0"/>
    </xf>
    <xf numFmtId="197" fontId="29" fillId="0" borderId="45" xfId="4" applyNumberFormat="1" applyFont="1" applyFill="1" applyBorder="1" applyAlignment="1" applyProtection="1">
      <alignment vertical="center"/>
    </xf>
    <xf numFmtId="197" fontId="29" fillId="0" borderId="42" xfId="4" applyNumberFormat="1" applyFont="1" applyFill="1" applyBorder="1" applyAlignment="1" applyProtection="1">
      <alignment vertical="center"/>
    </xf>
    <xf numFmtId="197" fontId="29" fillId="0" borderId="21" xfId="4" applyNumberFormat="1" applyFont="1" applyFill="1" applyBorder="1" applyAlignment="1" applyProtection="1">
      <alignment vertical="center"/>
    </xf>
    <xf numFmtId="197" fontId="29" fillId="0" borderId="15" xfId="4" applyNumberFormat="1" applyFont="1" applyFill="1" applyBorder="1" applyAlignment="1" applyProtection="1">
      <alignment horizontal="right" vertical="center"/>
    </xf>
    <xf numFmtId="197" fontId="29" fillId="0" borderId="46" xfId="4" applyNumberFormat="1" applyFont="1" applyFill="1" applyBorder="1" applyAlignment="1" applyProtection="1">
      <alignment vertical="center"/>
    </xf>
    <xf numFmtId="197" fontId="29" fillId="0" borderId="43" xfId="4" applyNumberFormat="1" applyFont="1" applyFill="1" applyBorder="1" applyAlignment="1" applyProtection="1">
      <alignment vertical="center"/>
    </xf>
    <xf numFmtId="197" fontId="29" fillId="0" borderId="19" xfId="4" applyNumberFormat="1" applyFont="1" applyFill="1" applyBorder="1" applyAlignment="1" applyProtection="1">
      <alignment vertical="center"/>
    </xf>
    <xf numFmtId="197" fontId="29" fillId="0" borderId="0" xfId="4" applyNumberFormat="1" applyFont="1" applyFill="1" applyBorder="1" applyAlignment="1" applyProtection="1">
      <alignment horizontal="right" vertical="center"/>
    </xf>
    <xf numFmtId="197" fontId="29" fillId="0" borderId="43" xfId="4" applyNumberFormat="1" applyFont="1" applyFill="1" applyBorder="1" applyAlignment="1" applyProtection="1">
      <alignment horizontal="right" vertical="center"/>
    </xf>
    <xf numFmtId="197" fontId="29" fillId="0" borderId="47" xfId="4" applyNumberFormat="1" applyFont="1" applyFill="1" applyBorder="1" applyAlignment="1" applyProtection="1">
      <alignment vertical="center"/>
    </xf>
    <xf numFmtId="197" fontId="29" fillId="0" borderId="44" xfId="4" applyNumberFormat="1" applyFont="1" applyFill="1" applyBorder="1" applyAlignment="1" applyProtection="1">
      <alignment vertical="center"/>
    </xf>
    <xf numFmtId="197" fontId="29" fillId="0" borderId="18" xfId="4" applyNumberFormat="1" applyFont="1" applyFill="1" applyBorder="1" applyAlignment="1" applyProtection="1">
      <alignment vertical="center"/>
    </xf>
    <xf numFmtId="197" fontId="29" fillId="0" borderId="10" xfId="4" applyNumberFormat="1" applyFont="1" applyFill="1" applyBorder="1" applyAlignment="1" applyProtection="1">
      <alignment horizontal="right" vertical="center"/>
    </xf>
    <xf numFmtId="197" fontId="29" fillId="0" borderId="44" xfId="4" applyNumberFormat="1" applyFont="1" applyFill="1" applyBorder="1" applyAlignment="1" applyProtection="1">
      <alignment horizontal="right" vertical="center"/>
    </xf>
    <xf numFmtId="197" fontId="29" fillId="0" borderId="10" xfId="4" applyNumberFormat="1" applyFont="1" applyFill="1" applyBorder="1" applyAlignment="1" applyProtection="1">
      <alignment vertical="center"/>
    </xf>
    <xf numFmtId="197" fontId="14" fillId="0" borderId="0" xfId="2" applyNumberFormat="1" applyFont="1" applyFill="1" applyBorder="1" applyAlignment="1" applyProtection="1">
      <alignment horizontal="right" vertical="center"/>
    </xf>
    <xf numFmtId="1" fontId="17" fillId="0" borderId="12" xfId="15" applyNumberFormat="1" applyFont="1" applyBorder="1" applyAlignment="1">
      <alignment vertical="center"/>
    </xf>
    <xf numFmtId="0" fontId="17" fillId="0" borderId="11" xfId="15" applyFont="1" applyBorder="1" applyAlignment="1">
      <alignment horizontal="right" vertical="center"/>
    </xf>
    <xf numFmtId="0" fontId="17" fillId="0" borderId="12" xfId="0" applyFont="1" applyBorder="1" applyAlignment="1">
      <alignment horizontal="right"/>
    </xf>
    <xf numFmtId="0" fontId="17" fillId="0" borderId="13" xfId="0" applyFont="1" applyBorder="1" applyAlignment="1">
      <alignment horizontal="right"/>
    </xf>
    <xf numFmtId="197" fontId="17" fillId="0" borderId="0" xfId="6" applyNumberFormat="1" applyFont="1" applyFill="1" applyBorder="1" applyAlignment="1" applyProtection="1">
      <alignment horizontal="left" vertical="center"/>
    </xf>
    <xf numFmtId="197" fontId="17" fillId="0" borderId="0" xfId="4" applyNumberFormat="1" applyFont="1" applyFill="1" applyBorder="1" applyAlignment="1" applyProtection="1">
      <alignment horizontal="right" vertical="center"/>
    </xf>
    <xf numFmtId="197" fontId="17" fillId="0" borderId="0" xfId="4" applyNumberFormat="1" applyFont="1" applyFill="1" applyBorder="1" applyAlignment="1" applyProtection="1">
      <alignment horizontal="right" vertical="center"/>
      <protection locked="0"/>
    </xf>
    <xf numFmtId="0" fontId="17" fillId="0" borderId="0" xfId="15" applyFont="1" applyBorder="1" applyAlignment="1">
      <alignment horizontal="right" vertical="center"/>
    </xf>
    <xf numFmtId="0" fontId="17" fillId="0" borderId="0" xfId="0" applyFont="1" applyBorder="1" applyAlignment="1">
      <alignment horizontal="right"/>
    </xf>
    <xf numFmtId="0" fontId="17" fillId="0" borderId="0" xfId="0" applyFont="1" applyBorder="1"/>
    <xf numFmtId="188" fontId="15" fillId="0" borderId="0" xfId="0" applyNumberFormat="1" applyFont="1" applyFill="1" applyBorder="1" applyAlignment="1">
      <alignment horizontal="left" vertical="center"/>
    </xf>
    <xf numFmtId="1" fontId="15" fillId="0" borderId="0" xfId="0" applyNumberFormat="1" applyFont="1" applyFill="1" applyBorder="1" applyAlignment="1">
      <alignment horizontal="left" vertical="center"/>
    </xf>
    <xf numFmtId="0" fontId="28" fillId="2" borderId="2" xfId="15" applyFont="1" applyFill="1" applyBorder="1" applyAlignment="1">
      <alignment horizontal="center" vertical="center"/>
    </xf>
    <xf numFmtId="0" fontId="28" fillId="2" borderId="3" xfId="15" applyFont="1" applyFill="1" applyBorder="1" applyAlignment="1">
      <alignment horizontal="center" vertical="center"/>
    </xf>
    <xf numFmtId="0" fontId="28" fillId="2" borderId="4" xfId="15" applyFont="1" applyFill="1" applyBorder="1" applyAlignment="1">
      <alignment horizontal="center" vertical="center"/>
    </xf>
    <xf numFmtId="1" fontId="28" fillId="0" borderId="3" xfId="0" applyNumberFormat="1" applyFont="1" applyBorder="1" applyAlignment="1">
      <alignment horizontal="center" vertical="center"/>
    </xf>
    <xf numFmtId="0" fontId="28" fillId="2" borderId="5" xfId="15" applyFont="1" applyFill="1" applyBorder="1" applyAlignment="1">
      <alignment horizontal="center" vertical="center"/>
    </xf>
    <xf numFmtId="0" fontId="28" fillId="2" borderId="0" xfId="15" applyFont="1" applyFill="1" applyBorder="1" applyAlignment="1">
      <alignment horizontal="center" vertical="center"/>
    </xf>
    <xf numFmtId="0" fontId="28" fillId="2" borderId="6" xfId="15" applyFont="1" applyFill="1" applyBorder="1" applyAlignment="1">
      <alignment horizontal="center" vertical="center"/>
    </xf>
    <xf numFmtId="3" fontId="15" fillId="0" borderId="0" xfId="16" applyNumberFormat="1" applyFont="1" applyFill="1" applyAlignment="1" applyProtection="1"/>
    <xf numFmtId="1" fontId="44" fillId="0" borderId="0" xfId="3" applyNumberFormat="1" applyFont="1" applyFill="1" applyBorder="1" applyAlignment="1">
      <alignment horizontal="right" vertical="center" wrapText="1"/>
    </xf>
    <xf numFmtId="197" fontId="17" fillId="0" borderId="0" xfId="11" applyNumberFormat="1" applyFont="1" applyFill="1" applyProtection="1"/>
    <xf numFmtId="0" fontId="15" fillId="0" borderId="0" xfId="0" applyFont="1" applyAlignment="1">
      <alignment horizontal="center"/>
    </xf>
    <xf numFmtId="197" fontId="22" fillId="0" borderId="0" xfId="11" quotePrefix="1" applyNumberFormat="1" applyFont="1" applyFill="1" applyAlignment="1" applyProtection="1"/>
    <xf numFmtId="197" fontId="17" fillId="0" borderId="0" xfId="3" applyNumberFormat="1" applyFont="1" applyAlignment="1"/>
    <xf numFmtId="197" fontId="29" fillId="0" borderId="69" xfId="4" applyNumberFormat="1" applyFont="1" applyFill="1" applyBorder="1" applyAlignment="1" applyProtection="1">
      <alignment vertical="center"/>
    </xf>
    <xf numFmtId="197" fontId="29" fillId="0" borderId="48" xfId="4" applyNumberFormat="1" applyFont="1" applyFill="1" applyBorder="1" applyAlignment="1" applyProtection="1">
      <alignment horizontal="right" vertical="center"/>
    </xf>
    <xf numFmtId="197" fontId="29" fillId="0" borderId="5" xfId="6" applyNumberFormat="1" applyFont="1" applyFill="1" applyBorder="1" applyAlignment="1" applyProtection="1">
      <alignment vertical="center"/>
    </xf>
    <xf numFmtId="199" fontId="29" fillId="0" borderId="45" xfId="4" applyNumberFormat="1" applyFont="1" applyFill="1" applyBorder="1" applyAlignment="1" applyProtection="1">
      <alignment vertical="center"/>
    </xf>
    <xf numFmtId="199" fontId="29" fillId="0" borderId="15" xfId="4" applyNumberFormat="1" applyFont="1" applyFill="1" applyBorder="1" applyAlignment="1" applyProtection="1">
      <alignment vertical="center"/>
    </xf>
    <xf numFmtId="199" fontId="29" fillId="0" borderId="42" xfId="4" applyNumberFormat="1" applyFont="1" applyFill="1" applyBorder="1" applyAlignment="1" applyProtection="1">
      <alignment vertical="center"/>
    </xf>
    <xf numFmtId="199" fontId="29" fillId="0" borderId="46" xfId="4" applyNumberFormat="1" applyFont="1" applyFill="1" applyBorder="1" applyAlignment="1" applyProtection="1">
      <alignment vertical="center"/>
    </xf>
    <xf numFmtId="199" fontId="29" fillId="0" borderId="0" xfId="4" applyNumberFormat="1" applyFont="1" applyFill="1" applyBorder="1" applyAlignment="1" applyProtection="1">
      <alignment vertical="center"/>
    </xf>
    <xf numFmtId="199" fontId="29" fillId="0" borderId="43" xfId="4" applyNumberFormat="1" applyFont="1" applyFill="1" applyBorder="1" applyAlignment="1" applyProtection="1">
      <alignment vertical="center"/>
    </xf>
    <xf numFmtId="199" fontId="29" fillId="0" borderId="47" xfId="4" applyNumberFormat="1" applyFont="1" applyFill="1" applyBorder="1" applyAlignment="1" applyProtection="1">
      <alignment vertical="center"/>
    </xf>
    <xf numFmtId="199" fontId="29" fillId="0" borderId="10" xfId="4" applyNumberFormat="1" applyFont="1" applyFill="1" applyBorder="1" applyAlignment="1" applyProtection="1">
      <alignment vertical="center"/>
    </xf>
    <xf numFmtId="199" fontId="29" fillId="0" borderId="44" xfId="4" applyNumberFormat="1" applyFont="1" applyFill="1" applyBorder="1" applyAlignment="1" applyProtection="1">
      <alignment vertical="center"/>
    </xf>
    <xf numFmtId="0" fontId="15" fillId="0" borderId="0" xfId="0" applyFont="1"/>
    <xf numFmtId="0" fontId="15" fillId="0" borderId="0" xfId="0" applyFont="1" applyAlignment="1">
      <alignment horizontal="right"/>
    </xf>
    <xf numFmtId="0" fontId="15" fillId="0" borderId="10" xfId="0" applyFont="1" applyBorder="1"/>
    <xf numFmtId="202" fontId="15" fillId="0" borderId="0" xfId="18" applyNumberFormat="1" applyFont="1"/>
    <xf numFmtId="202" fontId="15" fillId="2" borderId="0" xfId="18" applyNumberFormat="1" applyFont="1" applyFill="1"/>
    <xf numFmtId="188" fontId="15" fillId="10" borderId="14" xfId="0" applyNumberFormat="1" applyFont="1" applyFill="1" applyBorder="1" applyAlignment="1">
      <alignment horizontal="center"/>
    </xf>
    <xf numFmtId="188" fontId="15" fillId="11" borderId="14" xfId="0" applyNumberFormat="1" applyFont="1" applyFill="1" applyBorder="1" applyAlignment="1">
      <alignment horizontal="center"/>
    </xf>
    <xf numFmtId="188" fontId="15" fillId="6" borderId="14" xfId="0" applyNumberFormat="1" applyFont="1" applyFill="1" applyBorder="1" applyAlignment="1">
      <alignment horizontal="center"/>
    </xf>
    <xf numFmtId="188" fontId="15" fillId="5" borderId="14" xfId="0" applyNumberFormat="1" applyFont="1" applyFill="1" applyBorder="1" applyAlignment="1">
      <alignment horizontal="center"/>
    </xf>
    <xf numFmtId="188" fontId="15" fillId="4" borderId="14" xfId="0" applyNumberFormat="1" applyFont="1" applyFill="1" applyBorder="1" applyAlignment="1">
      <alignment horizontal="center"/>
    </xf>
    <xf numFmtId="188" fontId="15" fillId="2" borderId="14" xfId="0" applyNumberFormat="1" applyFont="1" applyFill="1" applyBorder="1" applyAlignment="1">
      <alignment horizontal="center"/>
    </xf>
    <xf numFmtId="188" fontId="15" fillId="12" borderId="14" xfId="0" applyNumberFormat="1" applyFont="1" applyFill="1" applyBorder="1" applyAlignment="1">
      <alignment horizontal="center"/>
    </xf>
    <xf numFmtId="2" fontId="35" fillId="13" borderId="0" xfId="18" applyNumberFormat="1" applyFont="1" applyFill="1"/>
    <xf numFmtId="2" fontId="15" fillId="13" borderId="0" xfId="18" applyNumberFormat="1" applyFont="1" applyFill="1"/>
    <xf numFmtId="0" fontId="15" fillId="13" borderId="0" xfId="0" applyFont="1" applyFill="1"/>
    <xf numFmtId="2" fontId="15" fillId="13" borderId="10" xfId="18" applyNumberFormat="1" applyFont="1" applyFill="1" applyBorder="1"/>
    <xf numFmtId="2" fontId="15" fillId="13" borderId="0" xfId="18" applyNumberFormat="1" applyFont="1" applyFill="1" applyAlignment="1">
      <alignment horizontal="right"/>
    </xf>
    <xf numFmtId="1" fontId="15" fillId="13" borderId="0" xfId="18" applyNumberFormat="1" applyFont="1" applyFill="1" applyAlignment="1">
      <alignment horizontal="right"/>
    </xf>
    <xf numFmtId="1" fontId="15" fillId="0" borderId="0" xfId="0" applyNumberFormat="1" applyFont="1" applyFill="1" applyAlignment="1">
      <alignment horizontal="left" vertical="center"/>
    </xf>
    <xf numFmtId="0" fontId="15" fillId="0" borderId="0" xfId="0" applyFont="1" applyFill="1"/>
    <xf numFmtId="1" fontId="15" fillId="0" borderId="14" xfId="0" applyNumberFormat="1" applyFont="1" applyFill="1" applyBorder="1" applyAlignment="1">
      <alignment horizontal="left" vertical="center"/>
    </xf>
    <xf numFmtId="1" fontId="15" fillId="0" borderId="0" xfId="0" applyNumberFormat="1" applyFont="1" applyFill="1" applyAlignment="1">
      <alignment horizontal="right" vertical="center"/>
    </xf>
    <xf numFmtId="188" fontId="15" fillId="0" borderId="14" xfId="0" applyNumberFormat="1" applyFont="1" applyFill="1" applyBorder="1" applyAlignment="1">
      <alignment horizontal="left" vertical="center"/>
    </xf>
    <xf numFmtId="0" fontId="15" fillId="0" borderId="0" xfId="0" quotePrefix="1" applyFont="1"/>
    <xf numFmtId="188" fontId="15" fillId="0" borderId="0" xfId="0" applyNumberFormat="1" applyFont="1"/>
    <xf numFmtId="188" fontId="24" fillId="0" borderId="0" xfId="0" applyNumberFormat="1" applyFont="1"/>
    <xf numFmtId="0" fontId="15" fillId="0" borderId="0" xfId="0" applyFont="1" applyFill="1" applyAlignment="1">
      <alignment horizontal="center"/>
    </xf>
    <xf numFmtId="188" fontId="4" fillId="0" borderId="0" xfId="0" applyNumberFormat="1" applyFont="1"/>
    <xf numFmtId="2" fontId="15" fillId="0" borderId="0" xfId="0" applyNumberFormat="1" applyFont="1"/>
    <xf numFmtId="0" fontId="15" fillId="0" borderId="0" xfId="0" applyFont="1" applyAlignment="1"/>
    <xf numFmtId="9" fontId="15" fillId="0" borderId="0" xfId="1" applyFont="1" applyAlignment="1"/>
    <xf numFmtId="1" fontId="3" fillId="5" borderId="0" xfId="3" applyNumberFormat="1" applyFont="1" applyFill="1" applyBorder="1" applyAlignment="1">
      <alignment horizontal="right" vertical="center"/>
    </xf>
    <xf numFmtId="1" fontId="3" fillId="0" borderId="0" xfId="0" applyNumberFormat="1" applyFont="1" applyFill="1" applyBorder="1" applyAlignment="1">
      <alignment horizontal="right" vertical="center"/>
    </xf>
    <xf numFmtId="1" fontId="3" fillId="3" borderId="0" xfId="3" applyNumberFormat="1" applyFont="1" applyFill="1" applyBorder="1" applyAlignment="1" applyProtection="1">
      <alignment horizontal="right" vertical="center"/>
      <protection locked="0"/>
    </xf>
    <xf numFmtId="1" fontId="3" fillId="0" borderId="0" xfId="3" applyNumberFormat="1" applyFont="1" applyBorder="1" applyAlignment="1">
      <alignment horizontal="right" vertical="center"/>
    </xf>
    <xf numFmtId="1" fontId="3" fillId="0" borderId="6" xfId="3" applyNumberFormat="1" applyFont="1" applyBorder="1" applyAlignment="1">
      <alignment horizontal="right" vertical="center"/>
    </xf>
    <xf numFmtId="1" fontId="3" fillId="0" borderId="20" xfId="3" applyNumberFormat="1" applyFont="1" applyBorder="1" applyAlignment="1">
      <alignment horizontal="right" vertical="center"/>
    </xf>
    <xf numFmtId="197" fontId="29" fillId="0" borderId="0" xfId="4" applyNumberFormat="1" applyFont="1" applyFill="1" applyBorder="1" applyAlignment="1" applyProtection="1">
      <alignment vertical="center"/>
      <protection locked="0"/>
    </xf>
    <xf numFmtId="197" fontId="28" fillId="0" borderId="0" xfId="6" applyNumberFormat="1" applyFont="1" applyFill="1" applyBorder="1" applyAlignment="1" applyProtection="1">
      <alignment horizontal="left" vertical="center"/>
    </xf>
    <xf numFmtId="197" fontId="28" fillId="0" borderId="0" xfId="4" applyNumberFormat="1" applyFont="1" applyFill="1" applyBorder="1" applyAlignment="1" applyProtection="1">
      <alignment horizontal="right" vertical="center"/>
    </xf>
    <xf numFmtId="197" fontId="28" fillId="0" borderId="0" xfId="4" applyNumberFormat="1" applyFont="1" applyFill="1" applyBorder="1" applyAlignment="1" applyProtection="1">
      <alignment horizontal="right" vertical="center"/>
      <protection locked="0"/>
    </xf>
    <xf numFmtId="197" fontId="29" fillId="0" borderId="0" xfId="6" applyNumberFormat="1" applyFont="1" applyFill="1" applyBorder="1" applyAlignment="1" applyProtection="1">
      <alignment horizontal="center" vertical="center"/>
    </xf>
    <xf numFmtId="197" fontId="29" fillId="0" borderId="0" xfId="6" applyNumberFormat="1" applyFont="1" applyFill="1" applyBorder="1" applyAlignment="1" applyProtection="1">
      <alignment vertical="center"/>
    </xf>
    <xf numFmtId="197" fontId="28" fillId="0" borderId="0" xfId="6" applyNumberFormat="1" applyFont="1" applyFill="1" applyBorder="1" applyAlignment="1" applyProtection="1">
      <alignment vertical="center"/>
    </xf>
    <xf numFmtId="197" fontId="28" fillId="0" borderId="0" xfId="4" applyNumberFormat="1" applyFont="1" applyFill="1" applyBorder="1" applyAlignment="1" applyProtection="1">
      <alignment vertical="center"/>
    </xf>
    <xf numFmtId="197" fontId="26" fillId="3" borderId="0" xfId="4" applyNumberFormat="1" applyFont="1" applyFill="1" applyBorder="1" applyAlignment="1" applyProtection="1">
      <alignment vertical="center"/>
      <protection locked="0"/>
    </xf>
    <xf numFmtId="197" fontId="26" fillId="3" borderId="0" xfId="4" applyNumberFormat="1" applyFont="1" applyFill="1" applyBorder="1" applyAlignment="1" applyProtection="1">
      <alignment vertical="center"/>
    </xf>
    <xf numFmtId="0" fontId="17" fillId="3" borderId="0" xfId="15" applyFont="1" applyFill="1" applyBorder="1" applyAlignment="1">
      <alignment vertical="center"/>
    </xf>
    <xf numFmtId="4" fontId="15" fillId="0" borderId="0" xfId="16" applyNumberFormat="1" applyFont="1" applyAlignment="1"/>
    <xf numFmtId="1" fontId="3" fillId="0" borderId="0" xfId="3" applyNumberFormat="1" applyFont="1" applyFill="1" applyBorder="1" applyAlignment="1">
      <alignment horizontal="right" vertical="center" wrapText="1"/>
    </xf>
    <xf numFmtId="186" fontId="3" fillId="0" borderId="0" xfId="3" applyNumberFormat="1" applyFont="1" applyFill="1" applyBorder="1" applyAlignment="1">
      <alignment horizontal="right" vertical="center" wrapText="1"/>
    </xf>
    <xf numFmtId="1" fontId="3" fillId="0" borderId="5" xfId="3" applyNumberFormat="1" applyFont="1" applyFill="1" applyBorder="1" applyAlignment="1">
      <alignment horizontal="right" vertical="center" wrapText="1"/>
    </xf>
    <xf numFmtId="1" fontId="3" fillId="6" borderId="0" xfId="2" applyNumberFormat="1" applyFont="1" applyFill="1" applyBorder="1" applyAlignment="1" applyProtection="1">
      <alignment horizontal="right" vertical="center"/>
    </xf>
    <xf numFmtId="1" fontId="3" fillId="6" borderId="0" xfId="0" applyNumberFormat="1" applyFont="1" applyFill="1" applyBorder="1" applyAlignment="1">
      <alignment horizontal="right" vertical="center"/>
    </xf>
    <xf numFmtId="186" fontId="3" fillId="0" borderId="0" xfId="0" applyNumberFormat="1" applyFont="1" applyFill="1" applyBorder="1" applyAlignment="1">
      <alignment horizontal="right" vertical="center"/>
    </xf>
    <xf numFmtId="1" fontId="3" fillId="0" borderId="65" xfId="0" applyNumberFormat="1" applyFont="1" applyFill="1" applyBorder="1" applyAlignment="1">
      <alignment horizontal="right" vertical="center"/>
    </xf>
    <xf numFmtId="0" fontId="15" fillId="0" borderId="14" xfId="3" applyFont="1" applyBorder="1"/>
    <xf numFmtId="2" fontId="15" fillId="0" borderId="11" xfId="3" applyNumberFormat="1" applyFont="1" applyBorder="1"/>
    <xf numFmtId="0" fontId="15" fillId="0" borderId="13" xfId="3" applyFont="1" applyBorder="1"/>
    <xf numFmtId="1" fontId="15" fillId="0" borderId="12" xfId="3" applyNumberFormat="1" applyFont="1" applyBorder="1"/>
    <xf numFmtId="179" fontId="15" fillId="0" borderId="3" xfId="2" applyNumberFormat="1" applyFont="1" applyFill="1" applyBorder="1" applyAlignment="1" applyProtection="1">
      <alignment horizontal="left" vertical="center"/>
      <protection locked="0"/>
    </xf>
    <xf numFmtId="197" fontId="15" fillId="0" borderId="3" xfId="2" applyNumberFormat="1" applyFont="1" applyFill="1" applyBorder="1" applyAlignment="1" applyProtection="1">
      <alignment vertical="center"/>
      <protection locked="0"/>
    </xf>
    <xf numFmtId="179" fontId="15" fillId="0" borderId="0" xfId="2" applyNumberFormat="1" applyFont="1" applyFill="1" applyBorder="1" applyAlignment="1" applyProtection="1">
      <alignment horizontal="left" vertical="center"/>
      <protection locked="0"/>
    </xf>
    <xf numFmtId="197" fontId="15" fillId="0" borderId="0" xfId="2" applyNumberFormat="1" applyFont="1" applyFill="1" applyBorder="1" applyAlignment="1" applyProtection="1">
      <alignment vertical="center"/>
      <protection locked="0"/>
    </xf>
    <xf numFmtId="179" fontId="15" fillId="0" borderId="1" xfId="2" applyNumberFormat="1" applyFont="1" applyFill="1" applyBorder="1" applyAlignment="1" applyProtection="1">
      <alignment horizontal="left" vertical="center"/>
      <protection locked="0"/>
    </xf>
    <xf numFmtId="197" fontId="15" fillId="0" borderId="1" xfId="2" applyNumberFormat="1" applyFont="1" applyFill="1" applyBorder="1" applyAlignment="1" applyProtection="1">
      <alignment vertical="center"/>
      <protection locked="0"/>
    </xf>
    <xf numFmtId="0" fontId="17" fillId="0" borderId="0" xfId="0" applyFont="1" applyFill="1"/>
    <xf numFmtId="193" fontId="20" fillId="5" borderId="70" xfId="2" applyNumberFormat="1" applyFont="1" applyFill="1" applyBorder="1" applyAlignment="1" applyProtection="1"/>
    <xf numFmtId="193" fontId="20" fillId="5" borderId="70" xfId="2" applyNumberFormat="1" applyFont="1" applyFill="1" applyBorder="1" applyAlignment="1" applyProtection="1">
      <alignment horizontal="left"/>
    </xf>
    <xf numFmtId="193" fontId="20" fillId="5" borderId="70" xfId="2" applyNumberFormat="1" applyFont="1" applyFill="1" applyBorder="1" applyAlignment="1" applyProtection="1">
      <alignment horizontal="left" vertical="center"/>
    </xf>
    <xf numFmtId="1" fontId="3" fillId="0" borderId="0" xfId="2" applyNumberFormat="1" applyFont="1" applyFill="1" applyBorder="1" applyAlignment="1" applyProtection="1">
      <alignment vertical="center"/>
    </xf>
    <xf numFmtId="1" fontId="3" fillId="3" borderId="0" xfId="2" applyNumberFormat="1" applyFont="1" applyFill="1" applyBorder="1" applyAlignment="1" applyProtection="1">
      <alignment horizontal="center" vertical="center"/>
      <protection locked="0"/>
    </xf>
    <xf numFmtId="1" fontId="3" fillId="0" borderId="0" xfId="0" applyNumberFormat="1" applyFont="1" applyAlignment="1">
      <alignment horizontal="right" vertical="center"/>
    </xf>
    <xf numFmtId="188" fontId="3" fillId="0" borderId="0" xfId="0" applyNumberFormat="1" applyFont="1" applyAlignment="1">
      <alignment horizontal="right" vertical="center"/>
    </xf>
    <xf numFmtId="188" fontId="3" fillId="0" borderId="0" xfId="2" applyNumberFormat="1" applyFont="1" applyFill="1" applyBorder="1" applyAlignment="1" applyProtection="1">
      <alignment horizontal="center" vertical="center"/>
    </xf>
    <xf numFmtId="1" fontId="3" fillId="0" borderId="0" xfId="2" applyNumberFormat="1" applyFont="1" applyFill="1" applyBorder="1" applyAlignment="1" applyProtection="1">
      <alignment horizontal="center" vertical="center"/>
    </xf>
    <xf numFmtId="1" fontId="3" fillId="5" borderId="0" xfId="2" applyNumberFormat="1" applyFont="1" applyFill="1" applyBorder="1" applyAlignment="1" applyProtection="1">
      <alignment vertical="center"/>
    </xf>
    <xf numFmtId="1" fontId="3" fillId="5" borderId="0" xfId="2" applyNumberFormat="1" applyFont="1" applyFill="1" applyBorder="1" applyAlignment="1" applyProtection="1">
      <alignment horizontal="center" vertical="center"/>
    </xf>
    <xf numFmtId="1" fontId="3" fillId="0" borderId="0" xfId="2" applyNumberFormat="1" applyFont="1" applyBorder="1" applyAlignment="1" applyProtection="1">
      <alignment vertical="center"/>
    </xf>
    <xf numFmtId="1" fontId="3" fillId="0" borderId="5" xfId="2" applyNumberFormat="1" applyFont="1" applyFill="1" applyBorder="1" applyAlignment="1" applyProtection="1">
      <alignment horizontal="right" vertical="center"/>
    </xf>
    <xf numFmtId="1" fontId="3" fillId="0" borderId="0" xfId="0" applyNumberFormat="1" applyFont="1" applyBorder="1" applyAlignment="1">
      <alignment horizontal="right" vertical="center"/>
    </xf>
    <xf numFmtId="1" fontId="3" fillId="0" borderId="59" xfId="2" applyNumberFormat="1" applyFont="1" applyBorder="1" applyAlignment="1" applyProtection="1">
      <alignment horizontal="right" vertical="center"/>
    </xf>
    <xf numFmtId="1" fontId="3" fillId="0" borderId="71" xfId="2" applyNumberFormat="1" applyFont="1" applyBorder="1" applyAlignment="1" applyProtection="1">
      <alignment horizontal="right" vertical="center"/>
    </xf>
    <xf numFmtId="1" fontId="3" fillId="0" borderId="60" xfId="2" applyNumberFormat="1" applyFont="1" applyBorder="1" applyAlignment="1" applyProtection="1">
      <alignment horizontal="right" vertical="center"/>
    </xf>
    <xf numFmtId="1" fontId="3" fillId="0" borderId="58" xfId="2" applyNumberFormat="1" applyFont="1" applyBorder="1" applyAlignment="1" applyProtection="1">
      <alignment horizontal="right" vertical="center"/>
    </xf>
    <xf numFmtId="1" fontId="3" fillId="0" borderId="5" xfId="2" applyNumberFormat="1" applyFont="1" applyBorder="1" applyAlignment="1" applyProtection="1">
      <alignment horizontal="right" vertical="center"/>
    </xf>
    <xf numFmtId="188" fontId="3" fillId="0" borderId="0" xfId="0" applyNumberFormat="1" applyFont="1" applyBorder="1" applyAlignment="1">
      <alignment horizontal="right" vertical="center"/>
    </xf>
    <xf numFmtId="1" fontId="3" fillId="0" borderId="5" xfId="19" applyNumberFormat="1" applyFont="1" applyFill="1" applyBorder="1" applyAlignment="1">
      <alignment horizontal="right" vertical="center"/>
    </xf>
    <xf numFmtId="1" fontId="3" fillId="0" borderId="0" xfId="3" applyNumberFormat="1" applyFont="1" applyFill="1" applyBorder="1" applyAlignment="1">
      <alignment horizontal="right" vertical="center"/>
    </xf>
    <xf numFmtId="188" fontId="3" fillId="0" borderId="0" xfId="3" applyNumberFormat="1" applyFont="1" applyFill="1" applyBorder="1" applyAlignment="1">
      <alignment horizontal="right" vertical="center"/>
    </xf>
    <xf numFmtId="188" fontId="3" fillId="0" borderId="0" xfId="3" applyNumberFormat="1" applyFont="1" applyFill="1" applyBorder="1" applyAlignment="1">
      <alignment horizontal="right" vertical="center" wrapText="1"/>
    </xf>
    <xf numFmtId="1" fontId="3" fillId="0" borderId="0" xfId="3" applyNumberFormat="1" applyFont="1" applyFill="1" applyAlignment="1">
      <alignment horizontal="right" vertical="center" wrapText="1"/>
    </xf>
    <xf numFmtId="1" fontId="3" fillId="6" borderId="5" xfId="2" applyNumberFormat="1" applyFont="1" applyFill="1" applyBorder="1" applyAlignment="1" applyProtection="1">
      <alignment horizontal="right" vertical="center"/>
    </xf>
    <xf numFmtId="1" fontId="3" fillId="0" borderId="0" xfId="19" applyNumberFormat="1" applyFont="1" applyFill="1" applyBorder="1" applyAlignment="1">
      <alignment horizontal="right" vertical="center"/>
    </xf>
    <xf numFmtId="188" fontId="3" fillId="6" borderId="5" xfId="0" applyNumberFormat="1" applyFont="1" applyFill="1" applyBorder="1" applyAlignment="1">
      <alignment horizontal="right" vertical="center"/>
    </xf>
    <xf numFmtId="188" fontId="3" fillId="6" borderId="0" xfId="0" applyNumberFormat="1" applyFont="1" applyFill="1" applyBorder="1" applyAlignment="1">
      <alignment horizontal="right" vertical="center"/>
    </xf>
    <xf numFmtId="205" fontId="3" fillId="6" borderId="0" xfId="0" applyNumberFormat="1" applyFont="1" applyFill="1" applyBorder="1" applyAlignment="1">
      <alignment horizontal="right" vertical="center"/>
    </xf>
    <xf numFmtId="1" fontId="3" fillId="5" borderId="58" xfId="2" applyNumberFormat="1" applyFont="1" applyFill="1" applyBorder="1" applyAlignment="1" applyProtection="1">
      <alignment horizontal="right" vertical="center"/>
      <protection locked="0"/>
    </xf>
    <xf numFmtId="1" fontId="3" fillId="5" borderId="5" xfId="19" applyNumberFormat="1" applyFont="1" applyFill="1" applyBorder="1" applyAlignment="1" applyProtection="1">
      <alignment horizontal="right" vertical="center"/>
    </xf>
    <xf numFmtId="1" fontId="3" fillId="5" borderId="0" xfId="19" applyNumberFormat="1" applyFont="1" applyFill="1" applyBorder="1" applyAlignment="1">
      <alignment horizontal="right" vertical="center"/>
    </xf>
    <xf numFmtId="188" fontId="3" fillId="5" borderId="5" xfId="3" applyNumberFormat="1" applyFont="1" applyFill="1" applyBorder="1" applyAlignment="1">
      <alignment horizontal="right" vertical="center"/>
    </xf>
    <xf numFmtId="188" fontId="3" fillId="5" borderId="0" xfId="19" applyNumberFormat="1" applyFont="1" applyFill="1" applyBorder="1" applyAlignment="1">
      <alignment horizontal="right" vertical="center"/>
    </xf>
    <xf numFmtId="205" fontId="3" fillId="5" borderId="0" xfId="19" applyNumberFormat="1" applyFont="1" applyFill="1" applyBorder="1" applyAlignment="1">
      <alignment horizontal="right" vertical="center"/>
    </xf>
    <xf numFmtId="1" fontId="3" fillId="5" borderId="58" xfId="19" applyNumberFormat="1" applyFont="1" applyFill="1" applyBorder="1" applyAlignment="1" applyProtection="1">
      <alignment horizontal="right" vertical="center"/>
      <protection locked="0"/>
    </xf>
    <xf numFmtId="1" fontId="3" fillId="0" borderId="0" xfId="0" applyNumberFormat="1" applyFont="1" applyFill="1" applyAlignment="1">
      <alignment horizontal="right" vertical="center"/>
    </xf>
    <xf numFmtId="188" fontId="3" fillId="0" borderId="0" xfId="19" applyNumberFormat="1" applyFont="1" applyFill="1" applyBorder="1" applyAlignment="1">
      <alignment horizontal="right" vertical="center"/>
    </xf>
    <xf numFmtId="197" fontId="17" fillId="0" borderId="0" xfId="19" applyNumberFormat="1" applyFont="1" applyBorder="1" applyAlignment="1" applyProtection="1">
      <alignment horizontal="left" vertical="center"/>
      <protection locked="0"/>
    </xf>
    <xf numFmtId="1" fontId="3" fillId="0" borderId="0" xfId="2" applyNumberFormat="1" applyFont="1" applyBorder="1" applyAlignment="1" applyProtection="1">
      <alignment horizontal="right" vertical="center"/>
    </xf>
    <xf numFmtId="0" fontId="49" fillId="0" borderId="0" xfId="0" applyFont="1"/>
    <xf numFmtId="1" fontId="3" fillId="0" borderId="0" xfId="0" applyNumberFormat="1" applyFont="1" applyFill="1" applyBorder="1" applyAlignment="1" applyProtection="1">
      <alignment horizontal="right" vertical="center"/>
    </xf>
    <xf numFmtId="1" fontId="50" fillId="0" borderId="0" xfId="0" applyNumberFormat="1" applyFont="1" applyFill="1" applyBorder="1" applyAlignment="1" applyProtection="1">
      <alignment vertical="center"/>
    </xf>
    <xf numFmtId="1" fontId="50" fillId="0" borderId="0" xfId="0" applyNumberFormat="1" applyFont="1" applyBorder="1" applyAlignment="1">
      <alignment vertical="center"/>
    </xf>
    <xf numFmtId="2" fontId="3" fillId="0" borderId="0" xfId="0" applyNumberFormat="1" applyFont="1" applyFill="1" applyAlignment="1">
      <alignment horizontal="right" vertical="center"/>
    </xf>
    <xf numFmtId="1" fontId="3" fillId="0" borderId="23" xfId="2" applyNumberFormat="1" applyFont="1" applyBorder="1" applyAlignment="1" applyProtection="1">
      <alignment horizontal="right" vertical="center"/>
    </xf>
    <xf numFmtId="188" fontId="3" fillId="0" borderId="0" xfId="2" applyNumberFormat="1" applyFont="1" applyFill="1" applyBorder="1" applyAlignment="1" applyProtection="1">
      <alignment vertical="center"/>
    </xf>
    <xf numFmtId="1" fontId="3" fillId="0" borderId="0" xfId="19" applyNumberFormat="1" applyFont="1" applyFill="1" applyBorder="1" applyAlignment="1" applyProtection="1">
      <alignment horizontal="right" vertical="center"/>
    </xf>
    <xf numFmtId="1" fontId="3" fillId="0" borderId="0" xfId="3" applyNumberFormat="1" applyFont="1" applyFill="1" applyBorder="1" applyAlignment="1" applyProtection="1">
      <alignment horizontal="right" vertical="center"/>
    </xf>
    <xf numFmtId="1" fontId="3" fillId="0" borderId="0" xfId="0" applyNumberFormat="1" applyFont="1" applyBorder="1" applyAlignment="1" applyProtection="1">
      <alignment horizontal="right" vertical="center"/>
    </xf>
    <xf numFmtId="2" fontId="3" fillId="0" borderId="0" xfId="19" applyNumberFormat="1" applyFont="1" applyFill="1" applyBorder="1" applyAlignment="1">
      <alignment horizontal="right" vertical="center"/>
    </xf>
    <xf numFmtId="1" fontId="3" fillId="0" borderId="5" xfId="3" applyNumberFormat="1" applyFont="1" applyFill="1" applyBorder="1" applyAlignment="1" applyProtection="1">
      <alignment horizontal="right" vertical="center"/>
    </xf>
    <xf numFmtId="1" fontId="3" fillId="3" borderId="0" xfId="19" applyNumberFormat="1" applyFont="1" applyFill="1" applyBorder="1" applyAlignment="1" applyProtection="1">
      <alignment horizontal="right" vertical="center"/>
      <protection locked="0"/>
    </xf>
    <xf numFmtId="1" fontId="3" fillId="0" borderId="72" xfId="2" applyNumberFormat="1" applyFont="1" applyBorder="1" applyAlignment="1" applyProtection="1">
      <alignment horizontal="right" vertical="center"/>
    </xf>
    <xf numFmtId="1" fontId="3" fillId="0" borderId="60" xfId="0" applyNumberFormat="1" applyFont="1" applyBorder="1" applyAlignment="1">
      <alignment horizontal="right" vertical="center"/>
    </xf>
    <xf numFmtId="1" fontId="3" fillId="0" borderId="60" xfId="2" applyNumberFormat="1" applyFont="1" applyFill="1" applyBorder="1" applyAlignment="1" applyProtection="1">
      <alignment horizontal="right" vertical="center"/>
    </xf>
    <xf numFmtId="1" fontId="3" fillId="0" borderId="61" xfId="0" applyNumberFormat="1" applyFont="1" applyBorder="1" applyAlignment="1">
      <alignment horizontal="right" vertical="center"/>
    </xf>
    <xf numFmtId="1" fontId="3" fillId="0" borderId="0" xfId="2" applyNumberFormat="1" applyFont="1" applyFill="1" applyBorder="1" applyAlignment="1">
      <alignment horizontal="right" vertical="center"/>
    </xf>
    <xf numFmtId="1" fontId="3" fillId="0" borderId="0" xfId="3" applyNumberFormat="1" applyFont="1" applyFill="1" applyBorder="1" applyAlignment="1">
      <alignment vertical="center"/>
    </xf>
    <xf numFmtId="9" fontId="3" fillId="0" borderId="0" xfId="1" applyFont="1" applyFill="1" applyBorder="1" applyAlignment="1">
      <alignment horizontal="right" vertical="center"/>
    </xf>
    <xf numFmtId="1" fontId="3" fillId="0" borderId="5" xfId="3" applyNumberFormat="1" applyFont="1" applyFill="1" applyBorder="1" applyAlignment="1">
      <alignment vertical="center"/>
    </xf>
    <xf numFmtId="1" fontId="3" fillId="0" borderId="6" xfId="3" applyNumberFormat="1" applyFont="1" applyFill="1" applyBorder="1" applyAlignment="1">
      <alignment vertical="center"/>
    </xf>
    <xf numFmtId="1" fontId="3" fillId="0" borderId="63" xfId="3" applyNumberFormat="1" applyFont="1" applyFill="1" applyBorder="1" applyAlignment="1">
      <alignment vertical="center"/>
    </xf>
    <xf numFmtId="1" fontId="3" fillId="6" borderId="73" xfId="2" applyNumberFormat="1" applyFont="1" applyFill="1" applyBorder="1" applyAlignment="1" applyProtection="1">
      <alignment horizontal="right" vertical="center"/>
    </xf>
    <xf numFmtId="1" fontId="3" fillId="6" borderId="0" xfId="0" applyNumberFormat="1" applyFont="1" applyFill="1" applyAlignment="1">
      <alignment horizontal="right" vertical="center"/>
    </xf>
    <xf numFmtId="1" fontId="3" fillId="5" borderId="73" xfId="19" applyNumberFormat="1" applyFont="1" applyFill="1" applyBorder="1" applyAlignment="1" applyProtection="1">
      <alignment horizontal="right" vertical="center"/>
    </xf>
    <xf numFmtId="1" fontId="3" fillId="0" borderId="74" xfId="19" applyNumberFormat="1" applyFont="1" applyFill="1" applyBorder="1" applyAlignment="1" applyProtection="1">
      <alignment horizontal="right" vertical="center"/>
    </xf>
    <xf numFmtId="1" fontId="3" fillId="0" borderId="66" xfId="19" applyNumberFormat="1" applyFont="1" applyFill="1" applyBorder="1" applyAlignment="1">
      <alignment horizontal="right" vertical="center"/>
    </xf>
    <xf numFmtId="1" fontId="3" fillId="0" borderId="65" xfId="19" applyNumberFormat="1" applyFont="1" applyFill="1" applyBorder="1" applyAlignment="1">
      <alignment horizontal="right" vertical="center"/>
    </xf>
    <xf numFmtId="1" fontId="3" fillId="0" borderId="65" xfId="19" applyNumberFormat="1" applyFont="1" applyFill="1" applyBorder="1" applyAlignment="1" applyProtection="1">
      <alignment horizontal="right" vertical="center"/>
    </xf>
    <xf numFmtId="1" fontId="3" fillId="0" borderId="65" xfId="3" applyNumberFormat="1" applyFont="1" applyFill="1" applyBorder="1" applyAlignment="1" applyProtection="1">
      <alignment horizontal="right" vertical="center"/>
    </xf>
    <xf numFmtId="1" fontId="3" fillId="0" borderId="65" xfId="0" applyNumberFormat="1" applyFont="1" applyFill="1" applyBorder="1" applyAlignment="1" applyProtection="1">
      <alignment horizontal="right" vertical="center"/>
    </xf>
    <xf numFmtId="188" fontId="3" fillId="0" borderId="65" xfId="19" applyNumberFormat="1" applyFont="1" applyFill="1" applyBorder="1" applyAlignment="1">
      <alignment horizontal="right" vertical="center"/>
    </xf>
    <xf numFmtId="2" fontId="3" fillId="0" borderId="67" xfId="19" applyNumberFormat="1" applyFont="1" applyFill="1" applyBorder="1" applyAlignment="1">
      <alignment horizontal="right" vertical="center"/>
    </xf>
    <xf numFmtId="1" fontId="3" fillId="0" borderId="66" xfId="3" applyNumberFormat="1" applyFont="1" applyFill="1" applyBorder="1" applyAlignment="1" applyProtection="1">
      <alignment horizontal="right" vertical="center"/>
    </xf>
    <xf numFmtId="1" fontId="3" fillId="0" borderId="65" xfId="3" applyNumberFormat="1" applyFont="1" applyFill="1" applyBorder="1" applyAlignment="1">
      <alignment horizontal="right" vertical="center"/>
    </xf>
    <xf numFmtId="1" fontId="3" fillId="0" borderId="65" xfId="3" applyNumberFormat="1" applyFont="1" applyFill="1" applyBorder="1" applyAlignment="1" applyProtection="1">
      <alignment horizontal="right" vertical="center"/>
      <protection locked="0"/>
    </xf>
    <xf numFmtId="1" fontId="3" fillId="0" borderId="65" xfId="19" applyNumberFormat="1" applyFont="1" applyFill="1" applyBorder="1" applyAlignment="1" applyProtection="1">
      <alignment horizontal="right" vertical="center"/>
      <protection locked="0"/>
    </xf>
    <xf numFmtId="1" fontId="3" fillId="0" borderId="67" xfId="3" applyNumberFormat="1" applyFont="1" applyFill="1" applyBorder="1" applyAlignment="1">
      <alignment horizontal="right" vertical="center"/>
    </xf>
    <xf numFmtId="1" fontId="3" fillId="0" borderId="68" xfId="0" applyNumberFormat="1" applyFont="1" applyFill="1" applyBorder="1" applyAlignment="1">
      <alignment horizontal="right" vertical="center"/>
    </xf>
    <xf numFmtId="205" fontId="3" fillId="0" borderId="0" xfId="0" applyNumberFormat="1" applyFont="1" applyAlignment="1">
      <alignment horizontal="right" vertical="center"/>
    </xf>
    <xf numFmtId="1" fontId="3" fillId="0" borderId="0" xfId="2" applyNumberFormat="1" applyFont="1" applyFill="1" applyBorder="1" applyAlignment="1" applyProtection="1">
      <alignment horizontal="right" vertical="center"/>
    </xf>
    <xf numFmtId="186" fontId="3" fillId="0" borderId="0" xfId="0" applyNumberFormat="1" applyFont="1" applyFill="1" applyAlignment="1">
      <alignment horizontal="right" vertical="center"/>
    </xf>
    <xf numFmtId="1" fontId="3" fillId="0" borderId="0" xfId="2" applyNumberFormat="1" applyFont="1" applyBorder="1" applyAlignment="1">
      <alignment vertical="center"/>
    </xf>
    <xf numFmtId="1" fontId="3" fillId="5" borderId="0" xfId="19" applyNumberFormat="1" applyFont="1" applyFill="1" applyBorder="1" applyAlignment="1" applyProtection="1">
      <alignment horizontal="right" vertical="center"/>
    </xf>
    <xf numFmtId="9" fontId="3" fillId="5" borderId="0" xfId="1" applyFont="1" applyFill="1" applyBorder="1" applyAlignment="1" applyProtection="1">
      <alignment horizontal="right" vertical="center"/>
    </xf>
    <xf numFmtId="193" fontId="14" fillId="0" borderId="21" xfId="4" applyNumberFormat="1" applyFont="1" applyBorder="1" applyAlignment="1" applyProtection="1">
      <alignment vertical="top" wrapText="1"/>
    </xf>
    <xf numFmtId="193" fontId="15" fillId="0" borderId="14" xfId="4" applyNumberFormat="1" applyFont="1" applyBorder="1" applyAlignment="1" applyProtection="1">
      <alignment horizontal="center" vertical="center"/>
    </xf>
    <xf numFmtId="193" fontId="15" fillId="0" borderId="0" xfId="4" applyNumberFormat="1" applyFont="1" applyFill="1" applyBorder="1" applyAlignment="1" applyProtection="1">
      <alignment horizontal="right" vertical="center" wrapText="1"/>
    </xf>
    <xf numFmtId="1" fontId="45" fillId="0" borderId="7" xfId="0" applyNumberFormat="1" applyFont="1" applyBorder="1" applyAlignment="1">
      <alignment horizontal="left" vertical="center"/>
    </xf>
    <xf numFmtId="1" fontId="45" fillId="0" borderId="0" xfId="0" applyNumberFormat="1" applyFont="1" applyAlignment="1">
      <alignment horizontal="left" vertical="center"/>
    </xf>
    <xf numFmtId="1" fontId="45" fillId="0" borderId="1" xfId="0" applyNumberFormat="1" applyFont="1" applyBorder="1" applyAlignment="1">
      <alignment horizontal="right" vertical="center"/>
    </xf>
    <xf numFmtId="1" fontId="45" fillId="0" borderId="62" xfId="0" applyNumberFormat="1" applyFont="1" applyBorder="1" applyAlignment="1">
      <alignment horizontal="right" vertical="center"/>
    </xf>
    <xf numFmtId="188" fontId="29" fillId="0" borderId="0" xfId="15" applyNumberFormat="1" applyFont="1" applyAlignment="1">
      <alignment vertical="center"/>
    </xf>
    <xf numFmtId="197" fontId="28" fillId="0" borderId="15" xfId="15" applyNumberFormat="1" applyFont="1" applyFill="1" applyBorder="1" applyAlignment="1">
      <alignment horizontal="right" vertical="center"/>
    </xf>
    <xf numFmtId="197" fontId="29" fillId="0" borderId="0" xfId="15" applyNumberFormat="1" applyFont="1" applyFill="1" applyBorder="1" applyAlignment="1">
      <alignment horizontal="left" vertical="center"/>
    </xf>
    <xf numFmtId="197" fontId="29" fillId="0" borderId="10" xfId="15" applyNumberFormat="1" applyFont="1" applyFill="1" applyBorder="1" applyAlignment="1" applyProtection="1">
      <alignment vertical="center"/>
    </xf>
    <xf numFmtId="197" fontId="29" fillId="0" borderId="10" xfId="15" applyNumberFormat="1" applyFont="1" applyFill="1" applyBorder="1" applyAlignment="1">
      <alignment horizontal="right" vertical="center"/>
    </xf>
    <xf numFmtId="197" fontId="29" fillId="0" borderId="57" xfId="15" applyNumberFormat="1" applyFont="1" applyFill="1" applyBorder="1" applyAlignment="1">
      <alignment vertical="center"/>
    </xf>
    <xf numFmtId="197" fontId="29" fillId="0" borderId="15" xfId="15" applyNumberFormat="1" applyFont="1" applyFill="1" applyBorder="1" applyAlignment="1" applyProtection="1">
      <alignment horizontal="right" vertical="center"/>
    </xf>
    <xf numFmtId="1" fontId="28" fillId="0" borderId="3" xfId="0" applyNumberFormat="1" applyFont="1" applyBorder="1" applyAlignment="1">
      <alignment horizontal="left" vertical="center"/>
    </xf>
    <xf numFmtId="1" fontId="28" fillId="0" borderId="3" xfId="0" applyNumberFormat="1" applyFont="1" applyBorder="1" applyAlignment="1">
      <alignment vertical="center"/>
    </xf>
    <xf numFmtId="1" fontId="28" fillId="0" borderId="4" xfId="0" applyNumberFormat="1" applyFont="1" applyBorder="1" applyAlignment="1">
      <alignment vertical="center"/>
    </xf>
    <xf numFmtId="0" fontId="29" fillId="2" borderId="0" xfId="15" applyFont="1" applyFill="1" applyAlignment="1" applyProtection="1">
      <alignment vertical="center"/>
    </xf>
    <xf numFmtId="4" fontId="36" fillId="0" borderId="0" xfId="16" applyNumberFormat="1" applyFont="1" applyAlignment="1">
      <alignment horizontal="center"/>
    </xf>
    <xf numFmtId="1" fontId="17" fillId="0" borderId="6" xfId="15" applyNumberFormat="1" applyFont="1" applyBorder="1" applyAlignment="1">
      <alignment vertical="center"/>
    </xf>
    <xf numFmtId="1" fontId="17" fillId="0" borderId="8" xfId="15" applyNumberFormat="1" applyFont="1" applyBorder="1" applyAlignment="1">
      <alignment vertical="center"/>
    </xf>
    <xf numFmtId="0" fontId="17" fillId="0" borderId="3" xfId="15" applyFont="1" applyBorder="1" applyAlignment="1">
      <alignment horizontal="right" vertical="center"/>
    </xf>
    <xf numFmtId="0" fontId="22" fillId="0" borderId="16" xfId="15" applyFont="1" applyBorder="1" applyAlignment="1">
      <alignment horizontal="right" vertical="center"/>
    </xf>
    <xf numFmtId="0" fontId="22" fillId="0" borderId="0" xfId="15" applyFont="1" applyBorder="1" applyAlignment="1">
      <alignment vertical="center"/>
    </xf>
    <xf numFmtId="0" fontId="22" fillId="0" borderId="0" xfId="15" applyFont="1" applyBorder="1" applyAlignment="1">
      <alignment horizontal="right" vertical="center"/>
    </xf>
    <xf numFmtId="193" fontId="14" fillId="0" borderId="75" xfId="4" applyNumberFormat="1" applyFont="1" applyBorder="1" applyAlignment="1" applyProtection="1">
      <alignment vertical="center"/>
    </xf>
    <xf numFmtId="193" fontId="15" fillId="0" borderId="6" xfId="4" applyNumberFormat="1" applyFont="1" applyBorder="1" applyAlignment="1" applyProtection="1">
      <alignment vertical="center"/>
    </xf>
    <xf numFmtId="193" fontId="15" fillId="0" borderId="76" xfId="4" applyNumberFormat="1" applyFont="1" applyBorder="1" applyAlignment="1" applyProtection="1">
      <alignment horizontal="right" vertical="center"/>
    </xf>
    <xf numFmtId="193" fontId="15" fillId="0" borderId="35" xfId="4" applyNumberFormat="1" applyFont="1" applyBorder="1" applyAlignment="1" applyProtection="1">
      <alignment horizontal="right" vertical="center"/>
    </xf>
    <xf numFmtId="193" fontId="15" fillId="6" borderId="0" xfId="4" applyNumberFormat="1" applyFont="1" applyFill="1" applyBorder="1" applyAlignment="1" applyProtection="1">
      <alignment horizontal="right" vertical="center"/>
    </xf>
    <xf numFmtId="193" fontId="15" fillId="2" borderId="0" xfId="4" applyNumberFormat="1" applyFont="1" applyFill="1" applyBorder="1" applyAlignment="1" applyProtection="1">
      <alignment vertical="center"/>
    </xf>
    <xf numFmtId="193" fontId="15" fillId="0" borderId="5" xfId="4" applyNumberFormat="1" applyFont="1" applyBorder="1" applyAlignment="1" applyProtection="1">
      <alignment horizontal="right" vertical="center"/>
    </xf>
    <xf numFmtId="193" fontId="14" fillId="0" borderId="0" xfId="4" applyNumberFormat="1" applyFont="1" applyBorder="1" applyAlignment="1" applyProtection="1">
      <alignment vertical="center"/>
    </xf>
    <xf numFmtId="193" fontId="14" fillId="0" borderId="0" xfId="4" applyNumberFormat="1" applyFont="1" applyFill="1" applyBorder="1" applyAlignment="1" applyProtection="1">
      <alignment vertical="center"/>
    </xf>
    <xf numFmtId="193" fontId="15" fillId="2" borderId="5" xfId="4" applyNumberFormat="1" applyFont="1" applyFill="1" applyBorder="1" applyAlignment="1" applyProtection="1">
      <alignment horizontal="right" vertical="center"/>
    </xf>
    <xf numFmtId="193" fontId="15" fillId="2" borderId="0" xfId="4" applyNumberFormat="1" applyFont="1" applyFill="1" applyBorder="1" applyAlignment="1" applyProtection="1">
      <alignment horizontal="right" vertical="center"/>
    </xf>
    <xf numFmtId="193" fontId="15" fillId="0" borderId="5" xfId="4" applyNumberFormat="1" applyFont="1" applyBorder="1" applyAlignment="1" applyProtection="1">
      <alignment vertical="center"/>
    </xf>
    <xf numFmtId="193" fontId="15" fillId="0" borderId="0" xfId="4" applyNumberFormat="1" applyFont="1" applyBorder="1" applyAlignment="1" applyProtection="1">
      <alignment horizontal="center" vertical="center"/>
    </xf>
    <xf numFmtId="193" fontId="15" fillId="0" borderId="7" xfId="4" applyNumberFormat="1" applyFont="1" applyBorder="1" applyAlignment="1" applyProtection="1">
      <alignment vertical="center"/>
    </xf>
    <xf numFmtId="193" fontId="15" fillId="0" borderId="1" xfId="4" applyNumberFormat="1" applyFont="1" applyBorder="1" applyAlignment="1" applyProtection="1">
      <alignment vertical="center"/>
    </xf>
    <xf numFmtId="193" fontId="15" fillId="0" borderId="8" xfId="4" applyNumberFormat="1" applyFont="1" applyBorder="1" applyAlignment="1" applyProtection="1">
      <alignment vertical="center"/>
    </xf>
    <xf numFmtId="179" fontId="14" fillId="0" borderId="16" xfId="2" applyNumberFormat="1" applyFont="1" applyFill="1" applyBorder="1" applyAlignment="1" applyProtection="1">
      <alignment horizontal="left" vertical="center"/>
    </xf>
    <xf numFmtId="179" fontId="15" fillId="0" borderId="0" xfId="2" applyNumberFormat="1" applyFont="1" applyFill="1" applyBorder="1" applyAlignment="1" applyProtection="1">
      <alignment horizontal="left" vertical="center"/>
    </xf>
    <xf numFmtId="179" fontId="14" fillId="0" borderId="17" xfId="2" applyNumberFormat="1" applyFont="1" applyFill="1" applyBorder="1" applyAlignment="1" applyProtection="1">
      <alignment horizontal="left" vertical="center"/>
    </xf>
    <xf numFmtId="0" fontId="22" fillId="0" borderId="16" xfId="0" applyFont="1" applyBorder="1" applyAlignment="1">
      <alignment horizontal="left"/>
    </xf>
    <xf numFmtId="1" fontId="3" fillId="0" borderId="60" xfId="2" applyNumberFormat="1" applyFont="1" applyFill="1" applyBorder="1" applyAlignment="1" applyProtection="1">
      <alignment vertical="center"/>
    </xf>
    <xf numFmtId="1" fontId="3" fillId="3" borderId="60" xfId="2" applyNumberFormat="1" applyFont="1" applyFill="1" applyBorder="1" applyAlignment="1" applyProtection="1">
      <alignment horizontal="center" vertical="center"/>
      <protection locked="0"/>
    </xf>
    <xf numFmtId="188" fontId="3" fillId="0" borderId="60" xfId="0" applyNumberFormat="1" applyFont="1" applyBorder="1" applyAlignment="1">
      <alignment horizontal="right" vertical="center"/>
    </xf>
    <xf numFmtId="188" fontId="3" fillId="0" borderId="60" xfId="2" applyNumberFormat="1" applyFont="1" applyFill="1" applyBorder="1" applyAlignment="1" applyProtection="1">
      <alignment horizontal="center" vertical="center"/>
    </xf>
    <xf numFmtId="1" fontId="3" fillId="0" borderId="60" xfId="2" applyNumberFormat="1" applyFont="1" applyFill="1" applyBorder="1" applyAlignment="1" applyProtection="1">
      <alignment horizontal="center" vertical="center"/>
    </xf>
    <xf numFmtId="1" fontId="3" fillId="0" borderId="60" xfId="0" applyNumberFormat="1" applyFont="1" applyBorder="1" applyAlignment="1" applyProtection="1">
      <alignment horizontal="right" vertical="center"/>
    </xf>
    <xf numFmtId="1" fontId="3" fillId="0" borderId="20" xfId="0" applyNumberFormat="1" applyFont="1" applyBorder="1" applyAlignment="1">
      <alignment horizontal="right" vertical="center"/>
    </xf>
    <xf numFmtId="1" fontId="3" fillId="0" borderId="58" xfId="2" applyNumberFormat="1" applyFont="1" applyBorder="1" applyAlignment="1">
      <alignment vertical="center"/>
    </xf>
    <xf numFmtId="1" fontId="3" fillId="0" borderId="58" xfId="2" applyNumberFormat="1" applyFont="1" applyFill="1" applyBorder="1" applyAlignment="1" applyProtection="1">
      <alignment horizontal="right" vertical="center"/>
    </xf>
    <xf numFmtId="1" fontId="3" fillId="0" borderId="61" xfId="2" applyNumberFormat="1" applyFont="1" applyBorder="1" applyAlignment="1" applyProtection="1">
      <alignment horizontal="right" vertical="center"/>
    </xf>
    <xf numFmtId="1" fontId="3" fillId="0" borderId="20" xfId="0" applyNumberFormat="1" applyFont="1" applyFill="1" applyBorder="1" applyAlignment="1">
      <alignment horizontal="right" vertical="center"/>
    </xf>
    <xf numFmtId="0" fontId="0" fillId="0" borderId="0" xfId="0" applyFill="1" applyBorder="1" applyProtection="1">
      <protection locked="0"/>
    </xf>
    <xf numFmtId="197" fontId="17" fillId="0" borderId="0" xfId="19" applyNumberFormat="1" applyFont="1" applyBorder="1" applyAlignment="1" applyProtection="1">
      <alignment vertical="center"/>
      <protection locked="0"/>
    </xf>
    <xf numFmtId="0" fontId="0" fillId="5" borderId="0" xfId="0" applyFill="1" applyBorder="1" applyProtection="1">
      <protection locked="0"/>
    </xf>
    <xf numFmtId="0" fontId="0" fillId="0" borderId="0" xfId="0" applyBorder="1" applyProtection="1">
      <protection locked="0"/>
    </xf>
    <xf numFmtId="1" fontId="3" fillId="0" borderId="72" xfId="2" applyNumberFormat="1" applyFont="1" applyFill="1" applyBorder="1" applyAlignment="1" applyProtection="1">
      <alignment horizontal="right" vertical="center"/>
    </xf>
    <xf numFmtId="1" fontId="3" fillId="0" borderId="60" xfId="0" applyNumberFormat="1" applyFont="1" applyFill="1" applyBorder="1" applyAlignment="1" applyProtection="1">
      <alignment horizontal="right" vertical="center"/>
    </xf>
    <xf numFmtId="1" fontId="50" fillId="0" borderId="60" xfId="0" applyNumberFormat="1" applyFont="1" applyFill="1" applyBorder="1" applyAlignment="1" applyProtection="1">
      <alignment vertical="center"/>
    </xf>
    <xf numFmtId="1" fontId="50" fillId="0" borderId="60" xfId="0" applyNumberFormat="1" applyFont="1" applyBorder="1" applyAlignment="1">
      <alignment vertical="center"/>
    </xf>
    <xf numFmtId="0" fontId="0" fillId="0" borderId="60" xfId="0" applyBorder="1"/>
    <xf numFmtId="2" fontId="3" fillId="0" borderId="60" xfId="0" applyNumberFormat="1" applyFont="1" applyFill="1" applyBorder="1" applyAlignment="1">
      <alignment horizontal="right" vertical="center"/>
    </xf>
    <xf numFmtId="1" fontId="3" fillId="0" borderId="73" xfId="2" applyNumberFormat="1" applyFont="1" applyBorder="1" applyAlignment="1" applyProtection="1">
      <alignment horizontal="right" vertical="center"/>
    </xf>
    <xf numFmtId="2" fontId="3" fillId="0" borderId="0" xfId="0" applyNumberFormat="1" applyFont="1" applyFill="1" applyBorder="1" applyAlignment="1">
      <alignment horizontal="right" vertical="center"/>
    </xf>
    <xf numFmtId="1" fontId="3" fillId="0" borderId="73" xfId="2" applyNumberFormat="1" applyFont="1" applyFill="1" applyBorder="1" applyAlignment="1" applyProtection="1">
      <alignment horizontal="right" vertical="center"/>
    </xf>
    <xf numFmtId="1" fontId="3" fillId="0" borderId="73" xfId="2" applyNumberFormat="1" applyFont="1" applyBorder="1" applyAlignment="1">
      <alignment vertical="center"/>
    </xf>
    <xf numFmtId="0" fontId="0" fillId="0" borderId="0" xfId="0" applyFill="1" applyBorder="1"/>
    <xf numFmtId="1" fontId="3" fillId="0" borderId="0" xfId="3" applyNumberFormat="1" applyFont="1" applyFill="1" applyBorder="1" applyAlignment="1" applyProtection="1">
      <alignment horizontal="right" vertical="center"/>
      <protection locked="0"/>
    </xf>
    <xf numFmtId="1" fontId="3" fillId="0" borderId="0" xfId="19" applyNumberFormat="1" applyFont="1" applyFill="1" applyBorder="1" applyAlignment="1" applyProtection="1">
      <alignment horizontal="right" vertical="center"/>
      <protection locked="0"/>
    </xf>
    <xf numFmtId="1" fontId="3" fillId="0" borderId="6" xfId="3" applyNumberFormat="1" applyFont="1" applyFill="1" applyBorder="1" applyAlignment="1">
      <alignment horizontal="right" vertical="center"/>
    </xf>
    <xf numFmtId="1" fontId="3" fillId="0" borderId="20" xfId="3" applyNumberFormat="1" applyFont="1" applyFill="1" applyBorder="1" applyAlignment="1">
      <alignment horizontal="right" vertical="center"/>
    </xf>
    <xf numFmtId="186" fontId="3" fillId="0" borderId="60" xfId="0" applyNumberFormat="1" applyFont="1" applyFill="1" applyBorder="1" applyAlignment="1">
      <alignment horizontal="right" vertical="center"/>
    </xf>
    <xf numFmtId="9" fontId="3" fillId="0" borderId="0" xfId="1" applyFont="1" applyFill="1" applyBorder="1" applyAlignment="1" applyProtection="1">
      <alignment horizontal="right" vertical="center"/>
    </xf>
    <xf numFmtId="185" fontId="3" fillId="0" borderId="0" xfId="2" applyNumberFormat="1" applyFont="1" applyFill="1" applyBorder="1" applyAlignment="1" applyProtection="1">
      <alignment horizontal="right" vertical="center"/>
    </xf>
    <xf numFmtId="1" fontId="3" fillId="0" borderId="20" xfId="3" applyNumberFormat="1" applyFont="1" applyFill="1" applyBorder="1" applyAlignment="1">
      <alignment horizontal="right" vertical="center" wrapText="1"/>
    </xf>
    <xf numFmtId="1" fontId="3" fillId="6" borderId="20" xfId="2" applyNumberFormat="1" applyFont="1" applyFill="1" applyBorder="1" applyAlignment="1" applyProtection="1">
      <alignment horizontal="right" vertical="center"/>
    </xf>
    <xf numFmtId="2" fontId="3" fillId="0" borderId="0" xfId="19" applyNumberFormat="1" applyFont="1" applyFill="1" applyBorder="1" applyAlignment="1" applyProtection="1">
      <alignment horizontal="right" vertical="center"/>
    </xf>
    <xf numFmtId="9" fontId="3" fillId="0" borderId="0" xfId="1" applyFont="1" applyBorder="1" applyAlignment="1">
      <alignment horizontal="right" vertical="center"/>
    </xf>
    <xf numFmtId="0" fontId="29" fillId="0" borderId="48" xfId="15" applyFont="1" applyBorder="1" applyAlignment="1">
      <alignment vertical="center"/>
    </xf>
    <xf numFmtId="0" fontId="29" fillId="0" borderId="78" xfId="15" applyFont="1" applyBorder="1" applyAlignment="1">
      <alignment vertical="center"/>
    </xf>
    <xf numFmtId="0" fontId="6" fillId="0" borderId="0" xfId="3"/>
    <xf numFmtId="188" fontId="30" fillId="0" borderId="0" xfId="15" applyNumberFormat="1" applyFont="1" applyAlignment="1">
      <alignment vertical="center"/>
    </xf>
    <xf numFmtId="1" fontId="3" fillId="6" borderId="17" xfId="0" applyNumberFormat="1" applyFont="1" applyFill="1" applyBorder="1" applyAlignment="1">
      <alignment horizontal="right" vertical="center"/>
    </xf>
    <xf numFmtId="1" fontId="3" fillId="0" borderId="17" xfId="19" applyNumberFormat="1" applyFont="1" applyFill="1" applyBorder="1" applyAlignment="1">
      <alignment horizontal="right" vertical="center"/>
    </xf>
    <xf numFmtId="1" fontId="3" fillId="0" borderId="17" xfId="19" applyNumberFormat="1" applyFont="1" applyFill="1" applyBorder="1" applyAlignment="1" applyProtection="1">
      <alignment horizontal="right" vertical="center"/>
    </xf>
    <xf numFmtId="1" fontId="3" fillId="0" borderId="17" xfId="3" applyNumberFormat="1" applyFont="1" applyFill="1" applyBorder="1" applyAlignment="1" applyProtection="1">
      <alignment horizontal="right" vertical="center"/>
    </xf>
    <xf numFmtId="1" fontId="3" fillId="0" borderId="17" xfId="0" applyNumberFormat="1" applyFont="1" applyBorder="1" applyAlignment="1" applyProtection="1">
      <alignment horizontal="right" vertical="center"/>
    </xf>
    <xf numFmtId="188" fontId="3" fillId="6" borderId="17" xfId="0" applyNumberFormat="1" applyFont="1" applyFill="1" applyBorder="1" applyAlignment="1">
      <alignment horizontal="right" vertical="center"/>
    </xf>
    <xf numFmtId="2" fontId="3" fillId="0" borderId="17" xfId="19" applyNumberFormat="1" applyFont="1" applyFill="1" applyBorder="1" applyAlignment="1">
      <alignment horizontal="right" vertical="center"/>
    </xf>
    <xf numFmtId="1" fontId="3" fillId="0" borderId="9" xfId="3" applyNumberFormat="1" applyFont="1" applyFill="1" applyBorder="1" applyAlignment="1" applyProtection="1">
      <alignment horizontal="right" vertical="center"/>
    </xf>
    <xf numFmtId="1" fontId="3" fillId="0" borderId="17" xfId="3" applyNumberFormat="1" applyFont="1" applyFill="1" applyBorder="1" applyAlignment="1">
      <alignment horizontal="right" vertical="center"/>
    </xf>
    <xf numFmtId="1" fontId="3" fillId="0" borderId="16" xfId="3" applyNumberFormat="1" applyFont="1" applyFill="1" applyBorder="1" applyAlignment="1">
      <alignment horizontal="right" vertical="center"/>
    </xf>
    <xf numFmtId="9" fontId="3" fillId="0" borderId="0" xfId="1" applyFont="1" applyFill="1" applyBorder="1" applyAlignment="1">
      <alignment horizontal="right" vertical="center" wrapText="1"/>
    </xf>
    <xf numFmtId="1" fontId="3" fillId="5" borderId="0" xfId="2" applyNumberFormat="1" applyFont="1" applyFill="1" applyBorder="1" applyAlignment="1" applyProtection="1">
      <alignment horizontal="right" vertical="center"/>
    </xf>
    <xf numFmtId="1" fontId="24" fillId="5" borderId="73" xfId="19" applyNumberFormat="1" applyFont="1" applyFill="1" applyBorder="1" applyAlignment="1" applyProtection="1">
      <alignment horizontal="right" vertical="center"/>
    </xf>
    <xf numFmtId="1" fontId="24" fillId="0" borderId="20" xfId="0" applyNumberFormat="1" applyFont="1" applyBorder="1" applyAlignment="1">
      <alignment horizontal="right" vertical="center"/>
    </xf>
    <xf numFmtId="1" fontId="0" fillId="0" borderId="0" xfId="0" applyNumberFormat="1"/>
    <xf numFmtId="197" fontId="46" fillId="0" borderId="1" xfId="3" applyNumberFormat="1" applyFont="1" applyFill="1" applyBorder="1" applyAlignment="1">
      <alignment vertical="center"/>
    </xf>
    <xf numFmtId="1" fontId="0" fillId="0" borderId="65" xfId="0" applyNumberFormat="1" applyFill="1" applyBorder="1"/>
    <xf numFmtId="195" fontId="15" fillId="0" borderId="0" xfId="4" applyNumberFormat="1" applyFont="1" applyBorder="1" applyAlignment="1" applyProtection="1">
      <alignment vertical="center"/>
    </xf>
    <xf numFmtId="0" fontId="29" fillId="0" borderId="0" xfId="15" applyFont="1" applyFill="1" applyAlignment="1">
      <alignment horizontal="right" vertical="center"/>
    </xf>
    <xf numFmtId="188" fontId="3" fillId="0" borderId="0" xfId="0" applyNumberFormat="1" applyFont="1" applyFill="1" applyBorder="1" applyAlignment="1">
      <alignment horizontal="right" vertical="center"/>
    </xf>
    <xf numFmtId="1" fontId="0" fillId="0" borderId="0" xfId="0" applyNumberFormat="1" applyFill="1" applyBorder="1"/>
    <xf numFmtId="1" fontId="3" fillId="0" borderId="0" xfId="1" applyNumberFormat="1" applyFont="1" applyFill="1" applyBorder="1" applyAlignment="1" applyProtection="1">
      <alignment horizontal="right" vertical="center"/>
    </xf>
    <xf numFmtId="186" fontId="3" fillId="0" borderId="17" xfId="19" applyNumberFormat="1" applyFont="1" applyFill="1" applyBorder="1" applyAlignment="1" applyProtection="1">
      <alignment horizontal="right" vertical="center"/>
    </xf>
    <xf numFmtId="186" fontId="3" fillId="0" borderId="0" xfId="19" applyNumberFormat="1" applyFont="1" applyFill="1" applyBorder="1" applyAlignment="1" applyProtection="1">
      <alignment horizontal="right" vertical="center"/>
    </xf>
    <xf numFmtId="0" fontId="20" fillId="5" borderId="9" xfId="0" applyFont="1" applyFill="1" applyBorder="1" applyAlignment="1" applyProtection="1"/>
    <xf numFmtId="1" fontId="3" fillId="0" borderId="17" xfId="0" applyNumberFormat="1" applyFont="1" applyFill="1" applyBorder="1" applyAlignment="1">
      <alignment horizontal="right" vertical="center"/>
    </xf>
    <xf numFmtId="1" fontId="3" fillId="0" borderId="9" xfId="3" applyNumberFormat="1" applyFont="1" applyFill="1" applyBorder="1" applyAlignment="1" applyProtection="1">
      <alignment horizontal="right" vertical="center"/>
      <protection locked="0"/>
    </xf>
    <xf numFmtId="1" fontId="3" fillId="0" borderId="17" xfId="0" applyNumberFormat="1" applyFont="1" applyFill="1" applyBorder="1" applyAlignment="1" applyProtection="1">
      <alignment horizontal="right" vertical="center"/>
    </xf>
    <xf numFmtId="1" fontId="3" fillId="0" borderId="17" xfId="3" applyNumberFormat="1" applyFont="1" applyFill="1" applyBorder="1" applyAlignment="1" applyProtection="1">
      <alignment horizontal="right" vertical="center"/>
      <protection locked="0"/>
    </xf>
    <xf numFmtId="1" fontId="3" fillId="0" borderId="17" xfId="19" applyNumberFormat="1" applyFont="1" applyFill="1" applyBorder="1" applyAlignment="1" applyProtection="1">
      <alignment horizontal="right" vertical="center"/>
      <protection locked="0"/>
    </xf>
    <xf numFmtId="1" fontId="3" fillId="0" borderId="79" xfId="3" applyNumberFormat="1" applyFont="1" applyFill="1" applyBorder="1" applyAlignment="1">
      <alignment horizontal="right" vertical="center"/>
    </xf>
    <xf numFmtId="1" fontId="3" fillId="3" borderId="0" xfId="3" applyNumberFormat="1" applyFont="1" applyFill="1" applyBorder="1" applyAlignment="1" applyProtection="1">
      <alignment horizontal="right" vertical="center"/>
    </xf>
    <xf numFmtId="1" fontId="52" fillId="5" borderId="73" xfId="19" applyNumberFormat="1" applyFont="1" applyFill="1" applyBorder="1" applyAlignment="1" applyProtection="1">
      <alignment horizontal="right" vertical="center"/>
    </xf>
    <xf numFmtId="1" fontId="15" fillId="5" borderId="73" xfId="19" applyNumberFormat="1" applyFont="1" applyFill="1" applyBorder="1" applyAlignment="1" applyProtection="1">
      <alignment horizontal="right" vertical="center"/>
    </xf>
    <xf numFmtId="1" fontId="46" fillId="0" borderId="0" xfId="3" applyNumberFormat="1" applyFont="1" applyFill="1" applyBorder="1" applyAlignment="1">
      <alignment horizontal="right" vertical="center" wrapText="1"/>
    </xf>
    <xf numFmtId="0" fontId="15" fillId="0" borderId="0" xfId="0" applyFont="1" applyBorder="1" applyAlignment="1">
      <alignment vertical="center" wrapText="1"/>
    </xf>
    <xf numFmtId="1" fontId="3" fillId="6" borderId="0" xfId="2" applyNumberFormat="1" applyFont="1" applyFill="1" applyBorder="1" applyAlignment="1" applyProtection="1">
      <alignment horizontal="right" vertical="center"/>
      <protection locked="0"/>
    </xf>
    <xf numFmtId="1" fontId="3" fillId="5" borderId="80" xfId="19" applyNumberFormat="1" applyFont="1" applyFill="1" applyBorder="1" applyAlignment="1" applyProtection="1">
      <alignment horizontal="right" vertical="center"/>
    </xf>
    <xf numFmtId="1" fontId="3" fillId="5" borderId="0" xfId="19" applyNumberFormat="1" applyFont="1" applyFill="1" applyBorder="1" applyAlignment="1" applyProtection="1">
      <alignment horizontal="right" vertical="center"/>
      <protection locked="0"/>
    </xf>
    <xf numFmtId="1" fontId="52" fillId="5" borderId="80" xfId="19" applyNumberFormat="1" applyFont="1" applyFill="1" applyBorder="1" applyAlignment="1" applyProtection="1">
      <alignment horizontal="right" vertical="center"/>
    </xf>
    <xf numFmtId="1" fontId="3" fillId="5" borderId="0" xfId="2" applyNumberFormat="1" applyFont="1" applyFill="1" applyBorder="1" applyAlignment="1" applyProtection="1">
      <alignment horizontal="right" vertical="center"/>
      <protection locked="0"/>
    </xf>
    <xf numFmtId="1" fontId="24" fillId="0" borderId="0" xfId="19" applyNumberFormat="1" applyFont="1" applyFill="1" applyBorder="1" applyAlignment="1" applyProtection="1">
      <alignment horizontal="right" vertical="center"/>
    </xf>
    <xf numFmtId="1" fontId="24" fillId="0" borderId="0" xfId="0" applyNumberFormat="1" applyFont="1" applyBorder="1" applyAlignment="1">
      <alignment horizontal="right" vertical="center"/>
    </xf>
    <xf numFmtId="1" fontId="15" fillId="5" borderId="80" xfId="19" applyNumberFormat="1" applyFont="1" applyFill="1" applyBorder="1" applyAlignment="1" applyProtection="1">
      <alignment horizontal="right" vertical="center"/>
    </xf>
    <xf numFmtId="1" fontId="24" fillId="5" borderId="80" xfId="19" applyNumberFormat="1" applyFont="1" applyFill="1" applyBorder="1" applyAlignment="1" applyProtection="1">
      <alignment horizontal="right" vertical="center"/>
    </xf>
    <xf numFmtId="11" fontId="3" fillId="0" borderId="0" xfId="3" applyNumberFormat="1" applyFont="1" applyFill="1" applyBorder="1" applyAlignment="1">
      <alignment horizontal="right" vertical="center" wrapText="1"/>
    </xf>
    <xf numFmtId="11" fontId="3" fillId="6" borderId="0" xfId="0" applyNumberFormat="1" applyFont="1" applyFill="1" applyBorder="1" applyAlignment="1">
      <alignment horizontal="right" vertical="center"/>
    </xf>
    <xf numFmtId="11" fontId="3" fillId="5" borderId="0" xfId="19" applyNumberFormat="1" applyFont="1" applyFill="1" applyBorder="1" applyAlignment="1">
      <alignment horizontal="right" vertical="center"/>
    </xf>
    <xf numFmtId="197" fontId="17" fillId="0" borderId="58" xfId="19" applyNumberFormat="1" applyFont="1" applyBorder="1" applyAlignment="1" applyProtection="1">
      <alignment horizontal="left" vertical="center"/>
      <protection locked="0"/>
    </xf>
    <xf numFmtId="9" fontId="3" fillId="5" borderId="20" xfId="1" applyFont="1" applyFill="1" applyBorder="1" applyAlignment="1" applyProtection="1">
      <alignment horizontal="right" vertical="center"/>
    </xf>
    <xf numFmtId="197" fontId="46" fillId="0" borderId="58" xfId="3" applyNumberFormat="1" applyFont="1" applyFill="1" applyBorder="1" applyAlignment="1">
      <alignment vertical="center" wrapText="1"/>
    </xf>
    <xf numFmtId="1" fontId="3" fillId="6" borderId="80" xfId="2" applyNumberFormat="1" applyFont="1" applyFill="1" applyBorder="1" applyAlignment="1" applyProtection="1">
      <alignment horizontal="right" vertical="center"/>
    </xf>
    <xf numFmtId="197" fontId="46" fillId="0" borderId="5" xfId="3" applyNumberFormat="1" applyFont="1" applyFill="1" applyBorder="1" applyAlignment="1">
      <alignment vertical="center"/>
    </xf>
    <xf numFmtId="1" fontId="3" fillId="6" borderId="82" xfId="2" applyNumberFormat="1" applyFont="1" applyFill="1" applyBorder="1" applyAlignment="1" applyProtection="1">
      <alignment horizontal="right" vertical="center"/>
    </xf>
    <xf numFmtId="1" fontId="3" fillId="0" borderId="0" xfId="20" applyNumberFormat="1" applyFont="1" applyFill="1" applyBorder="1" applyAlignment="1">
      <alignment horizontal="right" vertical="center" wrapText="1"/>
    </xf>
    <xf numFmtId="186" fontId="3" fillId="0" borderId="0" xfId="20" applyNumberFormat="1" applyFont="1" applyFill="1" applyBorder="1" applyAlignment="1">
      <alignment horizontal="right" vertical="center" wrapText="1"/>
    </xf>
    <xf numFmtId="188" fontId="3" fillId="0" borderId="0" xfId="20" applyNumberFormat="1" applyFont="1" applyFill="1" applyBorder="1" applyAlignment="1">
      <alignment horizontal="right" vertical="center" wrapText="1"/>
    </xf>
    <xf numFmtId="2" fontId="3" fillId="0" borderId="0" xfId="20" applyNumberFormat="1" applyFont="1" applyFill="1" applyBorder="1" applyAlignment="1">
      <alignment horizontal="right" vertical="center" wrapText="1"/>
    </xf>
    <xf numFmtId="1" fontId="3" fillId="0" borderId="5" xfId="20" applyNumberFormat="1" applyFont="1" applyFill="1" applyBorder="1" applyAlignment="1">
      <alignment horizontal="right" vertical="center" wrapText="1"/>
    </xf>
    <xf numFmtId="1" fontId="3" fillId="0" borderId="0" xfId="20" applyNumberFormat="1" applyFont="1" applyBorder="1" applyAlignment="1">
      <alignment horizontal="right" vertical="center" wrapText="1"/>
    </xf>
    <xf numFmtId="1" fontId="3" fillId="0" borderId="6" xfId="20" applyNumberFormat="1" applyFont="1" applyBorder="1" applyAlignment="1">
      <alignment horizontal="right" vertical="center" wrapText="1"/>
    </xf>
    <xf numFmtId="1" fontId="3" fillId="0" borderId="62" xfId="20" applyNumberFormat="1" applyFont="1" applyBorder="1" applyAlignment="1">
      <alignment horizontal="right" vertical="center" wrapText="1"/>
    </xf>
    <xf numFmtId="0" fontId="46" fillId="0" borderId="0" xfId="0" applyFont="1" applyAlignment="1"/>
    <xf numFmtId="1" fontId="3" fillId="0" borderId="83" xfId="2" applyNumberFormat="1" applyFont="1" applyBorder="1" applyAlignment="1" applyProtection="1">
      <alignment horizontal="right" vertical="center"/>
    </xf>
    <xf numFmtId="1" fontId="3" fillId="0" borderId="84" xfId="2" applyNumberFormat="1" applyFont="1" applyBorder="1" applyAlignment="1" applyProtection="1">
      <alignment horizontal="right" vertical="center"/>
    </xf>
    <xf numFmtId="1" fontId="3" fillId="0" borderId="85" xfId="2" applyNumberFormat="1" applyFont="1" applyBorder="1" applyAlignment="1" applyProtection="1">
      <alignment horizontal="right" vertical="center"/>
    </xf>
    <xf numFmtId="1" fontId="3" fillId="0" borderId="85" xfId="0" applyNumberFormat="1" applyFont="1" applyBorder="1" applyAlignment="1">
      <alignment horizontal="right" vertical="center"/>
    </xf>
    <xf numFmtId="1" fontId="0" fillId="0" borderId="85" xfId="0" applyNumberFormat="1" applyBorder="1"/>
    <xf numFmtId="1" fontId="3" fillId="0" borderId="85" xfId="2" applyNumberFormat="1" applyFont="1" applyFill="1" applyBorder="1" applyAlignment="1" applyProtection="1">
      <alignment horizontal="right" vertical="center"/>
    </xf>
    <xf numFmtId="1" fontId="3" fillId="0" borderId="86" xfId="0" applyNumberFormat="1" applyFont="1" applyBorder="1" applyAlignment="1">
      <alignment horizontal="right" vertical="center"/>
    </xf>
    <xf numFmtId="1" fontId="45" fillId="0" borderId="73" xfId="2" applyNumberFormat="1" applyFont="1" applyBorder="1" applyAlignment="1" applyProtection="1">
      <alignment horizontal="left" vertical="center"/>
    </xf>
    <xf numFmtId="1" fontId="45" fillId="0" borderId="0" xfId="0" applyNumberFormat="1" applyFont="1" applyBorder="1" applyAlignment="1">
      <alignment horizontal="left" vertical="center"/>
    </xf>
    <xf numFmtId="1" fontId="51" fillId="0" borderId="0" xfId="0" applyNumberFormat="1" applyFont="1" applyBorder="1" applyAlignment="1">
      <alignment horizontal="left"/>
    </xf>
    <xf numFmtId="188" fontId="45" fillId="0" borderId="0" xfId="0" applyNumberFormat="1" applyFont="1" applyBorder="1" applyAlignment="1">
      <alignment horizontal="left" vertical="center"/>
    </xf>
    <xf numFmtId="2" fontId="45" fillId="0" borderId="0" xfId="0" applyNumberFormat="1" applyFont="1" applyFill="1" applyBorder="1" applyAlignment="1">
      <alignment horizontal="left" vertical="center"/>
    </xf>
    <xf numFmtId="197" fontId="46" fillId="0" borderId="6" xfId="3" applyNumberFormat="1" applyFont="1" applyFill="1" applyBorder="1" applyAlignment="1">
      <alignment vertical="center"/>
    </xf>
    <xf numFmtId="2" fontId="3" fillId="0" borderId="6" xfId="3" applyNumberFormat="1" applyFont="1" applyFill="1" applyBorder="1" applyAlignment="1">
      <alignment horizontal="right" vertical="center"/>
    </xf>
    <xf numFmtId="1" fontId="15" fillId="0" borderId="72" xfId="2" applyNumberFormat="1" applyFont="1" applyFill="1" applyBorder="1" applyAlignment="1" applyProtection="1">
      <alignment horizontal="right" vertical="center"/>
    </xf>
    <xf numFmtId="1" fontId="15" fillId="10" borderId="60" xfId="2" applyNumberFormat="1" applyFont="1" applyFill="1" applyBorder="1" applyAlignment="1" applyProtection="1">
      <alignment vertical="center"/>
    </xf>
    <xf numFmtId="1" fontId="15" fillId="0" borderId="60" xfId="0" applyNumberFormat="1" applyFont="1" applyFill="1" applyBorder="1" applyAlignment="1" applyProtection="1">
      <alignment horizontal="right" vertical="center"/>
    </xf>
    <xf numFmtId="1" fontId="15" fillId="0" borderId="60" xfId="0" applyNumberFormat="1" applyFont="1" applyFill="1" applyBorder="1" applyAlignment="1" applyProtection="1">
      <alignment vertical="center"/>
    </xf>
    <xf numFmtId="1" fontId="15" fillId="0" borderId="60" xfId="0" applyNumberFormat="1" applyFont="1" applyBorder="1" applyAlignment="1">
      <alignment vertical="center"/>
    </xf>
    <xf numFmtId="1" fontId="15" fillId="0" borderId="60" xfId="20" applyNumberFormat="1" applyFont="1" applyBorder="1" applyAlignment="1">
      <alignment horizontal="right" vertical="center"/>
    </xf>
    <xf numFmtId="1" fontId="15" fillId="0" borderId="61" xfId="20" applyNumberFormat="1" applyFont="1" applyBorder="1" applyAlignment="1">
      <alignment horizontal="right" vertical="center"/>
    </xf>
    <xf numFmtId="0" fontId="15" fillId="0" borderId="60" xfId="0" applyFont="1" applyBorder="1"/>
    <xf numFmtId="9" fontId="15" fillId="0" borderId="60" xfId="1" applyFont="1" applyBorder="1"/>
    <xf numFmtId="186" fontId="15" fillId="0" borderId="60" xfId="0" applyNumberFormat="1" applyFont="1" applyBorder="1"/>
    <xf numFmtId="0" fontId="15" fillId="0" borderId="77" xfId="0" applyFont="1" applyBorder="1"/>
    <xf numFmtId="1" fontId="3" fillId="0" borderId="0" xfId="20" applyNumberFormat="1" applyFont="1" applyFill="1" applyBorder="1" applyAlignment="1">
      <alignment horizontal="right" vertical="center"/>
    </xf>
    <xf numFmtId="1" fontId="50" fillId="0" borderId="20" xfId="0" applyNumberFormat="1" applyFont="1" applyBorder="1" applyAlignment="1">
      <alignment vertical="center"/>
    </xf>
    <xf numFmtId="0" fontId="15" fillId="0" borderId="0" xfId="0" applyFont="1" applyBorder="1"/>
    <xf numFmtId="9" fontId="15" fillId="0" borderId="0" xfId="1" applyFont="1" applyBorder="1"/>
    <xf numFmtId="186" fontId="15" fillId="0" borderId="0" xfId="0" applyNumberFormat="1" applyFont="1" applyBorder="1"/>
    <xf numFmtId="0" fontId="15" fillId="0" borderId="6" xfId="0" applyFont="1" applyBorder="1"/>
    <xf numFmtId="1" fontId="15" fillId="0" borderId="87" xfId="0" applyNumberFormat="1" applyFont="1" applyBorder="1" applyAlignment="1">
      <alignment horizontal="right" vertical="center"/>
    </xf>
    <xf numFmtId="2" fontId="17" fillId="0" borderId="88" xfId="20" applyNumberFormat="1" applyFont="1" applyBorder="1"/>
    <xf numFmtId="2" fontId="17" fillId="0" borderId="89" xfId="20" applyNumberFormat="1" applyFont="1" applyBorder="1"/>
    <xf numFmtId="2" fontId="17" fillId="0" borderId="90" xfId="20" applyNumberFormat="1" applyFont="1" applyBorder="1"/>
    <xf numFmtId="1" fontId="53" fillId="0" borderId="58" xfId="2" applyNumberFormat="1" applyFont="1" applyBorder="1" applyAlignment="1" applyProtection="1">
      <alignment horizontal="right" vertical="center"/>
    </xf>
    <xf numFmtId="1" fontId="53" fillId="0" borderId="0" xfId="2" applyNumberFormat="1" applyFont="1" applyFill="1" applyBorder="1" applyAlignment="1" applyProtection="1">
      <alignment horizontal="right" vertical="center"/>
    </xf>
    <xf numFmtId="1" fontId="53" fillId="0" borderId="0" xfId="0" applyNumberFormat="1" applyFont="1" applyBorder="1" applyAlignment="1">
      <alignment horizontal="right" vertical="center"/>
    </xf>
    <xf numFmtId="1" fontId="53" fillId="0" borderId="0" xfId="2" applyNumberFormat="1" applyFont="1" applyBorder="1" applyAlignment="1" applyProtection="1">
      <alignment horizontal="right" vertical="center"/>
    </xf>
    <xf numFmtId="0" fontId="5" fillId="0" borderId="91" xfId="0" applyFont="1" applyBorder="1"/>
    <xf numFmtId="0" fontId="5" fillId="0" borderId="20" xfId="0" applyFont="1" applyBorder="1"/>
    <xf numFmtId="1" fontId="53" fillId="0" borderId="58" xfId="2" applyNumberFormat="1" applyFont="1" applyBorder="1" applyAlignment="1">
      <alignment vertical="center"/>
    </xf>
    <xf numFmtId="1" fontId="53" fillId="0" borderId="0" xfId="2" applyNumberFormat="1" applyFont="1" applyFill="1" applyBorder="1" applyAlignment="1">
      <alignment vertical="center"/>
    </xf>
    <xf numFmtId="1" fontId="53" fillId="0" borderId="0" xfId="2" applyNumberFormat="1" applyFont="1" applyBorder="1" applyAlignment="1">
      <alignment vertical="center"/>
    </xf>
    <xf numFmtId="0" fontId="5" fillId="0" borderId="0" xfId="0" applyFont="1" applyBorder="1"/>
    <xf numFmtId="1" fontId="53" fillId="0" borderId="58" xfId="2" applyNumberFormat="1" applyFont="1" applyFill="1" applyBorder="1" applyAlignment="1" applyProtection="1">
      <alignment horizontal="right" vertical="center"/>
    </xf>
    <xf numFmtId="1" fontId="53" fillId="0" borderId="64" xfId="2" applyNumberFormat="1" applyFont="1" applyBorder="1" applyAlignment="1" applyProtection="1">
      <alignment horizontal="right" vertical="center"/>
    </xf>
    <xf numFmtId="1" fontId="54" fillId="0" borderId="65" xfId="20" applyNumberFormat="1" applyFont="1" applyFill="1" applyBorder="1" applyAlignment="1">
      <alignment horizontal="right" vertical="center" wrapText="1"/>
    </xf>
    <xf numFmtId="1" fontId="53" fillId="0" borderId="65" xfId="2" applyNumberFormat="1" applyFont="1" applyBorder="1" applyAlignment="1" applyProtection="1">
      <alignment horizontal="right" vertical="center"/>
    </xf>
    <xf numFmtId="0" fontId="17" fillId="0" borderId="65" xfId="0" applyFont="1" applyBorder="1"/>
    <xf numFmtId="0" fontId="5" fillId="0" borderId="65" xfId="0" applyFont="1" applyBorder="1"/>
    <xf numFmtId="0" fontId="5" fillId="0" borderId="68" xfId="0" applyFont="1" applyBorder="1"/>
    <xf numFmtId="1" fontId="5" fillId="0" borderId="65" xfId="0" applyNumberFormat="1" applyFont="1" applyBorder="1"/>
    <xf numFmtId="0" fontId="5" fillId="0" borderId="67" xfId="0" applyFont="1" applyBorder="1"/>
    <xf numFmtId="0" fontId="5" fillId="0" borderId="0" xfId="0" applyFont="1"/>
    <xf numFmtId="0" fontId="17" fillId="3" borderId="58" xfId="0" applyFont="1" applyFill="1" applyBorder="1" applyAlignment="1" applyProtection="1">
      <alignment horizontal="right"/>
      <protection locked="0"/>
    </xf>
    <xf numFmtId="0" fontId="17" fillId="0" borderId="0" xfId="0" applyFont="1" applyFill="1" applyBorder="1"/>
    <xf numFmtId="0" fontId="17" fillId="3" borderId="0" xfId="0" applyFont="1" applyFill="1" applyBorder="1" applyAlignment="1" applyProtection="1">
      <alignment horizontal="right"/>
      <protection locked="0"/>
    </xf>
    <xf numFmtId="0" fontId="17" fillId="3" borderId="0" xfId="0" applyFont="1" applyFill="1" applyBorder="1" applyProtection="1">
      <protection locked="0"/>
    </xf>
    <xf numFmtId="0" fontId="17" fillId="0" borderId="20" xfId="0" applyFont="1" applyBorder="1"/>
    <xf numFmtId="0" fontId="5" fillId="0" borderId="5" xfId="0" applyFont="1" applyBorder="1"/>
    <xf numFmtId="0" fontId="5" fillId="0" borderId="60" xfId="0" applyFont="1" applyBorder="1"/>
    <xf numFmtId="1" fontId="5" fillId="0" borderId="60" xfId="0" applyNumberFormat="1" applyFont="1" applyBorder="1"/>
    <xf numFmtId="0" fontId="5" fillId="0" borderId="77" xfId="0" applyFont="1" applyBorder="1"/>
    <xf numFmtId="1" fontId="17" fillId="0" borderId="92" xfId="20" applyNumberFormat="1" applyFont="1" applyFill="1" applyBorder="1" applyAlignment="1">
      <alignment horizontal="right" vertical="center"/>
    </xf>
    <xf numFmtId="1" fontId="53" fillId="0" borderId="1" xfId="19" applyNumberFormat="1" applyFont="1" applyFill="1" applyBorder="1" applyAlignment="1" applyProtection="1">
      <alignment horizontal="right" vertical="center"/>
    </xf>
    <xf numFmtId="1" fontId="53" fillId="0" borderId="1" xfId="7" applyNumberFormat="1" applyFont="1" applyFill="1" applyBorder="1" applyAlignment="1">
      <alignment horizontal="right" vertical="center"/>
    </xf>
    <xf numFmtId="1" fontId="17" fillId="0" borderId="1" xfId="7" applyNumberFormat="1" applyFont="1" applyBorder="1" applyAlignment="1">
      <alignment horizontal="right"/>
    </xf>
    <xf numFmtId="1" fontId="17" fillId="0" borderId="62" xfId="7" applyNumberFormat="1" applyFont="1" applyBorder="1" applyAlignment="1">
      <alignment horizontal="right"/>
    </xf>
    <xf numFmtId="1" fontId="53" fillId="0" borderId="1" xfId="7" applyNumberFormat="1" applyFont="1" applyBorder="1"/>
    <xf numFmtId="1" fontId="53" fillId="0" borderId="7" xfId="7" applyNumberFormat="1" applyFont="1" applyBorder="1"/>
    <xf numFmtId="1" fontId="53" fillId="0" borderId="8" xfId="7" applyNumberFormat="1" applyFont="1" applyBorder="1"/>
    <xf numFmtId="1" fontId="3" fillId="3" borderId="77" xfId="2" applyNumberFormat="1" applyFont="1" applyFill="1" applyBorder="1" applyAlignment="1" applyProtection="1">
      <alignment horizontal="center" vertical="center"/>
      <protection locked="0"/>
    </xf>
    <xf numFmtId="11" fontId="3" fillId="0" borderId="60" xfId="2" applyNumberFormat="1" applyFont="1" applyFill="1" applyBorder="1" applyAlignment="1" applyProtection="1">
      <alignment horizontal="center" vertical="center"/>
    </xf>
    <xf numFmtId="1" fontId="3" fillId="5" borderId="6" xfId="2" applyNumberFormat="1" applyFont="1" applyFill="1" applyBorder="1" applyAlignment="1" applyProtection="1">
      <alignment horizontal="center" vertical="center"/>
    </xf>
    <xf numFmtId="11" fontId="3" fillId="0" borderId="0" xfId="2" applyNumberFormat="1" applyFont="1" applyFill="1" applyBorder="1" applyAlignment="1" applyProtection="1">
      <alignment horizontal="center" vertical="center"/>
    </xf>
    <xf numFmtId="1" fontId="3" fillId="3" borderId="6" xfId="2" applyNumberFormat="1" applyFont="1" applyFill="1" applyBorder="1" applyAlignment="1" applyProtection="1">
      <alignment horizontal="center" vertical="center"/>
      <protection locked="0"/>
    </xf>
    <xf numFmtId="11" fontId="3" fillId="0" borderId="0" xfId="0" applyNumberFormat="1" applyFont="1" applyBorder="1" applyAlignment="1">
      <alignment horizontal="right" vertical="center"/>
    </xf>
    <xf numFmtId="1" fontId="3" fillId="0" borderId="77" xfId="2" applyNumberFormat="1" applyFont="1" applyBorder="1" applyAlignment="1" applyProtection="1">
      <alignment horizontal="right" vertical="center"/>
    </xf>
    <xf numFmtId="11" fontId="3" fillId="0" borderId="60" xfId="0" applyNumberFormat="1" applyFont="1" applyBorder="1" applyAlignment="1">
      <alignment horizontal="right" vertical="center"/>
    </xf>
    <xf numFmtId="197" fontId="46" fillId="0" borderId="0" xfId="3" applyNumberFormat="1" applyFont="1" applyFill="1" applyBorder="1" applyAlignment="1">
      <alignment vertical="center"/>
    </xf>
    <xf numFmtId="11" fontId="3" fillId="0" borderId="0" xfId="3" applyNumberFormat="1" applyFont="1" applyFill="1" applyBorder="1" applyAlignment="1">
      <alignment horizontal="right" vertical="center"/>
    </xf>
    <xf numFmtId="0" fontId="15" fillId="0" borderId="93" xfId="21" applyFont="1" applyBorder="1" applyAlignment="1">
      <alignment horizontal="right"/>
    </xf>
    <xf numFmtId="1" fontId="15" fillId="0" borderId="94" xfId="3" applyNumberFormat="1" applyFont="1" applyBorder="1" applyAlignment="1">
      <alignment horizontal="right" vertical="center"/>
    </xf>
    <xf numFmtId="0" fontId="15" fillId="0" borderId="95" xfId="21" applyFont="1" applyBorder="1" applyAlignment="1">
      <alignment horizontal="right"/>
    </xf>
    <xf numFmtId="0" fontId="15" fillId="0" borderId="94" xfId="21" applyFont="1" applyBorder="1" applyAlignment="1">
      <alignment horizontal="right"/>
    </xf>
    <xf numFmtId="0" fontId="15" fillId="0" borderId="96" xfId="21" applyFont="1" applyBorder="1" applyAlignment="1">
      <alignment horizontal="right"/>
    </xf>
    <xf numFmtId="1" fontId="15" fillId="0" borderId="89" xfId="21" applyNumberFormat="1" applyFont="1" applyBorder="1"/>
    <xf numFmtId="1" fontId="15" fillId="0" borderId="97" xfId="21" applyNumberFormat="1" applyFont="1" applyBorder="1"/>
    <xf numFmtId="0" fontId="15" fillId="0" borderId="98" xfId="21" applyFont="1" applyBorder="1"/>
    <xf numFmtId="0" fontId="15" fillId="0" borderId="96" xfId="21" applyFont="1" applyBorder="1"/>
    <xf numFmtId="0" fontId="15" fillId="0" borderId="95" xfId="21" applyFont="1" applyBorder="1"/>
    <xf numFmtId="0" fontId="15" fillId="0" borderId="94" xfId="21" applyFont="1" applyBorder="1"/>
    <xf numFmtId="1" fontId="15" fillId="0" borderId="95" xfId="21" applyNumberFormat="1" applyFont="1" applyBorder="1"/>
    <xf numFmtId="1" fontId="15" fillId="0" borderId="89" xfId="21" applyNumberFormat="1" applyFont="1" applyBorder="1" applyAlignment="1"/>
    <xf numFmtId="1" fontId="15" fillId="0" borderId="94" xfId="21" applyNumberFormat="1" applyFont="1" applyBorder="1" applyAlignment="1"/>
    <xf numFmtId="1" fontId="15" fillId="0" borderId="99" xfId="21" applyNumberFormat="1" applyFont="1" applyBorder="1"/>
    <xf numFmtId="0" fontId="15" fillId="0" borderId="100" xfId="21" applyFont="1" applyBorder="1"/>
    <xf numFmtId="1" fontId="15" fillId="0" borderId="101" xfId="22" applyNumberFormat="1" applyFont="1" applyBorder="1" applyAlignment="1">
      <alignment horizontal="right"/>
    </xf>
    <xf numFmtId="204" fontId="15" fillId="0" borderId="102" xfId="21" applyNumberFormat="1" applyFont="1" applyBorder="1"/>
    <xf numFmtId="0" fontId="15" fillId="0" borderId="102" xfId="21" applyFont="1" applyBorder="1"/>
    <xf numFmtId="2" fontId="15" fillId="0" borderId="103" xfId="21" applyNumberFormat="1" applyFont="1" applyBorder="1"/>
    <xf numFmtId="1" fontId="15" fillId="0" borderId="101" xfId="21" applyNumberFormat="1" applyFont="1" applyBorder="1"/>
    <xf numFmtId="1" fontId="15" fillId="0" borderId="102" xfId="21" applyNumberFormat="1" applyFont="1" applyBorder="1"/>
    <xf numFmtId="1" fontId="15" fillId="0" borderId="104" xfId="21" applyNumberFormat="1" applyFont="1" applyBorder="1"/>
    <xf numFmtId="1" fontId="15" fillId="0" borderId="105" xfId="21" applyNumberFormat="1" applyFont="1" applyBorder="1"/>
    <xf numFmtId="0" fontId="15" fillId="0" borderId="106" xfId="21" applyFont="1" applyBorder="1"/>
    <xf numFmtId="0" fontId="15" fillId="0" borderId="13" xfId="21" applyFont="1" applyBorder="1"/>
    <xf numFmtId="204" fontId="15" fillId="0" borderId="14" xfId="21" applyNumberFormat="1" applyFont="1" applyBorder="1"/>
    <xf numFmtId="0" fontId="15" fillId="0" borderId="14" xfId="21" applyFont="1" applyBorder="1"/>
    <xf numFmtId="2" fontId="15" fillId="0" borderId="11" xfId="21" applyNumberFormat="1" applyFont="1" applyBorder="1"/>
    <xf numFmtId="1" fontId="15" fillId="0" borderId="12" xfId="21" applyNumberFormat="1" applyFont="1" applyBorder="1"/>
    <xf numFmtId="1" fontId="15" fillId="0" borderId="13" xfId="21" applyNumberFormat="1" applyFont="1" applyBorder="1"/>
    <xf numFmtId="1" fontId="15" fillId="0" borderId="107" xfId="21" applyNumberFormat="1" applyFont="1" applyBorder="1"/>
    <xf numFmtId="0" fontId="15" fillId="0" borderId="106" xfId="3" applyFont="1" applyBorder="1"/>
    <xf numFmtId="1" fontId="15" fillId="0" borderId="13" xfId="22" applyNumberFormat="1" applyFont="1" applyBorder="1" applyAlignment="1" applyProtection="1">
      <alignment horizontal="right"/>
    </xf>
    <xf numFmtId="204" fontId="15" fillId="5" borderId="14" xfId="21" applyNumberFormat="1" applyFont="1" applyFill="1" applyBorder="1"/>
    <xf numFmtId="1" fontId="15" fillId="0" borderId="107" xfId="3" applyNumberFormat="1" applyFont="1" applyBorder="1"/>
    <xf numFmtId="0" fontId="15" fillId="0" borderId="108" xfId="3" applyFont="1" applyBorder="1"/>
    <xf numFmtId="1" fontId="3" fillId="0" borderId="109" xfId="3" applyNumberFormat="1" applyFont="1" applyFill="1" applyBorder="1" applyAlignment="1">
      <alignment horizontal="right" vertical="center"/>
    </xf>
    <xf numFmtId="204" fontId="15" fillId="5" borderId="110" xfId="21" applyNumberFormat="1" applyFont="1" applyFill="1" applyBorder="1"/>
    <xf numFmtId="0" fontId="15" fillId="0" borderId="110" xfId="3" applyFont="1" applyBorder="1"/>
    <xf numFmtId="2" fontId="15" fillId="0" borderId="111" xfId="3" applyNumberFormat="1" applyFont="1" applyBorder="1"/>
    <xf numFmtId="0" fontId="15" fillId="0" borderId="109" xfId="3" applyFont="1" applyBorder="1"/>
    <xf numFmtId="1" fontId="15" fillId="0" borderId="112" xfId="3" applyNumberFormat="1" applyFont="1" applyBorder="1"/>
    <xf numFmtId="1" fontId="15" fillId="0" borderId="112" xfId="21" applyNumberFormat="1" applyFont="1" applyBorder="1"/>
    <xf numFmtId="1" fontId="15" fillId="0" borderId="109" xfId="21" applyNumberFormat="1" applyFont="1" applyBorder="1"/>
    <xf numFmtId="1" fontId="15" fillId="0" borderId="113" xfId="3" applyNumberFormat="1" applyFont="1" applyBorder="1"/>
    <xf numFmtId="3" fontId="15" fillId="0" borderId="0" xfId="16" applyNumberFormat="1" applyFont="1" applyFill="1" applyAlignment="1" applyProtection="1">
      <alignment horizontal="left"/>
    </xf>
    <xf numFmtId="1" fontId="15" fillId="0" borderId="0" xfId="22" applyNumberFormat="1" applyFont="1"/>
    <xf numFmtId="1" fontId="50" fillId="0" borderId="60" xfId="0" applyNumberFormat="1" applyFont="1" applyFill="1" applyBorder="1" applyAlignment="1">
      <alignment vertical="center"/>
    </xf>
    <xf numFmtId="1" fontId="50" fillId="0" borderId="0" xfId="0" applyNumberFormat="1" applyFont="1" applyFill="1" applyBorder="1" applyAlignment="1">
      <alignment vertical="center"/>
    </xf>
    <xf numFmtId="0" fontId="15" fillId="0" borderId="6" xfId="0" applyFont="1" applyBorder="1" applyAlignment="1">
      <alignment vertical="center" wrapText="1"/>
    </xf>
    <xf numFmtId="1" fontId="24" fillId="0" borderId="5" xfId="0" applyNumberFormat="1" applyFont="1" applyBorder="1" applyAlignment="1">
      <alignment vertical="center" wrapText="1"/>
    </xf>
    <xf numFmtId="1" fontId="15" fillId="0" borderId="0" xfId="0" applyNumberFormat="1" applyFont="1" applyBorder="1" applyAlignment="1">
      <alignment vertical="center" wrapText="1"/>
    </xf>
    <xf numFmtId="9" fontId="15" fillId="0" borderId="0" xfId="10" applyFont="1" applyBorder="1" applyAlignment="1">
      <alignment vertical="center" wrapText="1"/>
    </xf>
    <xf numFmtId="186" fontId="15" fillId="0" borderId="114" xfId="0" applyNumberFormat="1" applyFont="1" applyBorder="1" applyAlignment="1">
      <alignment vertical="center" wrapText="1"/>
    </xf>
    <xf numFmtId="186" fontId="24" fillId="0" borderId="3" xfId="0" applyNumberFormat="1" applyFont="1" applyBorder="1" applyAlignment="1">
      <alignment vertical="center" wrapText="1"/>
    </xf>
    <xf numFmtId="186" fontId="15" fillId="0" borderId="3" xfId="0" applyNumberFormat="1" applyFont="1" applyBorder="1" applyAlignment="1">
      <alignment vertical="center" wrapText="1"/>
    </xf>
    <xf numFmtId="186" fontId="15" fillId="0" borderId="115" xfId="0" applyNumberFormat="1" applyFont="1" applyBorder="1" applyAlignment="1">
      <alignment vertical="center" wrapText="1"/>
    </xf>
    <xf numFmtId="186" fontId="24" fillId="0" borderId="0" xfId="0" applyNumberFormat="1" applyFont="1" applyBorder="1" applyAlignment="1">
      <alignment vertical="center" wrapText="1"/>
    </xf>
    <xf numFmtId="186" fontId="15" fillId="0" borderId="6" xfId="0" applyNumberFormat="1" applyFont="1" applyBorder="1" applyAlignment="1">
      <alignment vertical="center" wrapText="1"/>
    </xf>
    <xf numFmtId="0" fontId="15" fillId="5" borderId="0" xfId="3" applyFont="1" applyFill="1" applyBorder="1" applyAlignment="1">
      <alignment horizontal="right"/>
    </xf>
    <xf numFmtId="0" fontId="15" fillId="0" borderId="6" xfId="0" applyFont="1" applyBorder="1" applyAlignment="1">
      <alignment horizontal="right"/>
    </xf>
    <xf numFmtId="1" fontId="15" fillId="0" borderId="5" xfId="0" applyNumberFormat="1" applyFont="1" applyBorder="1"/>
    <xf numFmtId="1" fontId="15" fillId="0" borderId="0" xfId="0" applyNumberFormat="1" applyFont="1" applyBorder="1"/>
    <xf numFmtId="9" fontId="15" fillId="0" borderId="0" xfId="10" applyFont="1" applyBorder="1"/>
    <xf numFmtId="186" fontId="15" fillId="0" borderId="114" xfId="0" applyNumberFormat="1" applyFont="1" applyBorder="1"/>
    <xf numFmtId="186" fontId="15" fillId="0" borderId="6" xfId="0" applyNumberFormat="1" applyFont="1" applyBorder="1"/>
    <xf numFmtId="1" fontId="57" fillId="0" borderId="3" xfId="2" applyNumberFormat="1" applyFont="1" applyFill="1" applyBorder="1" applyAlignment="1" applyProtection="1">
      <alignment horizontal="center" vertical="center"/>
    </xf>
    <xf numFmtId="0" fontId="56" fillId="0" borderId="3" xfId="0" applyFont="1" applyBorder="1" applyProtection="1"/>
    <xf numFmtId="14" fontId="55" fillId="0" borderId="4" xfId="0" applyNumberFormat="1" applyFont="1" applyBorder="1" applyAlignment="1" applyProtection="1"/>
    <xf numFmtId="0" fontId="56" fillId="0" borderId="0" xfId="0" applyFont="1" applyProtection="1"/>
    <xf numFmtId="0" fontId="56" fillId="0" borderId="0" xfId="0" applyFont="1" applyBorder="1" applyProtection="1"/>
    <xf numFmtId="14" fontId="58" fillId="0" borderId="0" xfId="2" applyNumberFormat="1" applyFont="1" applyFill="1" applyBorder="1" applyAlignment="1" applyProtection="1">
      <alignment vertical="center"/>
    </xf>
    <xf numFmtId="14" fontId="56" fillId="0" borderId="0" xfId="0" applyNumberFormat="1" applyFont="1" applyFill="1" applyBorder="1" applyAlignment="1" applyProtection="1"/>
    <xf numFmtId="14" fontId="55" fillId="3" borderId="6" xfId="0" applyNumberFormat="1" applyFont="1" applyFill="1" applyBorder="1" applyAlignment="1" applyProtection="1">
      <protection locked="0"/>
    </xf>
    <xf numFmtId="179" fontId="63" fillId="0" borderId="0" xfId="2" applyNumberFormat="1" applyFont="1" applyBorder="1" applyAlignment="1" applyProtection="1">
      <alignment vertical="center"/>
    </xf>
    <xf numFmtId="179" fontId="64" fillId="0" borderId="0" xfId="2" applyNumberFormat="1" applyFont="1" applyFill="1" applyBorder="1" applyAlignment="1" applyProtection="1">
      <alignment horizontal="center" vertical="center"/>
    </xf>
    <xf numFmtId="179" fontId="63" fillId="0" borderId="0" xfId="2" applyNumberFormat="1" applyFont="1" applyFill="1" applyBorder="1" applyAlignment="1" applyProtection="1">
      <alignment horizontal="left" vertical="center"/>
    </xf>
    <xf numFmtId="179" fontId="65" fillId="0" borderId="0" xfId="2" applyNumberFormat="1" applyFont="1" applyFill="1" applyBorder="1" applyAlignment="1" applyProtection="1">
      <alignment vertical="center"/>
    </xf>
    <xf numFmtId="179" fontId="63" fillId="0" borderId="0" xfId="2" applyNumberFormat="1" applyFont="1" applyFill="1" applyBorder="1" applyAlignment="1" applyProtection="1">
      <alignment vertical="center"/>
    </xf>
    <xf numFmtId="179" fontId="63" fillId="0" borderId="0" xfId="2" applyNumberFormat="1" applyFont="1" applyBorder="1" applyAlignment="1" applyProtection="1">
      <alignment horizontal="center" vertical="center"/>
    </xf>
    <xf numFmtId="179" fontId="63" fillId="0" borderId="6" xfId="2" applyNumberFormat="1" applyFont="1" applyBorder="1" applyAlignment="1" applyProtection="1">
      <alignment vertical="center"/>
    </xf>
    <xf numFmtId="179" fontId="63" fillId="0" borderId="0" xfId="2" applyNumberFormat="1" applyFont="1" applyAlignment="1" applyProtection="1">
      <alignment vertical="center"/>
    </xf>
    <xf numFmtId="179" fontId="59" fillId="0" borderId="7" xfId="2" applyNumberFormat="1" applyFont="1" applyFill="1" applyBorder="1" applyAlignment="1" applyProtection="1">
      <alignment vertical="center"/>
      <protection locked="0"/>
    </xf>
    <xf numFmtId="179" fontId="59" fillId="3" borderId="7" xfId="2" applyNumberFormat="1" applyFont="1" applyFill="1" applyBorder="1" applyAlignment="1" applyProtection="1">
      <alignment horizontal="center" vertical="center"/>
      <protection locked="0"/>
    </xf>
    <xf numFmtId="179" fontId="66" fillId="0" borderId="33" xfId="2" applyNumberFormat="1" applyFont="1" applyFill="1" applyBorder="1" applyAlignment="1" applyProtection="1">
      <alignment horizontal="center" vertical="center"/>
      <protection locked="0"/>
    </xf>
    <xf numFmtId="179" fontId="64" fillId="0" borderId="0" xfId="2" applyNumberFormat="1" applyFont="1" applyFill="1" applyBorder="1" applyAlignment="1" applyProtection="1">
      <alignment horizontal="left" vertical="center"/>
    </xf>
    <xf numFmtId="179" fontId="68" fillId="0" borderId="0" xfId="2" applyNumberFormat="1" applyFont="1" applyFill="1" applyBorder="1" applyAlignment="1" applyProtection="1">
      <alignment horizontal="center" vertical="center"/>
    </xf>
    <xf numFmtId="179" fontId="59" fillId="0" borderId="5" xfId="2" applyNumberFormat="1" applyFont="1" applyFill="1" applyBorder="1" applyAlignment="1" applyProtection="1">
      <alignment vertical="center"/>
    </xf>
    <xf numFmtId="179" fontId="59" fillId="0" borderId="0" xfId="2" applyNumberFormat="1" applyFont="1" applyFill="1" applyBorder="1" applyAlignment="1" applyProtection="1">
      <alignment horizontal="center" vertical="center"/>
    </xf>
    <xf numFmtId="14" fontId="69" fillId="0" borderId="0" xfId="2" applyNumberFormat="1" applyFont="1" applyFill="1" applyBorder="1" applyAlignment="1" applyProtection="1">
      <alignment horizontal="left" vertical="center"/>
    </xf>
    <xf numFmtId="179" fontId="69" fillId="0" borderId="0" xfId="2" applyNumberFormat="1" applyFont="1" applyFill="1" applyBorder="1" applyAlignment="1" applyProtection="1">
      <alignment horizontal="left" vertical="center"/>
    </xf>
    <xf numFmtId="179" fontId="69" fillId="0" borderId="1" xfId="2" applyNumberFormat="1" applyFont="1" applyFill="1" applyBorder="1" applyAlignment="1" applyProtection="1">
      <alignment horizontal="left" vertical="center"/>
    </xf>
    <xf numFmtId="179" fontId="63" fillId="0" borderId="6" xfId="2" applyNumberFormat="1" applyFont="1" applyFill="1" applyBorder="1" applyAlignment="1" applyProtection="1">
      <alignment vertical="center"/>
    </xf>
    <xf numFmtId="179" fontId="69" fillId="0" borderId="9" xfId="2" applyNumberFormat="1" applyFont="1" applyBorder="1" applyAlignment="1" applyProtection="1">
      <alignment vertical="center"/>
    </xf>
    <xf numFmtId="179" fontId="69" fillId="0" borderId="17" xfId="2" applyNumberFormat="1" applyFont="1" applyFill="1" applyBorder="1" applyAlignment="1" applyProtection="1">
      <alignment horizontal="center" vertical="center"/>
    </xf>
    <xf numFmtId="179" fontId="60" fillId="0" borderId="17" xfId="2" applyNumberFormat="1" applyFont="1" applyFill="1" applyBorder="1" applyAlignment="1" applyProtection="1">
      <alignment horizontal="left" vertical="center"/>
    </xf>
    <xf numFmtId="179" fontId="60" fillId="0" borderId="16" xfId="2" applyNumberFormat="1" applyFont="1" applyBorder="1" applyAlignment="1" applyProtection="1">
      <alignment vertical="center"/>
    </xf>
    <xf numFmtId="179" fontId="69" fillId="0" borderId="0" xfId="2" applyNumberFormat="1" applyFont="1" applyFill="1" applyBorder="1" applyAlignment="1" applyProtection="1">
      <alignment horizontal="center" vertical="center"/>
    </xf>
    <xf numFmtId="179" fontId="60" fillId="3" borderId="5" xfId="2" applyNumberFormat="1" applyFont="1" applyFill="1" applyBorder="1" applyAlignment="1" applyProtection="1">
      <alignment vertical="center"/>
    </xf>
    <xf numFmtId="197" fontId="60" fillId="3" borderId="0" xfId="2" applyNumberFormat="1" applyFont="1" applyFill="1" applyBorder="1" applyAlignment="1" applyProtection="1">
      <alignment vertical="center"/>
      <protection locked="0"/>
    </xf>
    <xf numFmtId="179" fontId="60" fillId="0" borderId="0" xfId="2" applyNumberFormat="1" applyFont="1" applyBorder="1" applyAlignment="1" applyProtection="1">
      <alignment vertical="center"/>
    </xf>
    <xf numFmtId="197" fontId="60" fillId="0" borderId="0" xfId="2" applyNumberFormat="1" applyFont="1" applyBorder="1" applyAlignment="1" applyProtection="1">
      <alignment vertical="center"/>
    </xf>
    <xf numFmtId="197" fontId="60" fillId="0" borderId="6" xfId="2" applyNumberFormat="1" applyFont="1" applyBorder="1" applyAlignment="1" applyProtection="1">
      <alignment vertical="center"/>
    </xf>
    <xf numFmtId="179" fontId="70" fillId="0" borderId="0" xfId="2" applyNumberFormat="1" applyFont="1" applyFill="1" applyBorder="1" applyAlignment="1" applyProtection="1">
      <alignment vertical="center"/>
    </xf>
    <xf numFmtId="179" fontId="60" fillId="0" borderId="0" xfId="2" applyNumberFormat="1" applyFont="1" applyFill="1" applyBorder="1" applyAlignment="1" applyProtection="1">
      <alignment vertical="center"/>
    </xf>
    <xf numFmtId="179" fontId="64" fillId="0" borderId="0" xfId="2" applyNumberFormat="1" applyFont="1" applyFill="1" applyBorder="1" applyAlignment="1" applyProtection="1">
      <alignment vertical="center"/>
    </xf>
    <xf numFmtId="184" fontId="63" fillId="0" borderId="0" xfId="2" applyNumberFormat="1" applyFont="1" applyFill="1" applyBorder="1" applyAlignment="1" applyProtection="1">
      <alignment vertical="center"/>
    </xf>
    <xf numFmtId="179" fontId="60" fillId="0" borderId="5" xfId="2" applyNumberFormat="1" applyFont="1" applyFill="1" applyBorder="1" applyAlignment="1" applyProtection="1">
      <alignment vertical="center"/>
    </xf>
    <xf numFmtId="188" fontId="60" fillId="0" borderId="0" xfId="2" applyNumberFormat="1" applyFont="1" applyBorder="1" applyAlignment="1" applyProtection="1">
      <alignment vertical="center"/>
    </xf>
    <xf numFmtId="182" fontId="63" fillId="0" borderId="0" xfId="2" applyNumberFormat="1" applyFont="1" applyFill="1" applyBorder="1" applyAlignment="1" applyProtection="1">
      <alignment vertical="center"/>
    </xf>
    <xf numFmtId="191" fontId="60" fillId="3" borderId="0" xfId="2" applyNumberFormat="1" applyFont="1" applyFill="1" applyBorder="1" applyAlignment="1" applyProtection="1">
      <alignment vertical="center"/>
      <protection locked="0"/>
    </xf>
    <xf numFmtId="181" fontId="63" fillId="0" borderId="0" xfId="2" applyNumberFormat="1" applyFont="1" applyFill="1" applyBorder="1" applyAlignment="1" applyProtection="1">
      <alignment vertical="center"/>
    </xf>
    <xf numFmtId="182" fontId="60" fillId="3" borderId="0" xfId="2" applyNumberFormat="1" applyFont="1" applyFill="1" applyBorder="1" applyAlignment="1" applyProtection="1">
      <alignment vertical="center"/>
      <protection locked="0"/>
    </xf>
    <xf numFmtId="179" fontId="63" fillId="0" borderId="0" xfId="2" applyNumberFormat="1" applyFont="1" applyFill="1" applyAlignment="1" applyProtection="1">
      <alignment vertical="center"/>
    </xf>
    <xf numFmtId="191" fontId="60" fillId="0" borderId="0" xfId="2" applyNumberFormat="1" applyFont="1" applyFill="1" applyBorder="1" applyAlignment="1" applyProtection="1">
      <alignment vertical="center"/>
    </xf>
    <xf numFmtId="197" fontId="63" fillId="0" borderId="0" xfId="2" applyNumberFormat="1" applyFont="1" applyFill="1" applyBorder="1" applyAlignment="1" applyProtection="1">
      <alignment vertical="center"/>
    </xf>
    <xf numFmtId="197" fontId="63" fillId="0" borderId="6" xfId="2" applyNumberFormat="1" applyFont="1" applyBorder="1" applyAlignment="1" applyProtection="1">
      <alignment vertical="center"/>
    </xf>
    <xf numFmtId="179" fontId="60" fillId="0" borderId="0" xfId="2" applyNumberFormat="1" applyFont="1" applyFill="1" applyBorder="1" applyAlignment="1" applyProtection="1">
      <alignment horizontal="right" vertical="center"/>
    </xf>
    <xf numFmtId="197" fontId="69" fillId="0" borderId="6" xfId="2" applyNumberFormat="1" applyFont="1" applyBorder="1" applyAlignment="1" applyProtection="1">
      <alignment vertical="center"/>
    </xf>
    <xf numFmtId="179" fontId="63" fillId="0" borderId="0" xfId="2" applyNumberFormat="1" applyFont="1" applyFill="1" applyBorder="1" applyAlignment="1" applyProtection="1">
      <alignment horizontal="center" vertical="center"/>
    </xf>
    <xf numFmtId="179" fontId="69" fillId="0" borderId="0" xfId="2" applyNumberFormat="1" applyFont="1" applyBorder="1" applyAlignment="1" applyProtection="1">
      <alignment vertical="center"/>
    </xf>
    <xf numFmtId="198" fontId="60" fillId="3" borderId="0" xfId="2" applyNumberFormat="1" applyFont="1" applyFill="1" applyBorder="1" applyAlignment="1" applyProtection="1">
      <alignment vertical="center"/>
      <protection locked="0"/>
    </xf>
    <xf numFmtId="180" fontId="63" fillId="0" borderId="0" xfId="2" applyNumberFormat="1" applyFont="1" applyFill="1" applyBorder="1" applyAlignment="1" applyProtection="1">
      <alignment vertical="center"/>
    </xf>
    <xf numFmtId="198" fontId="60" fillId="0" borderId="0" xfId="2" applyNumberFormat="1" applyFont="1" applyBorder="1" applyAlignment="1" applyProtection="1">
      <alignment vertical="center"/>
    </xf>
    <xf numFmtId="198" fontId="60" fillId="0" borderId="0" xfId="2" applyNumberFormat="1" applyFont="1" applyFill="1" applyBorder="1" applyAlignment="1" applyProtection="1">
      <alignment vertical="center"/>
    </xf>
    <xf numFmtId="179" fontId="63" fillId="0" borderId="0" xfId="2" applyNumberFormat="1" applyFont="1" applyFill="1" applyBorder="1" applyAlignment="1" applyProtection="1">
      <alignment horizontal="right" vertical="center"/>
    </xf>
    <xf numFmtId="179" fontId="69" fillId="0" borderId="49" xfId="2" applyNumberFormat="1" applyFont="1" applyFill="1" applyBorder="1" applyAlignment="1" applyProtection="1">
      <alignment vertical="center"/>
    </xf>
    <xf numFmtId="179" fontId="69" fillId="0" borderId="10" xfId="2" applyNumberFormat="1" applyFont="1" applyFill="1" applyBorder="1" applyAlignment="1" applyProtection="1">
      <alignment vertical="center"/>
    </xf>
    <xf numFmtId="179" fontId="71" fillId="0" borderId="10" xfId="2" applyNumberFormat="1" applyFont="1" applyFill="1" applyBorder="1" applyAlignment="1" applyProtection="1">
      <alignment vertical="center"/>
    </xf>
    <xf numFmtId="179" fontId="71" fillId="0" borderId="57" xfId="2" applyNumberFormat="1" applyFont="1" applyFill="1" applyBorder="1" applyAlignment="1" applyProtection="1">
      <alignment vertical="center"/>
    </xf>
    <xf numFmtId="179" fontId="63" fillId="0" borderId="0" xfId="2" applyNumberFormat="1" applyFont="1" applyBorder="1" applyAlignment="1" applyProtection="1">
      <alignment horizontal="right" vertical="center"/>
    </xf>
    <xf numFmtId="180" fontId="63" fillId="0" borderId="0" xfId="2" applyNumberFormat="1" applyFont="1" applyBorder="1" applyAlignment="1" applyProtection="1">
      <alignment vertical="center"/>
    </xf>
    <xf numFmtId="179" fontId="60" fillId="0" borderId="31" xfId="2" applyNumberFormat="1" applyFont="1" applyFill="1" applyBorder="1" applyAlignment="1" applyProtection="1">
      <alignment vertical="center"/>
    </xf>
    <xf numFmtId="179" fontId="60" fillId="0" borderId="0" xfId="2" applyNumberFormat="1" applyFont="1" applyFill="1" applyBorder="1" applyAlignment="1" applyProtection="1">
      <alignment vertical="center"/>
      <protection locked="0"/>
    </xf>
    <xf numFmtId="179" fontId="60" fillId="0" borderId="6" xfId="2" applyNumberFormat="1" applyFont="1" applyFill="1" applyBorder="1" applyAlignment="1" applyProtection="1">
      <alignment vertical="center"/>
    </xf>
    <xf numFmtId="179" fontId="59" fillId="0" borderId="7" xfId="2" applyNumberFormat="1" applyFont="1" applyBorder="1" applyAlignment="1" applyProtection="1">
      <alignment vertical="center"/>
    </xf>
    <xf numFmtId="179" fontId="60" fillId="0" borderId="1" xfId="2" applyNumberFormat="1" applyFont="1" applyFill="1" applyBorder="1" applyAlignment="1" applyProtection="1">
      <alignment vertical="center"/>
      <protection locked="0"/>
    </xf>
    <xf numFmtId="179" fontId="60" fillId="0" borderId="1" xfId="2" applyNumberFormat="1" applyFont="1" applyFill="1" applyBorder="1" applyAlignment="1" applyProtection="1">
      <alignment vertical="center"/>
    </xf>
    <xf numFmtId="179" fontId="60" fillId="0" borderId="8" xfId="2" applyNumberFormat="1" applyFont="1" applyFill="1" applyBorder="1" applyAlignment="1" applyProtection="1">
      <alignment vertical="center"/>
    </xf>
    <xf numFmtId="179" fontId="60" fillId="3" borderId="0" xfId="2" applyNumberFormat="1" applyFont="1" applyFill="1" applyBorder="1" applyAlignment="1" applyProtection="1">
      <alignment horizontal="right" vertical="center"/>
      <protection locked="0"/>
    </xf>
    <xf numFmtId="179" fontId="72" fillId="3" borderId="0" xfId="2" applyNumberFormat="1" applyFont="1" applyFill="1" applyBorder="1" applyAlignment="1" applyProtection="1">
      <alignment vertical="center"/>
      <protection locked="0"/>
    </xf>
    <xf numFmtId="179" fontId="72" fillId="5" borderId="0" xfId="2" applyNumberFormat="1" applyFont="1" applyFill="1" applyBorder="1" applyAlignment="1" applyProtection="1">
      <alignment vertical="center"/>
    </xf>
    <xf numFmtId="179" fontId="72" fillId="3" borderId="6" xfId="2" applyNumberFormat="1" applyFont="1" applyFill="1" applyBorder="1" applyAlignment="1" applyProtection="1">
      <alignment vertical="center"/>
      <protection locked="0"/>
    </xf>
    <xf numFmtId="9" fontId="72" fillId="5" borderId="0" xfId="1" applyFont="1" applyFill="1" applyBorder="1" applyAlignment="1" applyProtection="1">
      <alignment vertical="center"/>
    </xf>
    <xf numFmtId="179" fontId="72" fillId="5" borderId="6" xfId="2" applyNumberFormat="1" applyFont="1" applyFill="1" applyBorder="1" applyAlignment="1" applyProtection="1">
      <alignment vertical="center"/>
    </xf>
    <xf numFmtId="179" fontId="60" fillId="0" borderId="7" xfId="2" applyNumberFormat="1" applyFont="1" applyFill="1" applyBorder="1" applyAlignment="1" applyProtection="1">
      <alignment vertical="center"/>
    </xf>
    <xf numFmtId="179" fontId="60" fillId="3" borderId="1" xfId="2" applyNumberFormat="1" applyFont="1" applyFill="1" applyBorder="1" applyAlignment="1" applyProtection="1">
      <alignment horizontal="right" vertical="center"/>
      <protection locked="0"/>
    </xf>
    <xf numFmtId="179" fontId="72" fillId="5" borderId="1" xfId="2" applyNumberFormat="1" applyFont="1" applyFill="1" applyBorder="1" applyAlignment="1" applyProtection="1">
      <alignment vertical="center"/>
    </xf>
    <xf numFmtId="0" fontId="72" fillId="5" borderId="1" xfId="2" applyNumberFormat="1" applyFont="1" applyFill="1" applyBorder="1" applyAlignment="1" applyProtection="1">
      <alignment vertical="center"/>
    </xf>
    <xf numFmtId="179" fontId="72" fillId="5" borderId="8" xfId="2" applyNumberFormat="1" applyFont="1" applyFill="1" applyBorder="1" applyAlignment="1" applyProtection="1">
      <alignment horizontal="right" vertical="center"/>
    </xf>
    <xf numFmtId="179" fontId="59" fillId="0" borderId="9" xfId="2" applyNumberFormat="1" applyFont="1" applyBorder="1" applyAlignment="1" applyProtection="1">
      <alignment vertical="center"/>
    </xf>
    <xf numFmtId="181" fontId="60" fillId="0" borderId="0" xfId="2" applyNumberFormat="1" applyFont="1" applyFill="1" applyBorder="1" applyAlignment="1" applyProtection="1">
      <alignment vertical="center"/>
    </xf>
    <xf numFmtId="179" fontId="60" fillId="3" borderId="5" xfId="6" applyNumberFormat="1" applyFont="1" applyFill="1" applyBorder="1" applyAlignment="1" applyProtection="1">
      <alignment vertical="center"/>
      <protection locked="0"/>
    </xf>
    <xf numFmtId="182" fontId="60" fillId="0" borderId="0" xfId="2" applyNumberFormat="1" applyFont="1" applyFill="1" applyBorder="1" applyAlignment="1" applyProtection="1">
      <alignment vertical="center"/>
    </xf>
    <xf numFmtId="179" fontId="60" fillId="0" borderId="2" xfId="6" applyNumberFormat="1" applyFont="1" applyFill="1" applyBorder="1" applyAlignment="1" applyProtection="1">
      <alignment vertical="center"/>
    </xf>
    <xf numFmtId="179" fontId="60" fillId="0" borderId="3" xfId="2" applyNumberFormat="1" applyFont="1" applyFill="1" applyBorder="1" applyAlignment="1" applyProtection="1">
      <alignment vertical="center"/>
    </xf>
    <xf numFmtId="179" fontId="60" fillId="0" borderId="4" xfId="2" applyNumberFormat="1" applyFont="1" applyFill="1" applyBorder="1" applyAlignment="1" applyProtection="1">
      <alignment vertical="center"/>
    </xf>
    <xf numFmtId="179" fontId="73" fillId="0" borderId="5" xfId="2" applyNumberFormat="1" applyFont="1" applyBorder="1" applyAlignment="1" applyProtection="1">
      <alignment vertical="center"/>
    </xf>
    <xf numFmtId="179" fontId="73" fillId="0" borderId="0" xfId="2" applyNumberFormat="1" applyFont="1" applyBorder="1" applyAlignment="1" applyProtection="1">
      <alignment vertical="center"/>
    </xf>
    <xf numFmtId="179" fontId="73" fillId="0" borderId="6" xfId="2" applyNumberFormat="1" applyFont="1" applyBorder="1" applyAlignment="1" applyProtection="1">
      <alignment vertical="center"/>
    </xf>
    <xf numFmtId="179" fontId="73" fillId="0" borderId="7" xfId="2" applyNumberFormat="1" applyFont="1" applyBorder="1" applyAlignment="1" applyProtection="1">
      <alignment vertical="center"/>
    </xf>
    <xf numFmtId="179" fontId="73" fillId="0" borderId="1" xfId="2" applyNumberFormat="1" applyFont="1" applyBorder="1" applyAlignment="1" applyProtection="1">
      <alignment vertical="center"/>
    </xf>
    <xf numFmtId="179" fontId="73" fillId="0" borderId="8" xfId="2" applyNumberFormat="1" applyFont="1" applyBorder="1" applyAlignment="1" applyProtection="1">
      <alignment vertical="center"/>
    </xf>
    <xf numFmtId="179" fontId="74" fillId="0" borderId="9" xfId="2" applyNumberFormat="1" applyFont="1" applyFill="1" applyBorder="1" applyAlignment="1" applyProtection="1">
      <alignment horizontal="center" vertical="center"/>
    </xf>
    <xf numFmtId="176" fontId="60" fillId="0" borderId="31" xfId="4" applyNumberFormat="1" applyFont="1" applyFill="1" applyBorder="1" applyAlignment="1" applyProtection="1">
      <alignment horizontal="left" vertical="center"/>
    </xf>
    <xf numFmtId="193" fontId="60" fillId="0" borderId="15" xfId="4" applyNumberFormat="1" applyFont="1" applyFill="1" applyBorder="1" applyAlignment="1" applyProtection="1">
      <alignment vertical="center"/>
    </xf>
    <xf numFmtId="193" fontId="60" fillId="0" borderId="32" xfId="4" applyNumberFormat="1" applyFont="1" applyFill="1" applyBorder="1" applyAlignment="1" applyProtection="1">
      <alignment vertical="center"/>
    </xf>
    <xf numFmtId="176" fontId="60" fillId="0" borderId="5" xfId="4" applyNumberFormat="1" applyFont="1" applyFill="1" applyBorder="1" applyAlignment="1" applyProtection="1">
      <alignment horizontal="left" vertical="center"/>
    </xf>
    <xf numFmtId="193" fontId="60" fillId="0" borderId="0" xfId="4" applyNumberFormat="1" applyFont="1" applyFill="1" applyBorder="1" applyAlignment="1" applyProtection="1">
      <alignment vertical="center"/>
    </xf>
    <xf numFmtId="193" fontId="60" fillId="0" borderId="6" xfId="4" applyNumberFormat="1" applyFont="1" applyFill="1" applyBorder="1" applyAlignment="1" applyProtection="1">
      <alignment vertical="center"/>
    </xf>
    <xf numFmtId="179" fontId="70" fillId="0" borderId="6" xfId="2" applyNumberFormat="1" applyFont="1" applyFill="1" applyBorder="1" applyAlignment="1" applyProtection="1">
      <alignment vertical="center"/>
    </xf>
    <xf numFmtId="193" fontId="60" fillId="0" borderId="6" xfId="4" applyNumberFormat="1" applyFont="1" applyFill="1" applyBorder="1" applyAlignment="1" applyProtection="1">
      <alignment horizontal="left" vertical="center"/>
    </xf>
    <xf numFmtId="179" fontId="75" fillId="0" borderId="9" xfId="5" applyNumberFormat="1" applyFont="1" applyFill="1" applyBorder="1" applyAlignment="1" applyProtection="1">
      <alignment horizontal="left" vertical="center"/>
    </xf>
    <xf numFmtId="179" fontId="75" fillId="0" borderId="17" xfId="5" applyNumberFormat="1" applyFont="1" applyFill="1" applyBorder="1" applyAlignment="1" applyProtection="1">
      <alignment horizontal="left" vertical="center"/>
    </xf>
    <xf numFmtId="179" fontId="75" fillId="0" borderId="17" xfId="5" applyNumberFormat="1" applyFont="1" applyFill="1" applyBorder="1" applyAlignment="1" applyProtection="1">
      <alignment horizontal="center" vertical="center"/>
    </xf>
    <xf numFmtId="179" fontId="64" fillId="0" borderId="16" xfId="2" applyNumberFormat="1" applyFont="1" applyFill="1" applyBorder="1" applyAlignment="1" applyProtection="1">
      <alignment horizontal="center" vertical="center"/>
    </xf>
    <xf numFmtId="179" fontId="63" fillId="0" borderId="22" xfId="2" applyNumberFormat="1" applyFont="1" applyFill="1" applyBorder="1" applyAlignment="1" applyProtection="1">
      <alignment horizontal="right" vertical="center"/>
    </xf>
    <xf numFmtId="179" fontId="63" fillId="0" borderId="2" xfId="2" applyNumberFormat="1" applyFont="1" applyFill="1" applyBorder="1" applyAlignment="1" applyProtection="1">
      <alignment vertical="center"/>
    </xf>
    <xf numFmtId="179" fontId="63" fillId="0" borderId="3" xfId="2" applyNumberFormat="1" applyFont="1" applyFill="1" applyBorder="1" applyAlignment="1" applyProtection="1">
      <alignment vertical="center"/>
    </xf>
    <xf numFmtId="9" fontId="63" fillId="0" borderId="3" xfId="1" applyFont="1" applyFill="1" applyBorder="1" applyAlignment="1" applyProtection="1">
      <alignment horizontal="center" vertical="center"/>
    </xf>
    <xf numFmtId="197" fontId="63" fillId="0" borderId="3" xfId="1" applyNumberFormat="1" applyFont="1" applyFill="1" applyBorder="1" applyAlignment="1" applyProtection="1">
      <alignment horizontal="center" vertical="center"/>
    </xf>
    <xf numFmtId="179" fontId="63" fillId="0" borderId="3" xfId="2" applyNumberFormat="1" applyFont="1" applyFill="1" applyBorder="1" applyAlignment="1" applyProtection="1">
      <alignment horizontal="left" vertical="center"/>
    </xf>
    <xf numFmtId="197" fontId="63" fillId="0" borderId="3" xfId="2" applyNumberFormat="1" applyFont="1" applyFill="1" applyBorder="1" applyAlignment="1" applyProtection="1">
      <alignment vertical="center"/>
    </xf>
    <xf numFmtId="182" fontId="63" fillId="0" borderId="4" xfId="2" applyNumberFormat="1" applyFont="1" applyFill="1" applyBorder="1" applyAlignment="1" applyProtection="1">
      <alignment horizontal="center" vertical="center"/>
    </xf>
    <xf numFmtId="179" fontId="63" fillId="0" borderId="22" xfId="2" applyNumberFormat="1" applyFont="1" applyFill="1" applyBorder="1" applyAlignment="1" applyProtection="1">
      <alignment vertical="center"/>
    </xf>
    <xf numFmtId="179" fontId="63" fillId="0" borderId="0" xfId="1" applyNumberFormat="1" applyFont="1" applyFill="1" applyBorder="1" applyAlignment="1" applyProtection="1">
      <alignment horizontal="center" vertical="center"/>
    </xf>
    <xf numFmtId="179" fontId="63" fillId="0" borderId="23" xfId="2" applyNumberFormat="1" applyFont="1" applyFill="1" applyBorder="1" applyAlignment="1" applyProtection="1">
      <alignment horizontal="right" vertical="center"/>
    </xf>
    <xf numFmtId="179" fontId="63" fillId="0" borderId="5" xfId="2" applyNumberFormat="1" applyFont="1" applyFill="1" applyBorder="1" applyAlignment="1" applyProtection="1">
      <alignment vertical="center"/>
    </xf>
    <xf numFmtId="9" fontId="63" fillId="0" borderId="0" xfId="1" applyFont="1" applyFill="1" applyBorder="1" applyAlignment="1" applyProtection="1">
      <alignment horizontal="center" vertical="center"/>
    </xf>
    <xf numFmtId="197" fontId="63" fillId="0" borderId="0" xfId="1" applyNumberFormat="1" applyFont="1" applyFill="1" applyBorder="1" applyAlignment="1" applyProtection="1">
      <alignment horizontal="center" vertical="center"/>
    </xf>
    <xf numFmtId="182" fontId="63" fillId="0" borderId="6" xfId="2" applyNumberFormat="1" applyFont="1" applyFill="1" applyBorder="1" applyAlignment="1" applyProtection="1">
      <alignment horizontal="center" vertical="center"/>
    </xf>
    <xf numFmtId="179" fontId="63" fillId="0" borderId="23" xfId="2" applyNumberFormat="1" applyFont="1" applyFill="1" applyBorder="1" applyAlignment="1" applyProtection="1">
      <alignment vertical="center"/>
    </xf>
    <xf numFmtId="189" fontId="60" fillId="0" borderId="0" xfId="4" applyNumberFormat="1" applyFont="1" applyFill="1" applyBorder="1" applyAlignment="1" applyProtection="1">
      <alignment vertical="center"/>
    </xf>
    <xf numFmtId="176" fontId="60" fillId="0" borderId="0" xfId="4" applyNumberFormat="1" applyFont="1" applyFill="1" applyBorder="1" applyAlignment="1" applyProtection="1">
      <alignment vertical="center"/>
    </xf>
    <xf numFmtId="176" fontId="60" fillId="0" borderId="0" xfId="4" applyNumberFormat="1" applyFont="1" applyFill="1" applyBorder="1" applyAlignment="1" applyProtection="1">
      <alignment horizontal="left" vertical="center"/>
    </xf>
    <xf numFmtId="176" fontId="60" fillId="0" borderId="6" xfId="4" applyNumberFormat="1" applyFont="1" applyFill="1" applyBorder="1" applyAlignment="1" applyProtection="1">
      <alignment vertical="center"/>
    </xf>
    <xf numFmtId="190" fontId="60" fillId="0" borderId="0" xfId="4" applyNumberFormat="1" applyFont="1" applyFill="1" applyBorder="1" applyAlignment="1" applyProtection="1">
      <alignment vertical="center"/>
    </xf>
    <xf numFmtId="9" fontId="60" fillId="0" borderId="0" xfId="1" applyFont="1" applyFill="1" applyBorder="1" applyAlignment="1" applyProtection="1">
      <alignment vertical="center"/>
    </xf>
    <xf numFmtId="176" fontId="60" fillId="0" borderId="7" xfId="4" applyNumberFormat="1" applyFont="1" applyFill="1" applyBorder="1" applyAlignment="1" applyProtection="1">
      <alignment horizontal="left" vertical="center"/>
    </xf>
    <xf numFmtId="191" fontId="60" fillId="0" borderId="1" xfId="4" applyNumberFormat="1" applyFont="1" applyFill="1" applyBorder="1" applyAlignment="1" applyProtection="1">
      <alignment vertical="center"/>
    </xf>
    <xf numFmtId="192" fontId="60" fillId="0" borderId="1" xfId="4" applyNumberFormat="1" applyFont="1" applyFill="1" applyBorder="1" applyAlignment="1" applyProtection="1">
      <alignment horizontal="right" vertical="center"/>
    </xf>
    <xf numFmtId="191" fontId="60" fillId="0" borderId="8" xfId="4" applyNumberFormat="1" applyFont="1" applyFill="1" applyBorder="1" applyAlignment="1" applyProtection="1">
      <alignment vertical="center"/>
    </xf>
    <xf numFmtId="176" fontId="60" fillId="0" borderId="5" xfId="4" applyNumberFormat="1" applyFont="1" applyFill="1" applyBorder="1" applyAlignment="1" applyProtection="1">
      <alignment vertical="center"/>
    </xf>
    <xf numFmtId="193" fontId="60" fillId="0" borderId="0" xfId="4" applyNumberFormat="1" applyFont="1" applyBorder="1" applyAlignment="1" applyProtection="1">
      <alignment vertical="center"/>
    </xf>
    <xf numFmtId="193" fontId="60" fillId="0" borderId="6" xfId="4" applyNumberFormat="1" applyFont="1" applyBorder="1" applyAlignment="1" applyProtection="1">
      <alignment vertical="center"/>
    </xf>
    <xf numFmtId="179" fontId="75" fillId="0" borderId="0" xfId="5" applyNumberFormat="1" applyFont="1" applyFill="1" applyBorder="1" applyAlignment="1" applyProtection="1">
      <alignment vertical="center"/>
    </xf>
    <xf numFmtId="185" fontId="63" fillId="0" borderId="0" xfId="4" applyNumberFormat="1" applyFont="1" applyFill="1" applyBorder="1" applyAlignment="1" applyProtection="1">
      <alignment horizontal="left" vertical="center"/>
    </xf>
    <xf numFmtId="176" fontId="60" fillId="0" borderId="7" xfId="4" applyNumberFormat="1" applyFont="1" applyFill="1" applyBorder="1" applyAlignment="1" applyProtection="1">
      <alignment vertical="center"/>
    </xf>
    <xf numFmtId="190" fontId="60" fillId="0" borderId="1" xfId="4" applyNumberFormat="1" applyFont="1" applyFill="1" applyBorder="1" applyAlignment="1" applyProtection="1">
      <alignment vertical="center"/>
    </xf>
    <xf numFmtId="186" fontId="60" fillId="0" borderId="1" xfId="4" applyNumberFormat="1" applyFont="1" applyFill="1" applyBorder="1" applyAlignment="1" applyProtection="1">
      <alignment horizontal="right" vertical="center"/>
    </xf>
    <xf numFmtId="190" fontId="60" fillId="0" borderId="8" xfId="4" applyNumberFormat="1" applyFont="1" applyFill="1" applyBorder="1" applyAlignment="1" applyProtection="1">
      <alignment vertical="center"/>
    </xf>
    <xf numFmtId="185" fontId="63" fillId="0" borderId="0" xfId="4" applyNumberFormat="1" applyFont="1" applyFill="1" applyBorder="1" applyAlignment="1" applyProtection="1">
      <alignment horizontal="right" vertical="center"/>
    </xf>
    <xf numFmtId="185" fontId="63" fillId="0" borderId="0" xfId="4" applyNumberFormat="1" applyFont="1" applyFill="1" applyBorder="1" applyAlignment="1" applyProtection="1">
      <alignment vertical="center"/>
    </xf>
    <xf numFmtId="9" fontId="63" fillId="0" borderId="0" xfId="1" applyFont="1" applyFill="1" applyBorder="1" applyAlignment="1" applyProtection="1">
      <alignment vertical="center"/>
    </xf>
    <xf numFmtId="197" fontId="60" fillId="0" borderId="0" xfId="2" applyNumberFormat="1" applyFont="1" applyFill="1" applyBorder="1" applyAlignment="1" applyProtection="1">
      <alignment vertical="center"/>
    </xf>
    <xf numFmtId="1" fontId="63" fillId="3" borderId="2" xfId="2" applyNumberFormat="1" applyFont="1" applyFill="1" applyBorder="1" applyAlignment="1" applyProtection="1">
      <alignment vertical="center"/>
      <protection locked="0"/>
    </xf>
    <xf numFmtId="179" fontId="63" fillId="2" borderId="3" xfId="2" applyNumberFormat="1" applyFont="1" applyFill="1" applyBorder="1" applyAlignment="1" applyProtection="1">
      <alignment horizontal="left" vertical="center"/>
    </xf>
    <xf numFmtId="1" fontId="63" fillId="2" borderId="3" xfId="2" applyNumberFormat="1" applyFont="1" applyFill="1" applyBorder="1" applyAlignment="1" applyProtection="1">
      <alignment vertical="center"/>
    </xf>
    <xf numFmtId="179" fontId="63" fillId="2" borderId="3" xfId="2" applyNumberFormat="1" applyFont="1" applyFill="1" applyBorder="1" applyAlignment="1" applyProtection="1">
      <alignment vertical="center"/>
    </xf>
    <xf numFmtId="179" fontId="63" fillId="2" borderId="3" xfId="2" applyNumberFormat="1" applyFont="1" applyFill="1" applyBorder="1" applyProtection="1"/>
    <xf numFmtId="179" fontId="63" fillId="2" borderId="4" xfId="2" applyNumberFormat="1" applyFont="1" applyFill="1" applyBorder="1" applyAlignment="1" applyProtection="1">
      <alignment vertical="center"/>
    </xf>
    <xf numFmtId="206" fontId="63" fillId="2" borderId="3" xfId="2" applyNumberFormat="1" applyFont="1" applyFill="1" applyBorder="1" applyAlignment="1" applyProtection="1">
      <alignment vertical="center"/>
    </xf>
    <xf numFmtId="188" fontId="63" fillId="2" borderId="5" xfId="2" applyNumberFormat="1" applyFont="1" applyFill="1" applyBorder="1" applyAlignment="1" applyProtection="1">
      <alignment vertical="center"/>
    </xf>
    <xf numFmtId="188" fontId="63" fillId="2" borderId="0" xfId="2" applyNumberFormat="1" applyFont="1" applyFill="1" applyBorder="1" applyAlignment="1" applyProtection="1">
      <alignment horizontal="left"/>
    </xf>
    <xf numFmtId="188" fontId="63" fillId="2" borderId="0" xfId="2" applyNumberFormat="1" applyFont="1" applyFill="1" applyBorder="1" applyProtection="1"/>
    <xf numFmtId="1" fontId="63" fillId="2" borderId="0" xfId="2" applyNumberFormat="1" applyFont="1" applyFill="1" applyBorder="1" applyProtection="1"/>
    <xf numFmtId="188" fontId="63" fillId="2" borderId="6" xfId="2" applyNumberFormat="1" applyFont="1" applyFill="1" applyBorder="1" applyProtection="1"/>
    <xf numFmtId="188" fontId="63" fillId="3" borderId="5" xfId="2" applyNumberFormat="1" applyFont="1" applyFill="1" applyBorder="1" applyAlignment="1" applyProtection="1">
      <alignment vertical="center"/>
      <protection locked="0"/>
    </xf>
    <xf numFmtId="188" fontId="63" fillId="2" borderId="5" xfId="2" applyNumberFormat="1" applyFont="1" applyFill="1" applyBorder="1" applyAlignment="1" applyProtection="1">
      <alignment vertical="center"/>
      <protection locked="0"/>
    </xf>
    <xf numFmtId="1" fontId="63" fillId="3" borderId="5" xfId="2" applyNumberFormat="1" applyFont="1" applyFill="1" applyBorder="1" applyAlignment="1" applyProtection="1">
      <alignment vertical="center"/>
      <protection locked="0"/>
    </xf>
    <xf numFmtId="179" fontId="63" fillId="2" borderId="0" xfId="2" applyNumberFormat="1" applyFont="1" applyFill="1" applyBorder="1" applyAlignment="1" applyProtection="1">
      <alignment horizontal="left" vertical="center"/>
    </xf>
    <xf numFmtId="1" fontId="63" fillId="2" borderId="0" xfId="2" applyNumberFormat="1" applyFont="1" applyFill="1" applyBorder="1" applyAlignment="1" applyProtection="1">
      <alignment vertical="center"/>
    </xf>
    <xf numFmtId="179" fontId="63" fillId="2" borderId="0" xfId="2" applyNumberFormat="1" applyFont="1" applyFill="1" applyBorder="1" applyAlignment="1" applyProtection="1">
      <alignment vertical="center"/>
    </xf>
    <xf numFmtId="188" fontId="63" fillId="2" borderId="0" xfId="2" applyNumberFormat="1" applyFont="1" applyFill="1" applyBorder="1" applyAlignment="1" applyProtection="1">
      <alignment vertical="center"/>
    </xf>
    <xf numFmtId="179" fontId="63" fillId="2" borderId="6" xfId="2" applyNumberFormat="1" applyFont="1" applyFill="1" applyBorder="1" applyAlignment="1" applyProtection="1">
      <alignment vertical="center"/>
    </xf>
    <xf numFmtId="1" fontId="63" fillId="3" borderId="7" xfId="2" applyNumberFormat="1" applyFont="1" applyFill="1" applyBorder="1" applyAlignment="1" applyProtection="1">
      <alignment vertical="center"/>
      <protection locked="0"/>
    </xf>
    <xf numFmtId="179" fontId="63" fillId="2" borderId="1" xfId="2" applyNumberFormat="1" applyFont="1" applyFill="1" applyBorder="1" applyAlignment="1" applyProtection="1">
      <alignment vertical="center"/>
    </xf>
    <xf numFmtId="1" fontId="63" fillId="2" borderId="1" xfId="2" applyNumberFormat="1" applyFont="1" applyFill="1" applyBorder="1" applyAlignment="1" applyProtection="1">
      <alignment vertical="center"/>
    </xf>
    <xf numFmtId="1" fontId="63" fillId="3" borderId="1" xfId="2" applyNumberFormat="1" applyFont="1" applyFill="1" applyBorder="1" applyAlignment="1" applyProtection="1">
      <alignment vertical="center"/>
      <protection locked="0"/>
    </xf>
    <xf numFmtId="179" fontId="63" fillId="2" borderId="8" xfId="2" applyNumberFormat="1" applyFont="1" applyFill="1" applyBorder="1" applyAlignment="1" applyProtection="1">
      <alignment vertical="center"/>
    </xf>
    <xf numFmtId="179" fontId="63" fillId="0" borderId="24" xfId="2" applyNumberFormat="1" applyFont="1" applyFill="1" applyBorder="1" applyAlignment="1" applyProtection="1">
      <alignment horizontal="right" vertical="center"/>
    </xf>
    <xf numFmtId="179" fontId="63" fillId="0" borderId="7" xfId="2" applyNumberFormat="1" applyFont="1" applyFill="1" applyBorder="1" applyAlignment="1" applyProtection="1">
      <alignment vertical="center"/>
    </xf>
    <xf numFmtId="179" fontId="63" fillId="0" borderId="1" xfId="2" applyNumberFormat="1" applyFont="1" applyFill="1" applyBorder="1" applyAlignment="1" applyProtection="1">
      <alignment vertical="center"/>
    </xf>
    <xf numFmtId="9" fontId="63" fillId="0" borderId="1" xfId="1" applyFont="1" applyFill="1" applyBorder="1" applyAlignment="1" applyProtection="1">
      <alignment horizontal="center" vertical="center"/>
    </xf>
    <xf numFmtId="197" fontId="63" fillId="0" borderId="1" xfId="1" applyNumberFormat="1" applyFont="1" applyFill="1" applyBorder="1" applyAlignment="1" applyProtection="1">
      <alignment horizontal="center" vertical="center"/>
    </xf>
    <xf numFmtId="179" fontId="63" fillId="0" borderId="1" xfId="2" applyNumberFormat="1" applyFont="1" applyFill="1" applyBorder="1" applyAlignment="1" applyProtection="1">
      <alignment horizontal="left" vertical="center"/>
    </xf>
    <xf numFmtId="197" fontId="63" fillId="0" borderId="1" xfId="2" applyNumberFormat="1" applyFont="1" applyFill="1" applyBorder="1" applyAlignment="1" applyProtection="1">
      <alignment vertical="center"/>
    </xf>
    <xf numFmtId="182" fontId="63" fillId="0" borderId="8" xfId="2" applyNumberFormat="1" applyFont="1" applyFill="1" applyBorder="1" applyAlignment="1" applyProtection="1">
      <alignment horizontal="center" vertical="center"/>
    </xf>
    <xf numFmtId="179" fontId="63" fillId="0" borderId="24" xfId="2" applyNumberFormat="1" applyFont="1" applyFill="1" applyBorder="1" applyAlignment="1" applyProtection="1">
      <alignment vertical="center"/>
    </xf>
    <xf numFmtId="179" fontId="63" fillId="0" borderId="1" xfId="1" applyNumberFormat="1" applyFont="1" applyFill="1" applyBorder="1" applyAlignment="1" applyProtection="1">
      <alignment horizontal="center" vertical="center"/>
    </xf>
    <xf numFmtId="179" fontId="63" fillId="0" borderId="5" xfId="2" applyNumberFormat="1" applyFont="1" applyBorder="1" applyAlignment="1" applyProtection="1">
      <alignment vertical="center"/>
    </xf>
    <xf numFmtId="179" fontId="63" fillId="5" borderId="7" xfId="2" applyNumberFormat="1" applyFont="1" applyFill="1" applyBorder="1" applyAlignment="1" applyProtection="1">
      <alignment vertical="center"/>
      <protection locked="0"/>
    </xf>
    <xf numFmtId="179" fontId="63" fillId="5" borderId="1" xfId="2" applyNumberFormat="1" applyFont="1" applyFill="1" applyBorder="1" applyAlignment="1" applyProtection="1">
      <alignment vertical="center"/>
      <protection locked="0"/>
    </xf>
    <xf numFmtId="179" fontId="63" fillId="5" borderId="8" xfId="2" applyNumberFormat="1" applyFont="1" applyFill="1" applyBorder="1" applyAlignment="1" applyProtection="1">
      <alignment vertical="center"/>
      <protection locked="0"/>
    </xf>
    <xf numFmtId="1" fontId="63" fillId="5" borderId="0" xfId="2" applyNumberFormat="1" applyFont="1" applyFill="1" applyAlignment="1" applyProtection="1">
      <alignment horizontal="left" vertical="center"/>
      <protection locked="0"/>
    </xf>
    <xf numFmtId="179" fontId="63" fillId="5" borderId="0" xfId="2" applyNumberFormat="1" applyFont="1" applyFill="1" applyAlignment="1" applyProtection="1">
      <alignment vertical="center"/>
      <protection locked="0"/>
    </xf>
    <xf numFmtId="180" fontId="63" fillId="0" borderId="0" xfId="2" applyNumberFormat="1" applyFont="1" applyAlignment="1" applyProtection="1">
      <alignment vertical="center"/>
    </xf>
    <xf numFmtId="193" fontId="15" fillId="10" borderId="0" xfId="4" applyNumberFormat="1" applyFont="1" applyFill="1" applyAlignment="1" applyProtection="1">
      <alignment vertical="center"/>
    </xf>
    <xf numFmtId="194" fontId="15" fillId="10" borderId="19" xfId="4" applyNumberFormat="1" applyFont="1" applyFill="1" applyBorder="1" applyAlignment="1" applyProtection="1">
      <alignment vertical="center"/>
    </xf>
    <xf numFmtId="194" fontId="15" fillId="10" borderId="0" xfId="4" applyNumberFormat="1" applyFont="1" applyFill="1" applyAlignment="1" applyProtection="1">
      <alignment vertical="center"/>
    </xf>
    <xf numFmtId="9" fontId="15" fillId="10" borderId="0" xfId="1" applyFont="1" applyFill="1" applyAlignment="1" applyProtection="1">
      <alignment vertical="center"/>
    </xf>
    <xf numFmtId="196" fontId="15" fillId="10" borderId="0" xfId="4" applyNumberFormat="1" applyFont="1" applyFill="1" applyAlignment="1" applyProtection="1">
      <alignment vertical="center"/>
    </xf>
    <xf numFmtId="196" fontId="15" fillId="0" borderId="117" xfId="4" applyNumberFormat="1" applyFont="1" applyBorder="1" applyAlignment="1" applyProtection="1">
      <alignment vertical="center"/>
    </xf>
    <xf numFmtId="196" fontId="15" fillId="0" borderId="118" xfId="4" applyNumberFormat="1" applyFont="1" applyBorder="1" applyAlignment="1" applyProtection="1">
      <alignment vertical="center"/>
    </xf>
    <xf numFmtId="196" fontId="15" fillId="0" borderId="119" xfId="4" applyNumberFormat="1" applyFont="1" applyBorder="1" applyAlignment="1" applyProtection="1">
      <alignment vertical="center"/>
    </xf>
    <xf numFmtId="196" fontId="15" fillId="0" borderId="120" xfId="4" applyNumberFormat="1" applyFont="1" applyBorder="1" applyAlignment="1" applyProtection="1">
      <alignment vertical="center"/>
    </xf>
    <xf numFmtId="196" fontId="15" fillId="0" borderId="121" xfId="4" applyNumberFormat="1" applyFont="1" applyBorder="1" applyAlignment="1" applyProtection="1">
      <alignment vertical="center"/>
    </xf>
    <xf numFmtId="196" fontId="15" fillId="0" borderId="122" xfId="4" applyNumberFormat="1" applyFont="1" applyBorder="1" applyAlignment="1" applyProtection="1">
      <alignment vertical="center"/>
    </xf>
    <xf numFmtId="196" fontId="15" fillId="0" borderId="37" xfId="4" applyNumberFormat="1" applyFont="1" applyBorder="1" applyAlignment="1" applyProtection="1">
      <alignment vertical="center"/>
    </xf>
    <xf numFmtId="196" fontId="15" fillId="0" borderId="53" xfId="4" applyNumberFormat="1" applyFont="1" applyBorder="1" applyAlignment="1" applyProtection="1">
      <alignment vertical="center"/>
    </xf>
    <xf numFmtId="193" fontId="15" fillId="0" borderId="37" xfId="4" applyNumberFormat="1" applyFont="1" applyBorder="1" applyAlignment="1" applyProtection="1">
      <alignment vertical="center"/>
    </xf>
    <xf numFmtId="193" fontId="15" fillId="0" borderId="53" xfId="4" applyNumberFormat="1" applyFont="1" applyBorder="1" applyAlignment="1" applyProtection="1">
      <alignment vertical="center"/>
    </xf>
    <xf numFmtId="193" fontId="15" fillId="0" borderId="120" xfId="4" applyNumberFormat="1" applyFont="1" applyBorder="1" applyAlignment="1" applyProtection="1">
      <alignment vertical="center"/>
    </xf>
    <xf numFmtId="193" fontId="15" fillId="0" borderId="121" xfId="4" applyNumberFormat="1" applyFont="1" applyBorder="1" applyAlignment="1" applyProtection="1">
      <alignment vertical="center"/>
    </xf>
    <xf numFmtId="193" fontId="15" fillId="0" borderId="122" xfId="4" applyNumberFormat="1" applyFont="1" applyBorder="1" applyAlignment="1" applyProtection="1">
      <alignment vertical="center"/>
    </xf>
    <xf numFmtId="193" fontId="15" fillId="10" borderId="2" xfId="4" applyNumberFormat="1" applyFont="1" applyFill="1" applyBorder="1" applyAlignment="1" applyProtection="1">
      <alignment vertical="center"/>
    </xf>
    <xf numFmtId="193" fontId="15" fillId="10" borderId="3" xfId="4" applyNumberFormat="1" applyFont="1" applyFill="1" applyBorder="1" applyAlignment="1" applyProtection="1">
      <alignment vertical="center"/>
    </xf>
    <xf numFmtId="9" fontId="15" fillId="10" borderId="4" xfId="1" applyFont="1" applyFill="1" applyBorder="1" applyAlignment="1" applyProtection="1">
      <alignment vertical="center"/>
    </xf>
    <xf numFmtId="193" fontId="15" fillId="10" borderId="5" xfId="4" applyNumberFormat="1" applyFont="1" applyFill="1" applyBorder="1" applyAlignment="1" applyProtection="1">
      <alignment vertical="center"/>
    </xf>
    <xf numFmtId="193" fontId="15" fillId="10" borderId="0" xfId="4" applyNumberFormat="1" applyFont="1" applyFill="1" applyBorder="1" applyAlignment="1" applyProtection="1">
      <alignment vertical="center"/>
    </xf>
    <xf numFmtId="9" fontId="15" fillId="10" borderId="6" xfId="1" applyFont="1" applyFill="1" applyBorder="1" applyAlignment="1" applyProtection="1">
      <alignment vertical="center"/>
    </xf>
    <xf numFmtId="193" fontId="15" fillId="10" borderId="7" xfId="4" applyNumberFormat="1" applyFont="1" applyFill="1" applyBorder="1" applyAlignment="1" applyProtection="1">
      <alignment vertical="center"/>
    </xf>
    <xf numFmtId="193" fontId="15" fillId="10" borderId="1" xfId="4" applyNumberFormat="1" applyFont="1" applyFill="1" applyBorder="1" applyAlignment="1" applyProtection="1">
      <alignment vertical="center"/>
    </xf>
    <xf numFmtId="9" fontId="15" fillId="10" borderId="8" xfId="1" applyFont="1" applyFill="1" applyBorder="1" applyAlignment="1" applyProtection="1">
      <alignment vertical="center"/>
    </xf>
    <xf numFmtId="193" fontId="15" fillId="10" borderId="14" xfId="4" applyNumberFormat="1" applyFont="1" applyFill="1" applyBorder="1" applyAlignment="1" applyProtection="1">
      <alignment vertical="center"/>
    </xf>
    <xf numFmtId="193" fontId="15" fillId="10" borderId="18" xfId="4" applyNumberFormat="1" applyFont="1" applyFill="1" applyBorder="1" applyAlignment="1" applyProtection="1">
      <alignment vertical="center"/>
    </xf>
    <xf numFmtId="197" fontId="29" fillId="10" borderId="46" xfId="15" applyNumberFormat="1" applyFont="1" applyFill="1" applyBorder="1" applyAlignment="1">
      <alignment vertical="center"/>
    </xf>
    <xf numFmtId="1" fontId="29" fillId="10" borderId="0" xfId="15" applyNumberFormat="1" applyFont="1" applyFill="1" applyBorder="1" applyAlignment="1">
      <alignment vertical="center"/>
    </xf>
    <xf numFmtId="9" fontId="29" fillId="10" borderId="43" xfId="1" applyFont="1" applyFill="1" applyBorder="1" applyAlignment="1">
      <alignment vertical="center"/>
    </xf>
    <xf numFmtId="0" fontId="29" fillId="10" borderId="46" xfId="15" applyFont="1" applyFill="1" applyBorder="1" applyAlignment="1" applyProtection="1">
      <alignment vertical="center"/>
    </xf>
    <xf numFmtId="197" fontId="29" fillId="10" borderId="47" xfId="15" applyNumberFormat="1" applyFont="1" applyFill="1" applyBorder="1" applyAlignment="1">
      <alignment vertical="center"/>
    </xf>
    <xf numFmtId="1" fontId="29" fillId="10" borderId="10" xfId="15" applyNumberFormat="1" applyFont="1" applyFill="1" applyBorder="1" applyAlignment="1">
      <alignment vertical="center"/>
    </xf>
    <xf numFmtId="9" fontId="29" fillId="10" borderId="44" xfId="1" applyFont="1" applyFill="1" applyBorder="1" applyAlignment="1">
      <alignment vertical="center"/>
    </xf>
    <xf numFmtId="0" fontId="76" fillId="0" borderId="0" xfId="15" applyFont="1" applyAlignment="1">
      <alignment vertical="center"/>
    </xf>
    <xf numFmtId="196" fontId="15" fillId="0" borderId="0" xfId="4" applyNumberFormat="1" applyFont="1" applyBorder="1" applyAlignment="1" applyProtection="1">
      <alignment vertical="center"/>
    </xf>
    <xf numFmtId="0" fontId="15" fillId="6" borderId="0" xfId="3" applyFont="1" applyFill="1" applyBorder="1" applyAlignment="1">
      <alignment vertical="center"/>
    </xf>
    <xf numFmtId="0" fontId="15" fillId="6" borderId="6" xfId="0" applyFont="1" applyFill="1" applyBorder="1" applyAlignment="1">
      <alignment vertical="center"/>
    </xf>
    <xf numFmtId="0" fontId="15" fillId="6" borderId="0" xfId="0" applyFont="1" applyFill="1" applyBorder="1" applyAlignment="1">
      <alignment vertical="center"/>
    </xf>
    <xf numFmtId="0" fontId="24" fillId="0" borderId="5" xfId="0" applyFont="1" applyFill="1" applyBorder="1" applyAlignment="1">
      <alignment horizontal="left" wrapText="1"/>
    </xf>
    <xf numFmtId="0" fontId="24" fillId="6" borderId="0" xfId="0" applyFont="1" applyFill="1" applyBorder="1" applyAlignment="1">
      <alignment horizontal="center" vertical="center"/>
    </xf>
    <xf numFmtId="0" fontId="24" fillId="6" borderId="114" xfId="0" applyFont="1" applyFill="1" applyBorder="1" applyAlignment="1">
      <alignment horizontal="center" vertical="center"/>
    </xf>
    <xf numFmtId="0" fontId="24" fillId="6" borderId="6" xfId="0" applyFont="1" applyFill="1" applyBorder="1" applyAlignment="1">
      <alignment horizontal="center" vertical="center"/>
    </xf>
    <xf numFmtId="1" fontId="3" fillId="0" borderId="81" xfId="19" applyNumberFormat="1" applyFont="1" applyFill="1" applyBorder="1" applyAlignment="1" applyProtection="1">
      <alignment horizontal="right" vertical="center"/>
    </xf>
    <xf numFmtId="0" fontId="15" fillId="0" borderId="65" xfId="0" applyFont="1" applyFill="1" applyBorder="1" applyAlignment="1">
      <alignment horizontal="right"/>
    </xf>
    <xf numFmtId="0" fontId="15" fillId="0" borderId="67" xfId="0" applyFont="1" applyFill="1" applyBorder="1"/>
    <xf numFmtId="0" fontId="15" fillId="0" borderId="65" xfId="0" applyFont="1" applyFill="1" applyBorder="1"/>
    <xf numFmtId="0" fontId="15" fillId="0" borderId="66" xfId="0" applyFont="1" applyFill="1" applyBorder="1"/>
    <xf numFmtId="9" fontId="15" fillId="0" borderId="65" xfId="10" applyFont="1" applyFill="1" applyBorder="1"/>
    <xf numFmtId="186" fontId="15" fillId="0" borderId="116" xfId="0" applyNumberFormat="1" applyFont="1" applyFill="1" applyBorder="1"/>
    <xf numFmtId="186" fontId="15" fillId="0" borderId="67" xfId="0" applyNumberFormat="1" applyFont="1" applyFill="1" applyBorder="1"/>
    <xf numFmtId="197" fontId="17" fillId="0" borderId="0" xfId="19" applyNumberFormat="1" applyFont="1" applyFill="1" applyBorder="1" applyAlignment="1" applyProtection="1">
      <alignment vertical="center"/>
      <protection locked="0"/>
    </xf>
    <xf numFmtId="1" fontId="3" fillId="0" borderId="58" xfId="2" applyNumberFormat="1" applyFont="1" applyFill="1" applyBorder="1" applyAlignment="1" applyProtection="1">
      <alignment horizontal="right" vertical="center"/>
      <protection locked="0"/>
    </xf>
    <xf numFmtId="1" fontId="3" fillId="0" borderId="66" xfId="19" applyNumberFormat="1" applyFont="1" applyFill="1" applyBorder="1" applyAlignment="1" applyProtection="1">
      <alignment horizontal="right" vertical="center"/>
    </xf>
    <xf numFmtId="188" fontId="3" fillId="0" borderId="66" xfId="3" applyNumberFormat="1" applyFont="1" applyFill="1" applyBorder="1" applyAlignment="1">
      <alignment horizontal="right" vertical="center"/>
    </xf>
    <xf numFmtId="11" fontId="3" fillId="0" borderId="65" xfId="19" applyNumberFormat="1" applyFont="1" applyFill="1" applyBorder="1" applyAlignment="1">
      <alignment horizontal="right" vertical="center"/>
    </xf>
    <xf numFmtId="197" fontId="17" fillId="0" borderId="64" xfId="19" applyNumberFormat="1" applyFont="1" applyFill="1" applyBorder="1" applyAlignment="1" applyProtection="1">
      <alignment horizontal="left" vertical="center"/>
      <protection locked="0"/>
    </xf>
    <xf numFmtId="1" fontId="3" fillId="0" borderId="64" xfId="19" applyNumberFormat="1" applyFont="1" applyFill="1" applyBorder="1" applyAlignment="1" applyProtection="1">
      <alignment horizontal="right" vertical="center"/>
      <protection locked="0"/>
    </xf>
    <xf numFmtId="1" fontId="3" fillId="0" borderId="68" xfId="19" applyNumberFormat="1" applyFont="1" applyFill="1" applyBorder="1" applyAlignment="1" applyProtection="1">
      <alignment horizontal="right" vertical="center"/>
    </xf>
    <xf numFmtId="1" fontId="2" fillId="0" borderId="0" xfId="3" applyNumberFormat="1" applyFont="1" applyFill="1" applyBorder="1" applyAlignment="1">
      <alignment horizontal="right" vertical="center" wrapText="1"/>
    </xf>
    <xf numFmtId="1" fontId="76" fillId="0" borderId="0" xfId="0" applyNumberFormat="1" applyFont="1" applyBorder="1" applyAlignment="1">
      <alignment vertical="center"/>
    </xf>
    <xf numFmtId="0" fontId="29" fillId="5" borderId="0" xfId="15" applyFont="1" applyFill="1" applyAlignment="1">
      <alignment vertical="center"/>
    </xf>
    <xf numFmtId="0" fontId="2" fillId="0" borderId="0" xfId="23"/>
    <xf numFmtId="0" fontId="2" fillId="0" borderId="0" xfId="23" applyFont="1"/>
    <xf numFmtId="0" fontId="2" fillId="5" borderId="0" xfId="23" applyFill="1"/>
    <xf numFmtId="0" fontId="76" fillId="15" borderId="123" xfId="15" applyFont="1" applyFill="1" applyBorder="1" applyAlignment="1" applyProtection="1">
      <alignment vertical="center"/>
    </xf>
    <xf numFmtId="188" fontId="17" fillId="0" borderId="3" xfId="15" applyNumberFormat="1" applyFont="1" applyFill="1" applyBorder="1" applyAlignment="1">
      <alignment vertical="center"/>
    </xf>
    <xf numFmtId="9" fontId="17" fillId="0" borderId="0" xfId="1" applyFont="1" applyFill="1" applyBorder="1" applyAlignment="1" applyProtection="1">
      <alignment vertical="center"/>
    </xf>
    <xf numFmtId="0" fontId="17" fillId="14" borderId="5" xfId="15" applyFont="1" applyFill="1" applyBorder="1" applyAlignment="1">
      <alignment vertical="center"/>
    </xf>
    <xf numFmtId="0" fontId="17" fillId="14" borderId="3" xfId="15" applyFont="1" applyFill="1" applyBorder="1" applyAlignment="1">
      <alignment horizontal="right" vertical="center"/>
    </xf>
    <xf numFmtId="1" fontId="17" fillId="0" borderId="14" xfId="15" applyNumberFormat="1" applyFont="1" applyBorder="1" applyAlignment="1">
      <alignment vertical="center"/>
    </xf>
    <xf numFmtId="179" fontId="9" fillId="0" borderId="0" xfId="2" applyNumberFormat="1" applyFont="1" applyBorder="1" applyAlignment="1" applyProtection="1">
      <alignment vertical="center"/>
    </xf>
    <xf numFmtId="179" fontId="81" fillId="0" borderId="0" xfId="2" applyNumberFormat="1" applyFont="1" applyBorder="1" applyAlignment="1" applyProtection="1">
      <alignment vertical="center"/>
    </xf>
    <xf numFmtId="183" fontId="63" fillId="2" borderId="0" xfId="2" applyNumberFormat="1" applyFont="1" applyFill="1" applyBorder="1" applyAlignment="1" applyProtection="1">
      <alignment vertical="center"/>
    </xf>
    <xf numFmtId="179" fontId="63" fillId="17" borderId="13" xfId="2" applyNumberFormat="1" applyFont="1" applyFill="1" applyBorder="1" applyAlignment="1" applyProtection="1">
      <alignment vertical="center"/>
      <protection locked="0"/>
    </xf>
    <xf numFmtId="179" fontId="81" fillId="18" borderId="14" xfId="2" applyNumberFormat="1" applyFont="1" applyFill="1" applyBorder="1" applyAlignment="1" applyProtection="1">
      <alignment vertical="center"/>
    </xf>
    <xf numFmtId="0" fontId="17" fillId="20" borderId="0" xfId="15" applyFont="1" applyFill="1" applyAlignment="1">
      <alignment vertical="center"/>
    </xf>
    <xf numFmtId="1" fontId="17" fillId="20" borderId="0" xfId="15" applyNumberFormat="1" applyFont="1" applyFill="1" applyAlignment="1">
      <alignment vertical="center"/>
    </xf>
    <xf numFmtId="186" fontId="17" fillId="20" borderId="0" xfId="15" applyNumberFormat="1" applyFont="1" applyFill="1" applyAlignment="1">
      <alignment vertical="center"/>
    </xf>
    <xf numFmtId="0" fontId="17" fillId="20" borderId="0" xfId="15" applyFont="1" applyFill="1" applyAlignment="1" applyProtection="1">
      <alignment vertical="center"/>
    </xf>
    <xf numFmtId="0" fontId="17" fillId="20" borderId="0" xfId="15" applyFont="1" applyFill="1" applyBorder="1" applyAlignment="1">
      <alignment vertical="center"/>
    </xf>
    <xf numFmtId="0" fontId="84" fillId="16" borderId="0" xfId="0" applyFont="1" applyFill="1"/>
    <xf numFmtId="0" fontId="84" fillId="16" borderId="0" xfId="0" applyFont="1" applyFill="1" applyBorder="1"/>
    <xf numFmtId="0" fontId="84" fillId="20" borderId="0" xfId="0" applyFont="1" applyFill="1"/>
    <xf numFmtId="197" fontId="43" fillId="0" borderId="29" xfId="6" applyNumberFormat="1" applyFont="1" applyFill="1" applyBorder="1" applyAlignment="1" applyProtection="1">
      <alignment horizontal="center" vertical="center"/>
    </xf>
    <xf numFmtId="197" fontId="43" fillId="0" borderId="28" xfId="6" applyNumberFormat="1" applyFont="1" applyFill="1" applyBorder="1" applyAlignment="1" applyProtection="1">
      <alignment horizontal="center" vertical="center"/>
    </xf>
    <xf numFmtId="193" fontId="55" fillId="5" borderId="118" xfId="2" applyNumberFormat="1" applyFont="1" applyFill="1" applyBorder="1" applyAlignment="1" applyProtection="1"/>
    <xf numFmtId="179" fontId="59" fillId="3" borderId="76" xfId="2" applyNumberFormat="1" applyFont="1" applyFill="1" applyBorder="1" applyAlignment="1" applyProtection="1">
      <alignment horizontal="left" vertical="center"/>
    </xf>
    <xf numFmtId="179" fontId="60" fillId="0" borderId="18" xfId="2" applyNumberFormat="1" applyFont="1" applyBorder="1" applyAlignment="1" applyProtection="1">
      <alignment vertical="center" wrapText="1"/>
    </xf>
    <xf numFmtId="179" fontId="61" fillId="0" borderId="18" xfId="2" applyNumberFormat="1" applyFont="1" applyBorder="1" applyAlignment="1" applyProtection="1">
      <alignment vertical="center" wrapText="1"/>
    </xf>
    <xf numFmtId="0" fontId="56" fillId="16" borderId="9" xfId="0" applyFont="1" applyFill="1" applyBorder="1" applyProtection="1"/>
    <xf numFmtId="0" fontId="56" fillId="16" borderId="17" xfId="0" applyFont="1" applyFill="1" applyBorder="1" applyProtection="1"/>
    <xf numFmtId="0" fontId="56" fillId="16" borderId="16" xfId="0" applyFont="1" applyFill="1" applyBorder="1" applyProtection="1"/>
    <xf numFmtId="0" fontId="55" fillId="5" borderId="2" xfId="0" applyFont="1" applyFill="1" applyBorder="1" applyAlignment="1" applyProtection="1">
      <alignment horizontal="right"/>
    </xf>
    <xf numFmtId="0" fontId="17" fillId="16" borderId="0" xfId="15" applyFont="1" applyFill="1" applyAlignment="1">
      <alignment vertical="center"/>
    </xf>
    <xf numFmtId="0" fontId="17" fillId="16" borderId="0" xfId="15" applyFont="1" applyFill="1" applyBorder="1" applyAlignment="1">
      <alignment vertical="center"/>
    </xf>
    <xf numFmtId="193" fontId="20" fillId="16" borderId="0" xfId="2" applyNumberFormat="1" applyFont="1" applyFill="1" applyBorder="1" applyAlignment="1" applyProtection="1"/>
    <xf numFmtId="1" fontId="17" fillId="16" borderId="0" xfId="15" applyNumberFormat="1" applyFont="1" applyFill="1" applyAlignment="1">
      <alignment vertical="center"/>
    </xf>
    <xf numFmtId="186" fontId="17" fillId="16" borderId="0" xfId="15" applyNumberFormat="1" applyFont="1" applyFill="1" applyAlignment="1">
      <alignment vertical="center"/>
    </xf>
    <xf numFmtId="0" fontId="22" fillId="16" borderId="0" xfId="15" applyFont="1" applyFill="1" applyAlignment="1" applyProtection="1">
      <alignment vertical="center"/>
    </xf>
    <xf numFmtId="1" fontId="22" fillId="16" borderId="0" xfId="15" applyNumberFormat="1" applyFont="1" applyFill="1" applyAlignment="1" applyProtection="1">
      <alignment vertical="center"/>
    </xf>
    <xf numFmtId="0" fontId="22" fillId="16" borderId="0" xfId="15" applyFont="1" applyFill="1" applyAlignment="1">
      <alignment vertical="center"/>
    </xf>
    <xf numFmtId="0" fontId="17" fillId="16" borderId="0" xfId="15" applyFont="1" applyFill="1" applyAlignment="1" applyProtection="1">
      <alignment vertical="center"/>
    </xf>
    <xf numFmtId="193" fontId="20" fillId="16" borderId="0" xfId="2" applyNumberFormat="1" applyFont="1" applyFill="1" applyBorder="1" applyAlignment="1" applyProtection="1">
      <alignment vertical="center"/>
    </xf>
    <xf numFmtId="1" fontId="22" fillId="16" borderId="0" xfId="15" applyNumberFormat="1" applyFont="1" applyFill="1" applyAlignment="1">
      <alignment vertical="center"/>
    </xf>
    <xf numFmtId="0" fontId="6" fillId="16" borderId="0" xfId="15" applyFill="1" applyAlignment="1">
      <alignment vertical="center"/>
    </xf>
    <xf numFmtId="197" fontId="29" fillId="21" borderId="15" xfId="4" applyNumberFormat="1" applyFont="1" applyFill="1" applyBorder="1" applyAlignment="1" applyProtection="1">
      <alignment vertical="center"/>
    </xf>
    <xf numFmtId="197" fontId="29" fillId="21" borderId="53" xfId="4" applyNumberFormat="1" applyFont="1" applyFill="1" applyBorder="1" applyAlignment="1" applyProtection="1">
      <alignment vertical="center"/>
    </xf>
    <xf numFmtId="197" fontId="29" fillId="21" borderId="0" xfId="4" applyNumberFormat="1" applyFont="1" applyFill="1" applyBorder="1" applyAlignment="1" applyProtection="1">
      <alignment vertical="center"/>
    </xf>
    <xf numFmtId="197" fontId="28" fillId="21" borderId="39" xfId="4" applyNumberFormat="1" applyFont="1" applyFill="1" applyBorder="1" applyAlignment="1" applyProtection="1">
      <alignment vertical="center"/>
    </xf>
    <xf numFmtId="197" fontId="28" fillId="21" borderId="54" xfId="4" applyNumberFormat="1" applyFont="1" applyFill="1" applyBorder="1" applyAlignment="1" applyProtection="1">
      <alignment vertical="center"/>
    </xf>
    <xf numFmtId="197" fontId="28" fillId="21" borderId="26" xfId="4" applyNumberFormat="1" applyFont="1" applyFill="1" applyBorder="1" applyAlignment="1" applyProtection="1">
      <alignment vertical="center"/>
    </xf>
    <xf numFmtId="197" fontId="28" fillId="21" borderId="55" xfId="4" applyNumberFormat="1" applyFont="1" applyFill="1" applyBorder="1" applyAlignment="1" applyProtection="1">
      <alignment vertical="center"/>
    </xf>
    <xf numFmtId="0" fontId="23" fillId="16" borderId="0" xfId="15" applyFont="1" applyFill="1" applyBorder="1" applyAlignment="1">
      <alignment vertical="center"/>
    </xf>
    <xf numFmtId="197" fontId="28" fillId="19" borderId="12" xfId="4" applyNumberFormat="1" applyFont="1" applyFill="1" applyBorder="1" applyAlignment="1" applyProtection="1">
      <alignment horizontal="right" vertical="center"/>
    </xf>
    <xf numFmtId="197" fontId="28" fillId="19" borderId="12" xfId="4" applyNumberFormat="1" applyFont="1" applyFill="1" applyBorder="1" applyAlignment="1" applyProtection="1">
      <alignment horizontal="right" vertical="center"/>
      <protection locked="0"/>
    </xf>
    <xf numFmtId="197" fontId="29" fillId="19" borderId="52" xfId="6" applyNumberFormat="1" applyFont="1" applyFill="1" applyBorder="1" applyAlignment="1" applyProtection="1">
      <alignment horizontal="center" vertical="center"/>
    </xf>
    <xf numFmtId="197" fontId="29" fillId="19" borderId="15" xfId="4" applyNumberFormat="1" applyFont="1" applyFill="1" applyBorder="1" applyAlignment="1" applyProtection="1">
      <alignment vertical="center"/>
    </xf>
    <xf numFmtId="197" fontId="29" fillId="19" borderId="52" xfId="4" applyNumberFormat="1" applyFont="1" applyFill="1" applyBorder="1" applyAlignment="1" applyProtection="1">
      <alignment vertical="center"/>
    </xf>
    <xf numFmtId="197" fontId="29" fillId="19" borderId="0" xfId="4" applyNumberFormat="1" applyFont="1" applyFill="1" applyBorder="1" applyAlignment="1" applyProtection="1">
      <alignment vertical="center"/>
    </xf>
    <xf numFmtId="197" fontId="29" fillId="19" borderId="69" xfId="4" applyNumberFormat="1" applyFont="1" applyFill="1" applyBorder="1" applyAlignment="1" applyProtection="1">
      <alignment vertical="center"/>
    </xf>
    <xf numFmtId="197" fontId="28" fillId="19" borderId="39" xfId="4" applyNumberFormat="1" applyFont="1" applyFill="1" applyBorder="1" applyAlignment="1" applyProtection="1">
      <alignment vertical="center"/>
    </xf>
    <xf numFmtId="197" fontId="28" fillId="19" borderId="54" xfId="4" applyNumberFormat="1" applyFont="1" applyFill="1" applyBorder="1" applyAlignment="1" applyProtection="1">
      <alignment vertical="center"/>
    </xf>
    <xf numFmtId="197" fontId="28" fillId="19" borderId="26" xfId="4" applyNumberFormat="1" applyFont="1" applyFill="1" applyBorder="1" applyAlignment="1" applyProtection="1">
      <alignment vertical="center"/>
    </xf>
    <xf numFmtId="197" fontId="28" fillId="19" borderId="55" xfId="4" applyNumberFormat="1" applyFont="1" applyFill="1" applyBorder="1" applyAlignment="1" applyProtection="1">
      <alignment vertical="center"/>
    </xf>
    <xf numFmtId="1" fontId="86" fillId="0" borderId="0" xfId="15" applyNumberFormat="1" applyFont="1" applyFill="1" applyAlignment="1" applyProtection="1">
      <alignment vertical="center"/>
    </xf>
    <xf numFmtId="0" fontId="86" fillId="0" borderId="0" xfId="15" applyFont="1" applyAlignment="1">
      <alignment vertical="center"/>
    </xf>
    <xf numFmtId="1" fontId="86" fillId="0" borderId="14" xfId="15" applyNumberFormat="1" applyFont="1" applyFill="1" applyBorder="1" applyAlignment="1" applyProtection="1">
      <alignment vertical="center"/>
    </xf>
    <xf numFmtId="0" fontId="86" fillId="16" borderId="0" xfId="15" applyFont="1" applyFill="1" applyBorder="1" applyAlignment="1">
      <alignment vertical="center"/>
    </xf>
    <xf numFmtId="0" fontId="87" fillId="16" borderId="0" xfId="15" applyFont="1" applyFill="1" applyBorder="1" applyAlignment="1">
      <alignment vertical="center"/>
    </xf>
    <xf numFmtId="1" fontId="87" fillId="16" borderId="0" xfId="15" applyNumberFormat="1" applyFont="1" applyFill="1" applyBorder="1" applyAlignment="1">
      <alignment vertical="center"/>
    </xf>
    <xf numFmtId="188" fontId="86" fillId="0" borderId="14" xfId="15" applyNumberFormat="1" applyFont="1" applyFill="1" applyBorder="1" applyAlignment="1" applyProtection="1">
      <alignment vertical="center"/>
    </xf>
    <xf numFmtId="1" fontId="86" fillId="16" borderId="0" xfId="15" applyNumberFormat="1" applyFont="1" applyFill="1" applyBorder="1" applyAlignment="1">
      <alignment vertical="center"/>
    </xf>
    <xf numFmtId="9" fontId="86" fillId="0" borderId="14" xfId="1" applyFont="1" applyBorder="1" applyAlignment="1">
      <alignment vertical="center"/>
    </xf>
    <xf numFmtId="186" fontId="86" fillId="0" borderId="14" xfId="15" applyNumberFormat="1" applyFont="1" applyBorder="1" applyAlignment="1">
      <alignment vertical="center"/>
    </xf>
    <xf numFmtId="1" fontId="88" fillId="22" borderId="0" xfId="15" applyNumberFormat="1" applyFont="1" applyFill="1" applyBorder="1" applyAlignment="1">
      <alignment vertical="center"/>
    </xf>
    <xf numFmtId="0" fontId="88" fillId="22" borderId="0" xfId="15" applyFont="1" applyFill="1" applyBorder="1" applyAlignment="1">
      <alignment vertical="center"/>
    </xf>
    <xf numFmtId="0" fontId="88" fillId="0" borderId="0" xfId="15" applyFont="1" applyAlignment="1">
      <alignment vertical="center"/>
    </xf>
    <xf numFmtId="0" fontId="89" fillId="23" borderId="0" xfId="1" applyNumberFormat="1" applyFont="1" applyFill="1" applyAlignment="1" applyProtection="1">
      <alignment vertical="center"/>
    </xf>
    <xf numFmtId="0" fontId="22" fillId="5" borderId="0" xfId="1" applyNumberFormat="1" applyFont="1" applyFill="1" applyBorder="1" applyAlignment="1" applyProtection="1">
      <alignment vertical="center"/>
    </xf>
    <xf numFmtId="197" fontId="28" fillId="0" borderId="124" xfId="6" applyNumberFormat="1" applyFont="1" applyFill="1" applyBorder="1" applyAlignment="1" applyProtection="1">
      <alignment horizontal="left" vertical="center"/>
    </xf>
    <xf numFmtId="197" fontId="28" fillId="0" borderId="28" xfId="4" applyNumberFormat="1" applyFont="1" applyFill="1" applyBorder="1" applyAlignment="1" applyProtection="1">
      <alignment horizontal="right" vertical="center"/>
    </xf>
    <xf numFmtId="197" fontId="28" fillId="21" borderId="28" xfId="4" applyNumberFormat="1" applyFont="1" applyFill="1" applyBorder="1" applyAlignment="1" applyProtection="1">
      <alignment horizontal="right" vertical="center"/>
    </xf>
    <xf numFmtId="197" fontId="28" fillId="21" borderId="28" xfId="4" applyNumberFormat="1" applyFont="1" applyFill="1" applyBorder="1" applyAlignment="1" applyProtection="1">
      <alignment horizontal="right" vertical="center"/>
      <protection locked="0"/>
    </xf>
    <xf numFmtId="197" fontId="29" fillId="21" borderId="125" xfId="6" applyNumberFormat="1" applyFont="1" applyFill="1" applyBorder="1" applyAlignment="1" applyProtection="1">
      <alignment horizontal="center" vertical="center"/>
    </xf>
    <xf numFmtId="1" fontId="86" fillId="16" borderId="0" xfId="15" applyNumberFormat="1" applyFont="1" applyFill="1" applyBorder="1" applyAlignment="1" applyProtection="1">
      <alignment vertical="center"/>
    </xf>
    <xf numFmtId="188" fontId="86" fillId="16" borderId="0" xfId="15" applyNumberFormat="1" applyFont="1" applyFill="1" applyBorder="1" applyAlignment="1" applyProtection="1">
      <alignment vertical="center"/>
    </xf>
    <xf numFmtId="9" fontId="86" fillId="16" borderId="0" xfId="1" applyFont="1" applyFill="1" applyBorder="1" applyAlignment="1">
      <alignment vertical="center"/>
    </xf>
    <xf numFmtId="186" fontId="86" fillId="16" borderId="0" xfId="15" applyNumberFormat="1" applyFont="1" applyFill="1" applyBorder="1" applyAlignment="1">
      <alignment vertical="center"/>
    </xf>
    <xf numFmtId="14" fontId="20" fillId="16" borderId="0" xfId="15" applyNumberFormat="1" applyFont="1" applyFill="1" applyAlignment="1">
      <alignment vertical="center"/>
    </xf>
    <xf numFmtId="0" fontId="90" fillId="3" borderId="0" xfId="0" applyFont="1" applyFill="1"/>
    <xf numFmtId="0" fontId="93" fillId="3" borderId="14" xfId="0" applyFont="1" applyFill="1" applyBorder="1" applyAlignment="1">
      <alignment vertical="center"/>
    </xf>
    <xf numFmtId="0" fontId="92" fillId="3" borderId="14" xfId="0" applyFont="1" applyFill="1" applyBorder="1" applyAlignment="1">
      <alignment vertical="center"/>
    </xf>
    <xf numFmtId="0" fontId="94" fillId="3" borderId="14" xfId="0" applyFont="1" applyFill="1" applyBorder="1" applyAlignment="1">
      <alignment horizontal="center" vertical="center"/>
    </xf>
    <xf numFmtId="208" fontId="94" fillId="3" borderId="14" xfId="0" applyNumberFormat="1" applyFont="1" applyFill="1" applyBorder="1" applyAlignment="1">
      <alignment horizontal="center" vertical="center"/>
    </xf>
    <xf numFmtId="0" fontId="93" fillId="3" borderId="0" xfId="0" applyFont="1" applyFill="1"/>
    <xf numFmtId="0" fontId="92" fillId="3" borderId="14" xfId="0" applyFont="1" applyFill="1" applyBorder="1" applyAlignment="1">
      <alignment horizontal="center" vertical="center"/>
    </xf>
    <xf numFmtId="1" fontId="94" fillId="3" borderId="14" xfId="0" applyNumberFormat="1" applyFont="1" applyFill="1" applyBorder="1" applyAlignment="1">
      <alignment horizontal="center" vertical="center"/>
    </xf>
    <xf numFmtId="209" fontId="94" fillId="3" borderId="14" xfId="0" applyNumberFormat="1" applyFont="1" applyFill="1" applyBorder="1" applyAlignment="1">
      <alignment horizontal="center" vertical="center"/>
    </xf>
    <xf numFmtId="179" fontId="98" fillId="3" borderId="14" xfId="2" applyNumberFormat="1" applyFont="1" applyFill="1" applyBorder="1" applyAlignment="1" applyProtection="1">
      <alignment vertical="center"/>
    </xf>
    <xf numFmtId="179" fontId="99" fillId="3" borderId="13" xfId="2" applyNumberFormat="1" applyFont="1" applyFill="1" applyBorder="1" applyAlignment="1" applyProtection="1">
      <alignment vertical="center"/>
      <protection locked="0"/>
    </xf>
    <xf numFmtId="179" fontId="99" fillId="3" borderId="0" xfId="2" applyNumberFormat="1" applyFont="1" applyFill="1" applyBorder="1" applyAlignment="1" applyProtection="1">
      <alignment vertical="center"/>
    </xf>
    <xf numFmtId="183" fontId="99" fillId="3" borderId="0" xfId="2" applyNumberFormat="1" applyFont="1" applyFill="1" applyBorder="1" applyAlignment="1" applyProtection="1">
      <alignment vertical="center"/>
    </xf>
    <xf numFmtId="0" fontId="98" fillId="3" borderId="0" xfId="0" applyFont="1" applyFill="1"/>
    <xf numFmtId="1" fontId="100" fillId="3" borderId="9" xfId="2" applyNumberFormat="1" applyFont="1" applyFill="1" applyBorder="1" applyAlignment="1" applyProtection="1">
      <alignment vertical="center"/>
      <protection locked="0"/>
    </xf>
    <xf numFmtId="179" fontId="100" fillId="3" borderId="17" xfId="2" applyNumberFormat="1" applyFont="1" applyFill="1" applyBorder="1" applyAlignment="1" applyProtection="1">
      <alignment horizontal="left" vertical="center"/>
    </xf>
    <xf numFmtId="1" fontId="100" fillId="3" borderId="17" xfId="2" applyNumberFormat="1" applyFont="1" applyFill="1" applyBorder="1" applyAlignment="1" applyProtection="1">
      <alignment vertical="center"/>
    </xf>
    <xf numFmtId="179" fontId="100" fillId="3" borderId="17" xfId="2" applyNumberFormat="1" applyFont="1" applyFill="1" applyBorder="1" applyAlignment="1" applyProtection="1">
      <alignment vertical="center"/>
    </xf>
    <xf numFmtId="179" fontId="100" fillId="3" borderId="17" xfId="2" applyNumberFormat="1" applyFont="1" applyFill="1" applyBorder="1" applyProtection="1"/>
    <xf numFmtId="179" fontId="100" fillId="3" borderId="16" xfId="2" applyNumberFormat="1" applyFont="1" applyFill="1" applyBorder="1" applyAlignment="1" applyProtection="1">
      <alignment vertical="center"/>
    </xf>
    <xf numFmtId="179" fontId="83" fillId="18" borderId="14" xfId="2" applyNumberFormat="1" applyFont="1" applyFill="1" applyBorder="1" applyAlignment="1" applyProtection="1">
      <alignment vertical="center"/>
    </xf>
    <xf numFmtId="179" fontId="94" fillId="3" borderId="14" xfId="0" applyNumberFormat="1" applyFont="1" applyFill="1" applyBorder="1" applyAlignment="1">
      <alignment horizontal="center" vertical="center"/>
    </xf>
    <xf numFmtId="0" fontId="102" fillId="20" borderId="0" xfId="0" applyFont="1" applyFill="1"/>
    <xf numFmtId="0" fontId="104" fillId="16" borderId="0" xfId="0" applyFont="1" applyFill="1" applyBorder="1" applyAlignment="1">
      <alignment horizontal="left" vertical="center"/>
    </xf>
    <xf numFmtId="0" fontId="103" fillId="16" borderId="0" xfId="0" applyFont="1" applyFill="1" applyBorder="1" applyAlignment="1">
      <alignment horizontal="left" vertical="center"/>
    </xf>
    <xf numFmtId="197" fontId="49" fillId="21" borderId="0" xfId="2" applyNumberFormat="1" applyFont="1" applyFill="1" applyBorder="1" applyAlignment="1" applyProtection="1">
      <alignment vertical="center"/>
      <protection locked="0"/>
    </xf>
    <xf numFmtId="197" fontId="49" fillId="3" borderId="0" xfId="2" applyNumberFormat="1" applyFont="1" applyFill="1" applyBorder="1" applyAlignment="1" applyProtection="1">
      <alignment vertical="center"/>
      <protection locked="0"/>
    </xf>
    <xf numFmtId="0" fontId="84" fillId="13" borderId="0" xfId="0" applyFont="1" applyFill="1"/>
    <xf numFmtId="0" fontId="85" fillId="13" borderId="0" xfId="0" applyFont="1" applyFill="1"/>
    <xf numFmtId="0" fontId="84" fillId="13" borderId="2" xfId="0" applyFont="1" applyFill="1" applyBorder="1"/>
    <xf numFmtId="0" fontId="84" fillId="13" borderId="3" xfId="0" applyFont="1" applyFill="1" applyBorder="1"/>
    <xf numFmtId="0" fontId="84" fillId="13" borderId="4" xfId="0" applyFont="1" applyFill="1" applyBorder="1"/>
    <xf numFmtId="0" fontId="85" fillId="13" borderId="14" xfId="0" applyFont="1" applyFill="1" applyBorder="1"/>
    <xf numFmtId="0" fontId="84" fillId="13" borderId="14" xfId="0" applyFont="1" applyFill="1" applyBorder="1"/>
    <xf numFmtId="179" fontId="83" fillId="13" borderId="6" xfId="2" applyNumberFormat="1" applyFont="1" applyFill="1" applyBorder="1" applyAlignment="1" applyProtection="1">
      <alignment vertical="center"/>
    </xf>
    <xf numFmtId="0" fontId="85" fillId="13" borderId="35" xfId="0" applyFont="1" applyFill="1" applyBorder="1"/>
    <xf numFmtId="0" fontId="84" fillId="13" borderId="6" xfId="0" applyFont="1" applyFill="1" applyBorder="1"/>
    <xf numFmtId="0" fontId="84" fillId="13" borderId="5" xfId="0" applyFont="1" applyFill="1" applyBorder="1"/>
    <xf numFmtId="0" fontId="84" fillId="13" borderId="0" xfId="0" applyFont="1" applyFill="1" applyBorder="1"/>
    <xf numFmtId="209" fontId="84" fillId="13" borderId="14" xfId="0" applyNumberFormat="1" applyFont="1" applyFill="1" applyBorder="1"/>
    <xf numFmtId="0" fontId="85" fillId="13" borderId="40" xfId="0" applyFont="1" applyFill="1" applyBorder="1"/>
    <xf numFmtId="209" fontId="84" fillId="13" borderId="41" xfId="0" applyNumberFormat="1" applyFont="1" applyFill="1" applyBorder="1"/>
    <xf numFmtId="0" fontId="84" fillId="13" borderId="8" xfId="0" applyFont="1" applyFill="1" applyBorder="1"/>
    <xf numFmtId="183" fontId="84" fillId="13" borderId="41" xfId="0" applyNumberFormat="1" applyFont="1" applyFill="1" applyBorder="1"/>
    <xf numFmtId="179" fontId="83" fillId="13" borderId="8" xfId="2" applyNumberFormat="1" applyFont="1" applyFill="1" applyBorder="1" applyAlignment="1" applyProtection="1">
      <alignment vertical="center"/>
    </xf>
    <xf numFmtId="207" fontId="91" fillId="3" borderId="0" xfId="0" applyNumberFormat="1" applyFont="1" applyFill="1" applyAlignment="1">
      <alignment horizontal="center" vertical="center"/>
    </xf>
    <xf numFmtId="0" fontId="92" fillId="3" borderId="14" xfId="0" applyFont="1" applyFill="1" applyBorder="1" applyAlignment="1">
      <alignment vertical="center"/>
    </xf>
    <xf numFmtId="0" fontId="95" fillId="3" borderId="14" xfId="0" applyFont="1" applyFill="1" applyBorder="1" applyAlignment="1">
      <alignment horizontal="center" vertical="center"/>
    </xf>
    <xf numFmtId="0" fontId="94" fillId="3" borderId="14" xfId="0" applyFont="1" applyFill="1" applyBorder="1" applyAlignment="1">
      <alignment horizontal="center" vertical="center"/>
    </xf>
    <xf numFmtId="207" fontId="97" fillId="3" borderId="0" xfId="0" applyNumberFormat="1" applyFont="1" applyFill="1" applyAlignment="1">
      <alignment horizontal="center" vertical="center"/>
    </xf>
    <xf numFmtId="179" fontId="63" fillId="0" borderId="3" xfId="2" applyNumberFormat="1" applyFont="1" applyBorder="1" applyAlignment="1" applyProtection="1">
      <alignment horizontal="center" vertical="center"/>
      <protection locked="0"/>
    </xf>
    <xf numFmtId="179" fontId="63" fillId="0" borderId="0" xfId="2" applyNumberFormat="1" applyFont="1" applyAlignment="1" applyProtection="1">
      <alignment horizontal="center" vertical="center"/>
      <protection locked="0"/>
    </xf>
    <xf numFmtId="179" fontId="64" fillId="0" borderId="9" xfId="2" applyNumberFormat="1" applyFont="1" applyFill="1" applyBorder="1" applyAlignment="1" applyProtection="1">
      <alignment horizontal="center" vertical="center"/>
    </xf>
    <xf numFmtId="179" fontId="64" fillId="0" borderId="17" xfId="2" applyNumberFormat="1" applyFont="1" applyFill="1" applyBorder="1" applyAlignment="1" applyProtection="1">
      <alignment horizontal="center" vertical="center"/>
    </xf>
    <xf numFmtId="179" fontId="64" fillId="0" borderId="16" xfId="2" applyNumberFormat="1" applyFont="1" applyFill="1" applyBorder="1" applyAlignment="1" applyProtection="1">
      <alignment horizontal="center" vertical="center"/>
    </xf>
    <xf numFmtId="179" fontId="71" fillId="0" borderId="5" xfId="2" applyNumberFormat="1" applyFont="1" applyFill="1" applyBorder="1" applyAlignment="1" applyProtection="1">
      <alignment horizontal="center" vertical="center"/>
    </xf>
    <xf numFmtId="179" fontId="71" fillId="0" borderId="0" xfId="2" applyNumberFormat="1" applyFont="1" applyFill="1" applyBorder="1" applyAlignment="1" applyProtection="1">
      <alignment horizontal="center" vertical="center"/>
    </xf>
    <xf numFmtId="179" fontId="71" fillId="0" borderId="6" xfId="2" applyNumberFormat="1" applyFont="1" applyFill="1" applyBorder="1" applyAlignment="1" applyProtection="1">
      <alignment horizontal="center" vertical="center"/>
    </xf>
    <xf numFmtId="176" fontId="69" fillId="0" borderId="29" xfId="4" applyNumberFormat="1" applyFont="1" applyBorder="1" applyAlignment="1" applyProtection="1">
      <alignment horizontal="center" vertical="center"/>
    </xf>
    <xf numFmtId="176" fontId="69" fillId="0" borderId="28" xfId="4" applyNumberFormat="1" applyFont="1" applyBorder="1" applyAlignment="1" applyProtection="1">
      <alignment horizontal="center" vertical="center"/>
    </xf>
    <xf numFmtId="176" fontId="69" fillId="0" borderId="30" xfId="4" applyNumberFormat="1" applyFont="1" applyBorder="1" applyAlignment="1" applyProtection="1">
      <alignment horizontal="center" vertical="center"/>
    </xf>
    <xf numFmtId="176" fontId="69" fillId="0" borderId="25" xfId="4" applyNumberFormat="1" applyFont="1" applyBorder="1" applyAlignment="1" applyProtection="1">
      <alignment horizontal="center" vertical="center"/>
    </xf>
    <xf numFmtId="176" fontId="69" fillId="0" borderId="26" xfId="4" applyNumberFormat="1" applyFont="1" applyBorder="1" applyAlignment="1" applyProtection="1">
      <alignment horizontal="center" vertical="center"/>
    </xf>
    <xf numFmtId="176" fontId="69" fillId="0" borderId="27" xfId="4" applyNumberFormat="1" applyFont="1" applyBorder="1" applyAlignment="1" applyProtection="1">
      <alignment horizontal="center" vertical="center"/>
    </xf>
    <xf numFmtId="179" fontId="69" fillId="0" borderId="29" xfId="2" applyNumberFormat="1" applyFont="1" applyBorder="1" applyAlignment="1" applyProtection="1">
      <alignment horizontal="center" vertical="center"/>
    </xf>
    <xf numFmtId="179" fontId="69" fillId="0" borderId="28" xfId="2" applyNumberFormat="1" applyFont="1" applyBorder="1" applyAlignment="1" applyProtection="1">
      <alignment horizontal="center" vertical="center"/>
    </xf>
    <xf numFmtId="179" fontId="69" fillId="0" borderId="30" xfId="2" applyNumberFormat="1" applyFont="1" applyBorder="1" applyAlignment="1" applyProtection="1">
      <alignment horizontal="center" vertical="center"/>
    </xf>
    <xf numFmtId="179" fontId="74" fillId="0" borderId="17" xfId="2" applyNumberFormat="1" applyFont="1" applyFill="1" applyBorder="1" applyAlignment="1" applyProtection="1">
      <alignment horizontal="center" vertical="center"/>
    </xf>
    <xf numFmtId="179" fontId="74" fillId="0" borderId="16" xfId="2" applyNumberFormat="1" applyFont="1" applyFill="1" applyBorder="1" applyAlignment="1" applyProtection="1">
      <alignment horizontal="center" vertical="center"/>
    </xf>
    <xf numFmtId="0" fontId="82" fillId="19" borderId="14" xfId="0" applyFont="1" applyFill="1" applyBorder="1" applyAlignment="1" applyProtection="1">
      <alignment horizontal="center" vertical="center"/>
    </xf>
    <xf numFmtId="0" fontId="79" fillId="16" borderId="124" xfId="0" applyFont="1" applyFill="1" applyBorder="1" applyAlignment="1" applyProtection="1">
      <alignment horizontal="center" vertical="center"/>
    </xf>
    <xf numFmtId="0" fontId="79" fillId="16" borderId="125" xfId="0" applyFont="1" applyFill="1" applyBorder="1" applyAlignment="1" applyProtection="1">
      <alignment horizontal="center" vertical="center"/>
    </xf>
    <xf numFmtId="14" fontId="80" fillId="15" borderId="40" xfId="2" applyNumberFormat="1" applyFont="1" applyFill="1" applyBorder="1" applyAlignment="1" applyProtection="1">
      <alignment horizontal="center" vertical="center"/>
    </xf>
    <xf numFmtId="14" fontId="80" fillId="15" borderId="126" xfId="2" applyNumberFormat="1" applyFont="1" applyFill="1" applyBorder="1" applyAlignment="1" applyProtection="1">
      <alignment horizontal="center" vertical="center"/>
    </xf>
    <xf numFmtId="197" fontId="69" fillId="0" borderId="0" xfId="2" applyNumberFormat="1" applyFont="1" applyBorder="1" applyAlignment="1" applyProtection="1">
      <alignment horizontal="center" vertical="center"/>
    </xf>
    <xf numFmtId="197" fontId="69" fillId="0" borderId="6" xfId="2" applyNumberFormat="1" applyFont="1" applyBorder="1" applyAlignment="1" applyProtection="1">
      <alignment horizontal="center" vertical="center"/>
    </xf>
    <xf numFmtId="0" fontId="56" fillId="0" borderId="2" xfId="0" applyFont="1" applyBorder="1" applyAlignment="1" applyProtection="1">
      <alignment horizontal="center" vertical="center" textRotation="255"/>
      <protection locked="0"/>
    </xf>
    <xf numFmtId="0" fontId="56" fillId="0" borderId="0" xfId="0" applyFont="1" applyBorder="1" applyAlignment="1" applyProtection="1">
      <alignment horizontal="center" vertical="center" textRotation="255"/>
      <protection locked="0"/>
    </xf>
    <xf numFmtId="179" fontId="69" fillId="0" borderId="0" xfId="2" applyNumberFormat="1" applyFont="1" applyFill="1" applyBorder="1" applyAlignment="1" applyProtection="1">
      <alignment horizontal="center" vertical="center"/>
    </xf>
    <xf numFmtId="179" fontId="62" fillId="0" borderId="18" xfId="2" applyNumberFormat="1" applyFont="1" applyBorder="1" applyAlignment="1" applyProtection="1">
      <alignment horizontal="center" vertical="center" wrapText="1"/>
    </xf>
    <xf numFmtId="179" fontId="62" fillId="0" borderId="69" xfId="2" applyNumberFormat="1" applyFont="1" applyBorder="1" applyAlignment="1" applyProtection="1">
      <alignment horizontal="center" vertical="center" wrapText="1"/>
    </xf>
    <xf numFmtId="179" fontId="67" fillId="0" borderId="127" xfId="2" applyNumberFormat="1" applyFont="1" applyFill="1" applyBorder="1" applyAlignment="1" applyProtection="1">
      <alignment horizontal="center" vertical="center"/>
    </xf>
    <xf numFmtId="179" fontId="67" fillId="0" borderId="8" xfId="2" applyNumberFormat="1" applyFont="1" applyFill="1" applyBorder="1" applyAlignment="1" applyProtection="1">
      <alignment horizontal="center" vertical="center"/>
    </xf>
    <xf numFmtId="193" fontId="55" fillId="5" borderId="34" xfId="2" applyNumberFormat="1" applyFont="1" applyFill="1" applyBorder="1" applyAlignment="1" applyProtection="1">
      <alignment horizontal="left"/>
    </xf>
    <xf numFmtId="193" fontId="55" fillId="5" borderId="17" xfId="2" applyNumberFormat="1" applyFont="1" applyFill="1" applyBorder="1" applyAlignment="1" applyProtection="1">
      <alignment horizontal="left"/>
    </xf>
    <xf numFmtId="193" fontId="55" fillId="5" borderId="16" xfId="2" applyNumberFormat="1" applyFont="1" applyFill="1" applyBorder="1" applyAlignment="1" applyProtection="1">
      <alignment horizontal="left"/>
    </xf>
    <xf numFmtId="193" fontId="20" fillId="5" borderId="34" xfId="2" applyNumberFormat="1" applyFont="1" applyFill="1" applyBorder="1" applyAlignment="1" applyProtection="1">
      <alignment horizontal="left"/>
    </xf>
    <xf numFmtId="193" fontId="20" fillId="5" borderId="17" xfId="2" applyNumberFormat="1" applyFont="1" applyFill="1" applyBorder="1" applyAlignment="1" applyProtection="1">
      <alignment horizontal="left"/>
    </xf>
    <xf numFmtId="193" fontId="20" fillId="5" borderId="16" xfId="2" applyNumberFormat="1" applyFont="1" applyFill="1" applyBorder="1" applyAlignment="1" applyProtection="1">
      <alignment horizontal="left"/>
    </xf>
    <xf numFmtId="193" fontId="20" fillId="5" borderId="50" xfId="2" applyNumberFormat="1" applyFont="1" applyFill="1" applyBorder="1" applyAlignment="1" applyProtection="1">
      <alignment horizontal="left"/>
    </xf>
    <xf numFmtId="179" fontId="18" fillId="0" borderId="2" xfId="5" applyNumberFormat="1" applyFont="1" applyFill="1" applyBorder="1" applyAlignment="1" applyProtection="1">
      <alignment horizontal="center" vertical="top"/>
    </xf>
    <xf numFmtId="179" fontId="18" fillId="0" borderId="3" xfId="5" applyNumberFormat="1" applyFont="1" applyFill="1" applyBorder="1" applyAlignment="1" applyProtection="1">
      <alignment horizontal="center" vertical="top"/>
    </xf>
    <xf numFmtId="197" fontId="43" fillId="16" borderId="0" xfId="6" applyNumberFormat="1" applyFont="1" applyFill="1" applyBorder="1" applyAlignment="1" applyProtection="1">
      <alignment horizontal="center" vertical="center"/>
    </xf>
    <xf numFmtId="197" fontId="43" fillId="0" borderId="0" xfId="6" applyNumberFormat="1" applyFont="1" applyFill="1" applyBorder="1" applyAlignment="1" applyProtection="1">
      <alignment horizontal="center" vertical="center"/>
    </xf>
    <xf numFmtId="0" fontId="41" fillId="0" borderId="0" xfId="15" applyFont="1" applyFill="1" applyAlignment="1">
      <alignment horizontal="center" vertical="center"/>
    </xf>
    <xf numFmtId="0" fontId="20" fillId="5" borderId="9" xfId="0" applyFont="1" applyFill="1" applyBorder="1" applyAlignment="1" applyProtection="1">
      <alignment horizontal="left"/>
    </xf>
    <xf numFmtId="0" fontId="20" fillId="5" borderId="50" xfId="0" applyFont="1" applyFill="1" applyBorder="1" applyAlignment="1" applyProtection="1">
      <alignment horizontal="left"/>
    </xf>
    <xf numFmtId="197" fontId="43" fillId="0" borderId="29" xfId="6" applyNumberFormat="1" applyFont="1" applyFill="1" applyBorder="1" applyAlignment="1" applyProtection="1">
      <alignment horizontal="center" vertical="center"/>
    </xf>
    <xf numFmtId="197" fontId="43" fillId="0" borderId="28" xfId="6" applyNumberFormat="1" applyFont="1" applyFill="1" applyBorder="1" applyAlignment="1" applyProtection="1">
      <alignment horizontal="center" vertical="center"/>
    </xf>
    <xf numFmtId="9" fontId="22" fillId="3" borderId="0" xfId="1" applyFont="1" applyFill="1" applyAlignment="1" applyProtection="1">
      <alignment horizontal="center" vertical="center"/>
      <protection locked="0"/>
    </xf>
    <xf numFmtId="0" fontId="28" fillId="2" borderId="2" xfId="15" applyFont="1" applyFill="1" applyBorder="1" applyAlignment="1">
      <alignment horizontal="center" vertical="center"/>
    </xf>
    <xf numFmtId="0" fontId="28" fillId="2" borderId="3" xfId="15" applyFont="1" applyFill="1" applyBorder="1" applyAlignment="1">
      <alignment horizontal="center" vertical="center"/>
    </xf>
    <xf numFmtId="0" fontId="28" fillId="2" borderId="4" xfId="15" applyFont="1" applyFill="1" applyBorder="1" applyAlignment="1">
      <alignment horizontal="center" vertical="center"/>
    </xf>
    <xf numFmtId="0" fontId="28" fillId="2" borderId="7" xfId="15" applyFont="1" applyFill="1" applyBorder="1" applyAlignment="1">
      <alignment horizontal="center" vertical="center"/>
    </xf>
    <xf numFmtId="0" fontId="28" fillId="2" borderId="1" xfId="15" applyFont="1" applyFill="1" applyBorder="1" applyAlignment="1">
      <alignment horizontal="center" vertical="center"/>
    </xf>
    <xf numFmtId="0" fontId="28" fillId="2" borderId="8" xfId="15" applyFont="1" applyFill="1" applyBorder="1" applyAlignment="1">
      <alignment horizontal="center" vertical="center"/>
    </xf>
    <xf numFmtId="0" fontId="28" fillId="5" borderId="2" xfId="15" applyFont="1" applyFill="1" applyBorder="1" applyAlignment="1">
      <alignment horizontal="center" vertical="center"/>
    </xf>
    <xf numFmtId="0" fontId="28" fillId="5" borderId="3" xfId="15" applyFont="1" applyFill="1" applyBorder="1" applyAlignment="1">
      <alignment horizontal="center" vertical="center"/>
    </xf>
    <xf numFmtId="197" fontId="25" fillId="0" borderId="29" xfId="6" applyNumberFormat="1" applyFont="1" applyFill="1" applyBorder="1" applyAlignment="1" applyProtection="1">
      <alignment horizontal="center" vertical="center"/>
    </xf>
    <xf numFmtId="197" fontId="25" fillId="0" borderId="28" xfId="6" applyNumberFormat="1" applyFont="1" applyFill="1" applyBorder="1" applyAlignment="1" applyProtection="1">
      <alignment horizontal="center" vertical="center"/>
    </xf>
    <xf numFmtId="0" fontId="29" fillId="10" borderId="45" xfId="15" applyFont="1" applyFill="1" applyBorder="1" applyAlignment="1" applyProtection="1">
      <alignment horizontal="center" vertical="center"/>
    </xf>
    <xf numFmtId="0" fontId="29" fillId="10" borderId="15" xfId="15" applyFont="1" applyFill="1" applyBorder="1" applyAlignment="1" applyProtection="1">
      <alignment horizontal="center" vertical="center"/>
    </xf>
    <xf numFmtId="0" fontId="29" fillId="10" borderId="42" xfId="15" applyFont="1" applyFill="1" applyBorder="1" applyAlignment="1" applyProtection="1">
      <alignment horizontal="center" vertical="center"/>
    </xf>
    <xf numFmtId="9" fontId="28" fillId="2" borderId="0" xfId="1" applyFont="1" applyFill="1" applyBorder="1" applyAlignment="1" applyProtection="1">
      <alignment horizontal="center" vertical="center"/>
    </xf>
    <xf numFmtId="9" fontId="29" fillId="3" borderId="0" xfId="1" applyFont="1" applyFill="1" applyBorder="1" applyAlignment="1" applyProtection="1">
      <alignment horizontal="left" vertical="center"/>
      <protection locked="0"/>
    </xf>
    <xf numFmtId="193" fontId="46" fillId="0" borderId="2" xfId="4" applyNumberFormat="1" applyFont="1" applyBorder="1" applyAlignment="1" applyProtection="1">
      <alignment horizontal="center" vertical="center"/>
    </xf>
    <xf numFmtId="193" fontId="46" fillId="0" borderId="3" xfId="4" applyNumberFormat="1" applyFont="1" applyBorder="1" applyAlignment="1" applyProtection="1">
      <alignment horizontal="center" vertical="center"/>
    </xf>
    <xf numFmtId="193" fontId="46" fillId="0" borderId="4" xfId="4" applyNumberFormat="1" applyFont="1" applyBorder="1" applyAlignment="1" applyProtection="1">
      <alignment horizontal="center" vertical="center"/>
    </xf>
    <xf numFmtId="193" fontId="20" fillId="10" borderId="2" xfId="4" applyNumberFormat="1" applyFont="1" applyFill="1" applyBorder="1" applyAlignment="1" applyProtection="1">
      <alignment horizontal="left" vertical="top" wrapText="1"/>
    </xf>
    <xf numFmtId="193" fontId="20" fillId="10" borderId="3" xfId="4" applyNumberFormat="1" applyFont="1" applyFill="1" applyBorder="1" applyAlignment="1" applyProtection="1">
      <alignment horizontal="left" vertical="top" wrapText="1"/>
    </xf>
    <xf numFmtId="193" fontId="20" fillId="10" borderId="5" xfId="4" applyNumberFormat="1" applyFont="1" applyFill="1" applyBorder="1" applyAlignment="1" applyProtection="1">
      <alignment horizontal="left" vertical="top" wrapText="1"/>
    </xf>
    <xf numFmtId="193" fontId="20" fillId="10" borderId="0" xfId="4" applyNumberFormat="1" applyFont="1" applyFill="1" applyBorder="1" applyAlignment="1" applyProtection="1">
      <alignment horizontal="left" vertical="top" wrapText="1"/>
    </xf>
    <xf numFmtId="193" fontId="20" fillId="10" borderId="7" xfId="4" applyNumberFormat="1" applyFont="1" applyFill="1" applyBorder="1" applyAlignment="1" applyProtection="1">
      <alignment horizontal="left" vertical="top" wrapText="1"/>
    </xf>
    <xf numFmtId="193" fontId="20" fillId="10" borderId="1" xfId="4" applyNumberFormat="1" applyFont="1" applyFill="1" applyBorder="1" applyAlignment="1" applyProtection="1">
      <alignment horizontal="left" vertical="top" wrapText="1"/>
    </xf>
    <xf numFmtId="193" fontId="15" fillId="10" borderId="2" xfId="4" applyNumberFormat="1" applyFont="1" applyFill="1" applyBorder="1" applyAlignment="1" applyProtection="1">
      <alignment horizontal="left" vertical="top" wrapText="1"/>
    </xf>
    <xf numFmtId="193" fontId="15" fillId="10" borderId="3" xfId="4" applyNumberFormat="1" applyFont="1" applyFill="1" applyBorder="1" applyAlignment="1" applyProtection="1">
      <alignment horizontal="left" vertical="top" wrapText="1"/>
    </xf>
    <xf numFmtId="193" fontId="15" fillId="10" borderId="4" xfId="4" applyNumberFormat="1" applyFont="1" applyFill="1" applyBorder="1" applyAlignment="1" applyProtection="1">
      <alignment horizontal="left" vertical="top" wrapText="1"/>
    </xf>
    <xf numFmtId="193" fontId="15" fillId="10" borderId="7" xfId="4" applyNumberFormat="1" applyFont="1" applyFill="1" applyBorder="1" applyAlignment="1" applyProtection="1">
      <alignment horizontal="left" vertical="top" wrapText="1"/>
    </xf>
    <xf numFmtId="193" fontId="15" fillId="10" borderId="1" xfId="4" applyNumberFormat="1" applyFont="1" applyFill="1" applyBorder="1" applyAlignment="1" applyProtection="1">
      <alignment horizontal="left" vertical="top" wrapText="1"/>
    </xf>
    <xf numFmtId="193" fontId="15" fillId="10" borderId="8" xfId="4" applyNumberFormat="1" applyFont="1" applyFill="1" applyBorder="1" applyAlignment="1" applyProtection="1">
      <alignment horizontal="left" vertical="top" wrapText="1"/>
    </xf>
    <xf numFmtId="193" fontId="20" fillId="10" borderId="22" xfId="4" applyNumberFormat="1" applyFont="1" applyFill="1" applyBorder="1" applyAlignment="1" applyProtection="1">
      <alignment horizontal="left" vertical="top" wrapText="1"/>
    </xf>
    <xf numFmtId="193" fontId="20" fillId="10" borderId="23" xfId="4" applyNumberFormat="1" applyFont="1" applyFill="1" applyBorder="1" applyAlignment="1" applyProtection="1">
      <alignment horizontal="left" vertical="top" wrapText="1"/>
    </xf>
    <xf numFmtId="193" fontId="20" fillId="10" borderId="24" xfId="4" applyNumberFormat="1" applyFont="1" applyFill="1" applyBorder="1" applyAlignment="1" applyProtection="1">
      <alignment horizontal="left" vertical="top" wrapText="1"/>
    </xf>
    <xf numFmtId="193" fontId="15" fillId="10" borderId="5" xfId="4" applyNumberFormat="1" applyFont="1" applyFill="1" applyBorder="1" applyAlignment="1" applyProtection="1">
      <alignment horizontal="left" vertical="top" wrapText="1"/>
    </xf>
    <xf numFmtId="193" fontId="15" fillId="10" borderId="0" xfId="4" applyNumberFormat="1" applyFont="1" applyFill="1" applyBorder="1" applyAlignment="1" applyProtection="1">
      <alignment horizontal="left" vertical="top" wrapText="1"/>
    </xf>
    <xf numFmtId="193" fontId="15" fillId="10" borderId="6" xfId="4" applyNumberFormat="1" applyFont="1" applyFill="1" applyBorder="1" applyAlignment="1" applyProtection="1">
      <alignment horizontal="left" vertical="top" wrapText="1"/>
    </xf>
    <xf numFmtId="4" fontId="15" fillId="5" borderId="0" xfId="16" applyNumberFormat="1" applyFont="1" applyFill="1" applyAlignment="1" applyProtection="1">
      <alignment horizontal="left"/>
      <protection locked="0"/>
    </xf>
    <xf numFmtId="4" fontId="14" fillId="0" borderId="10" xfId="16" applyNumberFormat="1" applyFont="1" applyBorder="1" applyAlignment="1">
      <alignment horizontal="center"/>
    </xf>
    <xf numFmtId="3" fontId="14" fillId="0" borderId="10" xfId="16" applyNumberFormat="1" applyFont="1" applyFill="1" applyBorder="1" applyAlignment="1" applyProtection="1">
      <alignment horizontal="left"/>
    </xf>
    <xf numFmtId="4" fontId="14" fillId="7" borderId="2" xfId="16" applyNumberFormat="1" applyFont="1" applyFill="1" applyBorder="1" applyAlignment="1" applyProtection="1">
      <alignment horizontal="center"/>
      <protection locked="0"/>
    </xf>
    <xf numFmtId="4" fontId="14" fillId="7" borderId="3" xfId="16" applyNumberFormat="1" applyFont="1" applyFill="1" applyBorder="1" applyAlignment="1" applyProtection="1">
      <alignment horizontal="center"/>
      <protection locked="0"/>
    </xf>
    <xf numFmtId="4" fontId="15" fillId="0" borderId="0" xfId="16" applyNumberFormat="1" applyFont="1" applyAlignment="1">
      <alignment horizontal="center"/>
    </xf>
    <xf numFmtId="1" fontId="3" fillId="0" borderId="0" xfId="19" applyNumberFormat="1" applyFont="1" applyFill="1" applyBorder="1" applyAlignment="1" applyProtection="1">
      <alignment horizontal="center" vertical="center"/>
    </xf>
    <xf numFmtId="1" fontId="3" fillId="0" borderId="20" xfId="19" applyNumberFormat="1" applyFont="1" applyFill="1" applyBorder="1" applyAlignment="1" applyProtection="1">
      <alignment horizontal="center" vertical="center"/>
    </xf>
    <xf numFmtId="1" fontId="3" fillId="0" borderId="6" xfId="19" applyNumberFormat="1" applyFont="1" applyFill="1" applyBorder="1" applyAlignment="1" applyProtection="1">
      <alignment horizontal="center" vertical="center"/>
    </xf>
    <xf numFmtId="1" fontId="15" fillId="0" borderId="89" xfId="21" applyNumberFormat="1" applyFont="1" applyBorder="1" applyAlignment="1">
      <alignment horizontal="center"/>
    </xf>
    <xf numFmtId="1" fontId="15" fillId="0" borderId="94" xfId="21" applyNumberFormat="1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95" xfId="21" applyFont="1" applyBorder="1" applyAlignment="1">
      <alignment horizontal="center"/>
    </xf>
    <xf numFmtId="0" fontId="15" fillId="0" borderId="89" xfId="21" applyFont="1" applyBorder="1" applyAlignment="1">
      <alignment horizontal="center"/>
    </xf>
    <xf numFmtId="0" fontId="15" fillId="0" borderId="94" xfId="21" applyFont="1" applyBorder="1" applyAlignment="1">
      <alignment horizontal="center"/>
    </xf>
  </cellXfs>
  <cellStyles count="24">
    <cellStyle name="Comma 2" xfId="2"/>
    <cellStyle name="Comma 2 2" xfId="5"/>
    <cellStyle name="Comma 2 2 2" xfId="22"/>
    <cellStyle name="Comma 2 3" xfId="14"/>
    <cellStyle name="Comma 3" xfId="6"/>
    <cellStyle name="Comma 4" xfId="11"/>
    <cellStyle name="Comma 4 2" xfId="19"/>
    <cellStyle name="Comma 5" xfId="13"/>
    <cellStyle name="Comma 5 2" xfId="18"/>
    <cellStyle name="Comma 6" xfId="16"/>
    <cellStyle name="Normal 2" xfId="3"/>
    <cellStyle name="Normal 2 2" xfId="20"/>
    <cellStyle name="Normal 2 2 2" xfId="21"/>
    <cellStyle name="Normal 3" xfId="7"/>
    <cellStyle name="Normal 4" xfId="8"/>
    <cellStyle name="Normal 5" xfId="12"/>
    <cellStyle name="Normal 6" xfId="17"/>
    <cellStyle name="Normal_JB 690 - 090205" xfId="15"/>
    <cellStyle name="Percent 2" xfId="9"/>
    <cellStyle name="Percent 2 2" xfId="10"/>
    <cellStyle name="百分比" xfId="1" builtinId="5"/>
    <cellStyle name="常规" xfId="0" builtinId="0"/>
    <cellStyle name="常规 2" xfId="23"/>
    <cellStyle name="千位分隔" xfId="4" builtinId="3"/>
  </cellStyles>
  <dxfs count="32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FF0000"/>
      </font>
    </dxf>
    <dxf>
      <numFmt numFmtId="196" formatCode="_-\ ###0.000_-;\-\ ###0.000_-;_-\ &quot;-&quot;_-;_-@_-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96" formatCode="_-\ ###0.000_-;\-\ ###0.000_-;_-\ &quot;-&quot;_-;_-@_-"/>
    </dxf>
    <dxf>
      <fill>
        <patternFill patternType="lightUp"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'Curves (Ops. conditions)'!$B$48</c:f>
          <c:strCache>
            <c:ptCount val="1"/>
            <c:pt idx="0">
              <c:v>GT 106-44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9548144717204523E-2"/>
          <c:y val="0.13969159118268121"/>
          <c:w val="0.784902777873004"/>
          <c:h val="0.745099136705753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'Curves (Ops. conditions)'!$M$18</c:f>
              <c:strCache>
                <c:ptCount val="1"/>
                <c:pt idx="0">
                  <c:v>4000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'Curves (Ops. conditions)'!$O$18:$O$27</c:f>
              <c:numCache>
                <c:formatCode>0</c:formatCode>
                <c:ptCount val="10"/>
                <c:pt idx="0">
                  <c:v>11419.074510631594</c:v>
                </c:pt>
                <c:pt idx="1">
                  <c:v>19684.60893562499</c:v>
                </c:pt>
                <c:pt idx="2">
                  <c:v>28313.53990404342</c:v>
                </c:pt>
                <c:pt idx="3">
                  <c:v>33908.349437351557</c:v>
                </c:pt>
                <c:pt idx="4">
                  <c:v>38121.680343291264</c:v>
                </c:pt>
                <c:pt idx="5">
                  <c:v>40976.177929166915</c:v>
                </c:pt>
                <c:pt idx="6">
                  <c:v>42515.344843366969</c:v>
                </c:pt>
                <c:pt idx="7">
                  <c:v>42515.344843366969</c:v>
                </c:pt>
                <c:pt idx="8">
                  <c:v>42515.344843366969</c:v>
                </c:pt>
                <c:pt idx="9">
                  <c:v>42515.344843366969</c:v>
                </c:pt>
              </c:numCache>
            </c:numRef>
          </c:xVal>
          <c:yVal>
            <c:numRef>
              <c:f>'Curves (Ops. conditions)'!$N$18:$N$27</c:f>
              <c:numCache>
                <c:formatCode>0</c:formatCode>
                <c:ptCount val="10"/>
                <c:pt idx="0">
                  <c:v>4085.7093182644171</c:v>
                </c:pt>
                <c:pt idx="1">
                  <c:v>4201.0842524835207</c:v>
                </c:pt>
                <c:pt idx="2">
                  <c:v>3659.2443409324669</c:v>
                </c:pt>
                <c:pt idx="3">
                  <c:v>2907.5930674773017</c:v>
                </c:pt>
                <c:pt idx="4">
                  <c:v>2061.3607689803757</c:v>
                </c:pt>
                <c:pt idx="5">
                  <c:v>1317.147430130804</c:v>
                </c:pt>
                <c:pt idx="6">
                  <c:v>884.94664999877875</c:v>
                </c:pt>
                <c:pt idx="7">
                  <c:v>884.94664999877875</c:v>
                </c:pt>
                <c:pt idx="8">
                  <c:v>884.94664999877875</c:v>
                </c:pt>
                <c:pt idx="9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BA8-42AA-8A8E-EBB0B608F546}"/>
            </c:ext>
          </c:extLst>
        </c:ser>
        <c:ser>
          <c:idx val="1"/>
          <c:order val="1"/>
          <c:tx>
            <c:strRef>
              <c:f>'Curves (Ops. conditions)'!$M$8</c:f>
              <c:strCache>
                <c:ptCount val="1"/>
                <c:pt idx="0">
                  <c:v>1672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'Curves (Ops. conditions)'!$O$8:$O$17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(Ops. conditions)'!$N$8:$N$17</c:f>
              <c:numCache>
                <c:formatCode>0</c:formatCode>
                <c:ptCount val="10"/>
                <c:pt idx="0">
                  <c:v>714.19385389401737</c:v>
                </c:pt>
                <c:pt idx="1">
                  <c:v>734.36172744888722</c:v>
                </c:pt>
                <c:pt idx="2">
                  <c:v>639.64653738523714</c:v>
                </c:pt>
                <c:pt idx="3">
                  <c:v>508.255711960258</c:v>
                </c:pt>
                <c:pt idx="4">
                  <c:v>360.33184869094299</c:v>
                </c:pt>
                <c:pt idx="5">
                  <c:v>230.2411958350778</c:v>
                </c:pt>
                <c:pt idx="6">
                  <c:v>154.69124433984632</c:v>
                </c:pt>
                <c:pt idx="7">
                  <c:v>154.69124433984632</c:v>
                </c:pt>
                <c:pt idx="8">
                  <c:v>154.69124433984632</c:v>
                </c:pt>
                <c:pt idx="9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BA8-42AA-8A8E-EBB0B608F546}"/>
            </c:ext>
          </c:extLst>
        </c:ser>
        <c:ser>
          <c:idx val="2"/>
          <c:order val="2"/>
          <c:tx>
            <c:strRef>
              <c:f>'Curves (Ops. conditions)'!$M$28</c:f>
              <c:strCache>
                <c:ptCount val="1"/>
                <c:pt idx="0">
                  <c:v>1000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'Curves (Ops. conditions)'!$O$28:$O$37</c:f>
              <c:numCache>
                <c:formatCode>0</c:formatCode>
                <c:ptCount val="10"/>
                <c:pt idx="0">
                  <c:v>2854.7686276578984</c:v>
                </c:pt>
                <c:pt idx="1">
                  <c:v>4921.1522339062476</c:v>
                </c:pt>
                <c:pt idx="2">
                  <c:v>7078.3849760108551</c:v>
                </c:pt>
                <c:pt idx="3">
                  <c:v>8477.0873593378892</c:v>
                </c:pt>
                <c:pt idx="4">
                  <c:v>9530.420085822816</c:v>
                </c:pt>
                <c:pt idx="5">
                  <c:v>10244.044482291729</c:v>
                </c:pt>
                <c:pt idx="6">
                  <c:v>10628.836210841742</c:v>
                </c:pt>
                <c:pt idx="7">
                  <c:v>10628.836210841742</c:v>
                </c:pt>
                <c:pt idx="8">
                  <c:v>10628.836210841742</c:v>
                </c:pt>
                <c:pt idx="9">
                  <c:v>10628.836210841742</c:v>
                </c:pt>
              </c:numCache>
            </c:numRef>
          </c:xVal>
          <c:yVal>
            <c:numRef>
              <c:f>'Curves (Ops. conditions)'!$N$28:$N$37</c:f>
              <c:numCache>
                <c:formatCode>0</c:formatCode>
                <c:ptCount val="10"/>
                <c:pt idx="0">
                  <c:v>255.35683239152607</c:v>
                </c:pt>
                <c:pt idx="1">
                  <c:v>262.56776578022004</c:v>
                </c:pt>
                <c:pt idx="2">
                  <c:v>228.70277130827918</c:v>
                </c:pt>
                <c:pt idx="3">
                  <c:v>181.72456671733136</c:v>
                </c:pt>
                <c:pt idx="4">
                  <c:v>128.83504806127348</c:v>
                </c:pt>
                <c:pt idx="5">
                  <c:v>82.321714383175248</c:v>
                </c:pt>
                <c:pt idx="6">
                  <c:v>55.309165624923672</c:v>
                </c:pt>
                <c:pt idx="7">
                  <c:v>55.309165624923672</c:v>
                </c:pt>
                <c:pt idx="8">
                  <c:v>55.309165624923672</c:v>
                </c:pt>
                <c:pt idx="9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BA8-42AA-8A8E-EBB0B608F546}"/>
            </c:ext>
          </c:extLst>
        </c:ser>
        <c:ser>
          <c:idx val="3"/>
          <c:order val="3"/>
          <c:tx>
            <c:strRef>
              <c:f>'Curves (Ops. conditions)'!$R$18</c:f>
              <c:strCache>
                <c:ptCount val="1"/>
                <c:pt idx="0">
                  <c:v>65%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conditions)'!$O$18,'Curves (Ops. conditions)'!$O$8,'Curves (Ops. conditions)'!$O$28)</c:f>
              <c:numCache>
                <c:formatCode>0</c:formatCode>
                <c:ptCount val="3"/>
                <c:pt idx="0">
                  <c:v>11419.074510631594</c:v>
                </c:pt>
                <c:pt idx="1">
                  <c:v>4774.2507882755517</c:v>
                </c:pt>
                <c:pt idx="2">
                  <c:v>2854.7686276578984</c:v>
                </c:pt>
              </c:numCache>
            </c:numRef>
          </c:xVal>
          <c:yVal>
            <c:numRef>
              <c:f>('Curves (Ops. conditions)'!$N$18,'Curves (Ops. conditions)'!$N$8,'Curves (Ops. conditions)'!$N$28)</c:f>
              <c:numCache>
                <c:formatCode>0</c:formatCode>
                <c:ptCount val="3"/>
                <c:pt idx="0">
                  <c:v>4085.7093182644171</c:v>
                </c:pt>
                <c:pt idx="1">
                  <c:v>714.19385389401737</c:v>
                </c:pt>
                <c:pt idx="2">
                  <c:v>255.35683239152607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BA8-42AA-8A8E-EBB0B608F546}"/>
            </c:ext>
          </c:extLst>
        </c:ser>
        <c:ser>
          <c:idx val="9"/>
          <c:order val="4"/>
          <c:tx>
            <c:strRef>
              <c:f>'Curves (Ops. conditions)'!$R$19</c:f>
              <c:strCache>
                <c:ptCount val="1"/>
                <c:pt idx="0">
                  <c:v>87%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conditions)'!$O$19,'Curves (Ops. conditions)'!$O$9,'Curves (Ops. conditions)'!$O$29)</c:f>
              <c:numCache>
                <c:formatCode>0</c:formatCode>
                <c:ptCount val="3"/>
                <c:pt idx="0">
                  <c:v>19684.60893562499</c:v>
                </c:pt>
                <c:pt idx="1">
                  <c:v>8230.0242143358737</c:v>
                </c:pt>
                <c:pt idx="2">
                  <c:v>4921.1522339062476</c:v>
                </c:pt>
              </c:numCache>
            </c:numRef>
          </c:xVal>
          <c:yVal>
            <c:numRef>
              <c:f>('Curves (Ops. conditions)'!$N$19,'Curves (Ops. conditions)'!$N$9,'Curves (Ops. conditions)'!$N$29)</c:f>
              <c:numCache>
                <c:formatCode>0</c:formatCode>
                <c:ptCount val="3"/>
                <c:pt idx="0">
                  <c:v>4201.0842524835207</c:v>
                </c:pt>
                <c:pt idx="1">
                  <c:v>734.36172744888722</c:v>
                </c:pt>
                <c:pt idx="2">
                  <c:v>262.56776578022004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1BA8-42AA-8A8E-EBB0B608F546}"/>
            </c:ext>
          </c:extLst>
        </c:ser>
        <c:ser>
          <c:idx val="17"/>
          <c:order val="5"/>
          <c:tx>
            <c:strRef>
              <c:f>'Curves (Ops. conditions)'!$R$20</c:f>
              <c:strCache>
                <c:ptCount val="1"/>
                <c:pt idx="0">
                  <c:v>85%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conditions)'!$O$20,'Curves (Ops. conditions)'!$O$10,'Curves (Ops. conditions)'!$O$30)</c:f>
              <c:numCache>
                <c:formatCode>0</c:formatCode>
                <c:ptCount val="3"/>
                <c:pt idx="0">
                  <c:v>28313.53990404342</c:v>
                </c:pt>
                <c:pt idx="1">
                  <c:v>11837.731690067933</c:v>
                </c:pt>
                <c:pt idx="2">
                  <c:v>7078.3849760108551</c:v>
                </c:pt>
              </c:numCache>
            </c:numRef>
          </c:xVal>
          <c:yVal>
            <c:numRef>
              <c:f>('Curves (Ops. conditions)'!$N$20,'Curves (Ops. conditions)'!$N$10,'Curves (Ops. conditions)'!$N$30)</c:f>
              <c:numCache>
                <c:formatCode>0</c:formatCode>
                <c:ptCount val="3"/>
                <c:pt idx="0">
                  <c:v>3659.2443409324669</c:v>
                </c:pt>
                <c:pt idx="1">
                  <c:v>639.64653738523714</c:v>
                </c:pt>
                <c:pt idx="2">
                  <c:v>228.70277130827918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1BA8-42AA-8A8E-EBB0B608F546}"/>
            </c:ext>
          </c:extLst>
        </c:ser>
        <c:ser>
          <c:idx val="18"/>
          <c:order val="6"/>
          <c:tx>
            <c:strRef>
              <c:f>'Curves (Ops. conditions)'!$R$21</c:f>
              <c:strCache>
                <c:ptCount val="1"/>
                <c:pt idx="0">
                  <c:v>72%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conditions)'!$O$21,'Curves (Ops. conditions)'!$O$11,'Curves (Ops. conditions)'!$O$31)</c:f>
              <c:numCache>
                <c:formatCode>0</c:formatCode>
                <c:ptCount val="3"/>
                <c:pt idx="0">
                  <c:v>33908.349437351557</c:v>
                </c:pt>
                <c:pt idx="1">
                  <c:v>14176.890069302517</c:v>
                </c:pt>
                <c:pt idx="2">
                  <c:v>8477.0873593378892</c:v>
                </c:pt>
              </c:numCache>
            </c:numRef>
          </c:xVal>
          <c:yVal>
            <c:numRef>
              <c:f>('Curves (Ops. conditions)'!$N$21,'Curves (Ops. conditions)'!$N$11,'Curves (Ops. conditions)'!$N$31)</c:f>
              <c:numCache>
                <c:formatCode>0</c:formatCode>
                <c:ptCount val="3"/>
                <c:pt idx="0">
                  <c:v>2907.5930674773017</c:v>
                </c:pt>
                <c:pt idx="1">
                  <c:v>508.255711960258</c:v>
                </c:pt>
                <c:pt idx="2">
                  <c:v>181.72456671733136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1BA8-42AA-8A8E-EBB0B608F546}"/>
            </c:ext>
          </c:extLst>
        </c:ser>
        <c:ser>
          <c:idx val="21"/>
          <c:order val="7"/>
          <c:tx>
            <c:strRef>
              <c:f>'Curves (Ops. conditions)'!$R$22</c:f>
              <c:strCache>
                <c:ptCount val="1"/>
                <c:pt idx="0">
                  <c:v>58%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conditions)'!$O$22,'Curves (Ops. conditions)'!$O$12,'Curves (Ops. conditions)'!$O$32)</c:f>
              <c:numCache>
                <c:formatCode>0</c:formatCode>
                <c:ptCount val="3"/>
                <c:pt idx="0">
                  <c:v>38121.680343291264</c:v>
                </c:pt>
                <c:pt idx="1">
                  <c:v>15938.460009162362</c:v>
                </c:pt>
                <c:pt idx="2">
                  <c:v>9530.420085822816</c:v>
                </c:pt>
              </c:numCache>
            </c:numRef>
          </c:xVal>
          <c:yVal>
            <c:numRef>
              <c:f>('Curves (Ops. conditions)'!$N$22,'Curves (Ops. conditions)'!$N$12,'Curves (Ops. conditions)'!$N$32)</c:f>
              <c:numCache>
                <c:formatCode>0</c:formatCode>
                <c:ptCount val="3"/>
                <c:pt idx="0">
                  <c:v>2061.3607689803757</c:v>
                </c:pt>
                <c:pt idx="1">
                  <c:v>360.33184869094299</c:v>
                </c:pt>
                <c:pt idx="2">
                  <c:v>128.83504806127348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1BA8-42AA-8A8E-EBB0B608F546}"/>
            </c:ext>
          </c:extLst>
        </c:ser>
        <c:ser>
          <c:idx val="23"/>
          <c:order val="8"/>
          <c:tx>
            <c:strRef>
              <c:f>'Curves (Ops. conditions)'!$R$23</c:f>
              <c:strCache>
                <c:ptCount val="1"/>
                <c:pt idx="0">
                  <c:v>42%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conditions)'!$O$23,'Curves (Ops. conditions)'!$O$13,'Curves (Ops. conditions)'!$O$33)</c:f>
              <c:numCache>
                <c:formatCode>0</c:formatCode>
                <c:ptCount val="3"/>
                <c:pt idx="0">
                  <c:v>40976.177929166915</c:v>
                </c:pt>
                <c:pt idx="1">
                  <c:v>17131.909385187471</c:v>
                </c:pt>
                <c:pt idx="2">
                  <c:v>10244.044482291729</c:v>
                </c:pt>
              </c:numCache>
            </c:numRef>
          </c:xVal>
          <c:yVal>
            <c:numRef>
              <c:f>('Curves (Ops. conditions)'!$N$23,'Curves (Ops. conditions)'!$N$13,'Curves (Ops. conditions)'!$N$33)</c:f>
              <c:numCache>
                <c:formatCode>0</c:formatCode>
                <c:ptCount val="3"/>
                <c:pt idx="0">
                  <c:v>1317.147430130804</c:v>
                </c:pt>
                <c:pt idx="1">
                  <c:v>230.2411958350778</c:v>
                </c:pt>
                <c:pt idx="2">
                  <c:v>82.321714383175248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1BA8-42AA-8A8E-EBB0B608F546}"/>
            </c:ext>
          </c:extLst>
        </c:ser>
        <c:ser>
          <c:idx val="10"/>
          <c:order val="9"/>
          <c:tx>
            <c:strRef>
              <c:f>'Curves (Ops. conditions)'!$R$24</c:f>
              <c:strCache>
                <c:ptCount val="1"/>
                <c:pt idx="0">
                  <c:v>29%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conditions)'!$O$24,'Curves (Ops. conditions)'!$O$14,'Curves (Ops. conditions)'!$O$34)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(Ops. conditions)'!$N$24,'Curves (Ops. conditions)'!$N$14,'Curves (Ops. conditions)'!$N$34)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1BA8-42AA-8A8E-EBB0B608F546}"/>
            </c:ext>
          </c:extLst>
        </c:ser>
        <c:ser>
          <c:idx val="6"/>
          <c:order val="10"/>
          <c:tx>
            <c:strRef>
              <c:f>'Curves (Ops. conditions)'!$R$25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conditions)'!$O$25,'Curves (Ops. conditions)'!$O$15,'Curves (Ops. conditions)'!$O$35)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(Ops. conditions)'!$N$25,'Curves (Ops. conditions)'!$N$15,'Curves (Ops. conditions)'!$N$35)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1BA8-42AA-8A8E-EBB0B608F546}"/>
            </c:ext>
          </c:extLst>
        </c:ser>
        <c:ser>
          <c:idx val="7"/>
          <c:order val="11"/>
          <c:tx>
            <c:strRef>
              <c:f>'Curves (Ops. conditions)'!$R$26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conditions)'!$O$26,'Curves (Ops. conditions)'!$O$16,'Curves (Ops. conditions)'!$O$36)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(Ops. conditions)'!$N$26,'Curves (Ops. conditions)'!$N$16,'Curves (Ops. conditions)'!$N$36)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1BA8-42AA-8A8E-EBB0B608F546}"/>
            </c:ext>
          </c:extLst>
        </c:ser>
        <c:ser>
          <c:idx val="12"/>
          <c:order val="12"/>
          <c:tx>
            <c:strRef>
              <c:f>'Curves (Ops. conditions)'!$R$27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conditions)'!$O$27,'Curves (Ops. conditions)'!$O$17,'Curves (Ops. conditions)'!$O$37)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(Ops. conditions)'!$N$27,'Curves (Ops. conditions)'!$N$17,'Curves (Ops. conditions)'!$N$37)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1BA8-42AA-8A8E-EBB0B608F546}"/>
            </c:ext>
          </c:extLst>
        </c:ser>
        <c:ser>
          <c:idx val="27"/>
          <c:order val="13"/>
          <c:tx>
            <c:strRef>
              <c:f>'Curves (Ops. conditions)'!$P$8</c:f>
              <c:strCache>
                <c:ptCount val="1"/>
                <c:pt idx="0">
                  <c:v>14.3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9765625000001726E-2"/>
                  <c:y val="-2.544875677522560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1BA8-42AA-8A8E-EBB0B608F546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conditions)'!$O$8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'Curves (Ops. conditions)'!$N$8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1BA8-42AA-8A8E-EBB0B608F546}"/>
            </c:ext>
          </c:extLst>
        </c:ser>
        <c:ser>
          <c:idx val="26"/>
          <c:order val="14"/>
          <c:tx>
            <c:strRef>
              <c:f>'Curves (Ops. conditions)'!$P$9</c:f>
              <c:strCache>
                <c:ptCount val="1"/>
                <c:pt idx="0">
                  <c:v>19.0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1BA8-42AA-8A8E-EBB0B608F546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conditions)'!$O$9</c:f>
              <c:numCache>
                <c:formatCode>0</c:formatCode>
                <c:ptCount val="1"/>
                <c:pt idx="0">
                  <c:v>8230.0242143358737</c:v>
                </c:pt>
              </c:numCache>
            </c:numRef>
          </c:xVal>
          <c:yVal>
            <c:numRef>
              <c:f>'Curves (Ops. conditions)'!$N$9</c:f>
              <c:numCache>
                <c:formatCode>0</c:formatCode>
                <c:ptCount val="1"/>
                <c:pt idx="0">
                  <c:v>734.36172744888722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1BA8-42AA-8A8E-EBB0B608F546}"/>
            </c:ext>
          </c:extLst>
        </c:ser>
        <c:ser>
          <c:idx val="28"/>
          <c:order val="15"/>
          <c:tx>
            <c:strRef>
              <c:f>'Curves (Ops. conditions)'!$P$10</c:f>
              <c:strCache>
                <c:ptCount val="1"/>
                <c:pt idx="0">
                  <c:v>24.2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1BA8-42AA-8A8E-EBB0B608F546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conditions)'!$O$10</c:f>
              <c:numCache>
                <c:formatCode>0</c:formatCode>
                <c:ptCount val="1"/>
                <c:pt idx="0">
                  <c:v>11837.731690067933</c:v>
                </c:pt>
              </c:numCache>
            </c:numRef>
          </c:xVal>
          <c:yVal>
            <c:numRef>
              <c:f>'Curves (Ops. conditions)'!$N$10</c:f>
              <c:numCache>
                <c:formatCode>0</c:formatCode>
                <c:ptCount val="1"/>
                <c:pt idx="0">
                  <c:v>639.64653738523714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1BA8-42AA-8A8E-EBB0B608F546}"/>
            </c:ext>
          </c:extLst>
        </c:ser>
        <c:ser>
          <c:idx val="29"/>
          <c:order val="16"/>
          <c:tx>
            <c:strRef>
              <c:f>'Curves (Ops. conditions)'!$P$11</c:f>
              <c:strCache>
                <c:ptCount val="1"/>
                <c:pt idx="0">
                  <c:v>27.3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1BA8-42AA-8A8E-EBB0B608F546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conditions)'!$O$11</c:f>
              <c:numCache>
                <c:formatCode>0</c:formatCode>
                <c:ptCount val="1"/>
                <c:pt idx="0">
                  <c:v>14176.890069302517</c:v>
                </c:pt>
              </c:numCache>
            </c:numRef>
          </c:xVal>
          <c:yVal>
            <c:numRef>
              <c:f>'Curves (Ops. conditions)'!$N$11</c:f>
              <c:numCache>
                <c:formatCode>0</c:formatCode>
                <c:ptCount val="1"/>
                <c:pt idx="0">
                  <c:v>508.255711960258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1BA8-42AA-8A8E-EBB0B608F546}"/>
            </c:ext>
          </c:extLst>
        </c:ser>
        <c:ser>
          <c:idx val="32"/>
          <c:order val="17"/>
          <c:tx>
            <c:strRef>
              <c:f>'Curves (Ops. conditions)'!$P$12</c:f>
              <c:strCache>
                <c:ptCount val="1"/>
                <c:pt idx="0">
                  <c:v>27.1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1BA8-42AA-8A8E-EBB0B608F546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conditions)'!$O$12</c:f>
              <c:numCache>
                <c:formatCode>0</c:formatCode>
                <c:ptCount val="1"/>
                <c:pt idx="0">
                  <c:v>15938.460009162362</c:v>
                </c:pt>
              </c:numCache>
            </c:numRef>
          </c:xVal>
          <c:yVal>
            <c:numRef>
              <c:f>'Curves (Ops. conditions)'!$N$12</c:f>
              <c:numCache>
                <c:formatCode>0</c:formatCode>
                <c:ptCount val="1"/>
                <c:pt idx="0">
                  <c:v>360.33184869094299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1BA8-42AA-8A8E-EBB0B608F546}"/>
            </c:ext>
          </c:extLst>
        </c:ser>
        <c:ser>
          <c:idx val="25"/>
          <c:order val="18"/>
          <c:tx>
            <c:strRef>
              <c:f>'Curves (Ops. conditions)'!$P$13</c:f>
              <c:strCache>
                <c:ptCount val="1"/>
                <c:pt idx="0">
                  <c:v>25.9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conditions)'!$O$13</c:f>
              <c:numCache>
                <c:formatCode>0</c:formatCode>
                <c:ptCount val="1"/>
                <c:pt idx="0">
                  <c:v>17131.909385187471</c:v>
                </c:pt>
              </c:numCache>
            </c:numRef>
          </c:xVal>
          <c:yVal>
            <c:numRef>
              <c:f>'Curves (Ops. conditions)'!$N$13</c:f>
              <c:numCache>
                <c:formatCode>0</c:formatCode>
                <c:ptCount val="1"/>
                <c:pt idx="0">
                  <c:v>230.2411958350778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1BA8-42AA-8A8E-EBB0B608F546}"/>
            </c:ext>
          </c:extLst>
        </c:ser>
        <c:ser>
          <c:idx val="24"/>
          <c:order val="19"/>
          <c:tx>
            <c:strRef>
              <c:f>'Curves (Ops. conditions)'!$P$14</c:f>
              <c:strCache>
                <c:ptCount val="1"/>
                <c:pt idx="0">
                  <c:v>25.8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conditions)'!$O$14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(Ops. conditions)'!$N$14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8-1BA8-42AA-8A8E-EBB0B608F546}"/>
            </c:ext>
          </c:extLst>
        </c:ser>
        <c:ser>
          <c:idx val="22"/>
          <c:order val="20"/>
          <c:tx>
            <c:strRef>
              <c:f>'Curves (Ops. conditions)'!$P$15</c:f>
              <c:strCache>
                <c:ptCount val="1"/>
                <c:pt idx="0">
                  <c:v>25.3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conditions)'!$O$15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(Ops. conditions)'!$N$15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9-1BA8-42AA-8A8E-EBB0B608F546}"/>
            </c:ext>
          </c:extLst>
        </c:ser>
        <c:ser>
          <c:idx val="20"/>
          <c:order val="21"/>
          <c:tx>
            <c:strRef>
              <c:f>'Curves (Ops. conditions)'!$P$16</c:f>
              <c:strCache>
                <c:ptCount val="1"/>
                <c:pt idx="0">
                  <c:v>25.3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conditions)'!$O$16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(Ops. conditions)'!$N$16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A-1BA8-42AA-8A8E-EBB0B608F546}"/>
            </c:ext>
          </c:extLst>
        </c:ser>
        <c:ser>
          <c:idx val="19"/>
          <c:order val="22"/>
          <c:tx>
            <c:strRef>
              <c:f>'Curves (Ops. conditions)'!$P$17</c:f>
              <c:strCache>
                <c:ptCount val="1"/>
                <c:pt idx="0">
                  <c:v>25.3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conditions)'!$O$17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(Ops. conditions)'!$N$17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B-1BA8-42AA-8A8E-EBB0B608F546}"/>
            </c:ext>
          </c:extLst>
        </c:ser>
        <c:ser>
          <c:idx val="38"/>
          <c:order val="23"/>
          <c:tx>
            <c:strRef>
              <c:f>'Curves (Ops. conditions)'!$R$18</c:f>
              <c:strCache>
                <c:ptCount val="1"/>
                <c:pt idx="0">
                  <c:v>65%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conditions)'!$O$18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'Curves (Ops. conditions)'!$N$18</c:f>
              <c:numCache>
                <c:formatCode>0</c:formatCode>
                <c:ptCount val="1"/>
                <c:pt idx="0">
                  <c:v>4085.7093182644171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C-1BA8-42AA-8A8E-EBB0B608F546}"/>
            </c:ext>
          </c:extLst>
        </c:ser>
        <c:ser>
          <c:idx val="37"/>
          <c:order val="24"/>
          <c:tx>
            <c:strRef>
              <c:f>'Curves (Ops. conditions)'!$R$19</c:f>
              <c:strCache>
                <c:ptCount val="1"/>
                <c:pt idx="0">
                  <c:v>87%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conditions)'!$O$19</c:f>
              <c:numCache>
                <c:formatCode>0</c:formatCode>
                <c:ptCount val="1"/>
                <c:pt idx="0">
                  <c:v>19684.60893562499</c:v>
                </c:pt>
              </c:numCache>
            </c:numRef>
          </c:xVal>
          <c:yVal>
            <c:numRef>
              <c:f>'Curves (Ops. conditions)'!$N$19</c:f>
              <c:numCache>
                <c:formatCode>0</c:formatCode>
                <c:ptCount val="1"/>
                <c:pt idx="0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D-1BA8-42AA-8A8E-EBB0B608F546}"/>
            </c:ext>
          </c:extLst>
        </c:ser>
        <c:ser>
          <c:idx val="34"/>
          <c:order val="25"/>
          <c:tx>
            <c:strRef>
              <c:f>'Curves (Ops. conditions)'!$R$20</c:f>
              <c:strCache>
                <c:ptCount val="1"/>
                <c:pt idx="0">
                  <c:v>85%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E-1BA8-42AA-8A8E-EBB0B608F546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conditions)'!$O$20</c:f>
              <c:numCache>
                <c:formatCode>0</c:formatCode>
                <c:ptCount val="1"/>
                <c:pt idx="0">
                  <c:v>28313.53990404342</c:v>
                </c:pt>
              </c:numCache>
            </c:numRef>
          </c:xVal>
          <c:yVal>
            <c:numRef>
              <c:f>'Curves (Ops. conditions)'!$N$20</c:f>
              <c:numCache>
                <c:formatCode>0</c:formatCode>
                <c:ptCount val="1"/>
                <c:pt idx="0">
                  <c:v>3659.2443409324669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F-1BA8-42AA-8A8E-EBB0B608F546}"/>
            </c:ext>
          </c:extLst>
        </c:ser>
        <c:ser>
          <c:idx val="36"/>
          <c:order val="26"/>
          <c:tx>
            <c:strRef>
              <c:f>'Curves (Ops. conditions)'!$R$21</c:f>
              <c:strCache>
                <c:ptCount val="1"/>
                <c:pt idx="0">
                  <c:v>72%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conditions)'!$O$21</c:f>
              <c:numCache>
                <c:formatCode>0</c:formatCode>
                <c:ptCount val="1"/>
                <c:pt idx="0">
                  <c:v>33908.349437351557</c:v>
                </c:pt>
              </c:numCache>
            </c:numRef>
          </c:xVal>
          <c:yVal>
            <c:numRef>
              <c:f>'Curves (Ops. conditions)'!$N$21</c:f>
              <c:numCache>
                <c:formatCode>0</c:formatCode>
                <c:ptCount val="1"/>
                <c:pt idx="0">
                  <c:v>2907.5930674773017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1BA8-42AA-8A8E-EBB0B608F546}"/>
            </c:ext>
          </c:extLst>
        </c:ser>
        <c:ser>
          <c:idx val="39"/>
          <c:order val="27"/>
          <c:tx>
            <c:strRef>
              <c:f>'Curves (Ops. conditions)'!$R$22</c:f>
              <c:strCache>
                <c:ptCount val="1"/>
                <c:pt idx="0">
                  <c:v>58%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conditions)'!$O$22</c:f>
              <c:numCache>
                <c:formatCode>0</c:formatCode>
                <c:ptCount val="1"/>
                <c:pt idx="0">
                  <c:v>38121.680343291264</c:v>
                </c:pt>
              </c:numCache>
            </c:numRef>
          </c:xVal>
          <c:yVal>
            <c:numRef>
              <c:f>'Curves (Ops. conditions)'!$N$22</c:f>
              <c:numCache>
                <c:formatCode>0</c:formatCode>
                <c:ptCount val="1"/>
                <c:pt idx="0">
                  <c:v>2061.3607689803757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1-1BA8-42AA-8A8E-EBB0B608F546}"/>
            </c:ext>
          </c:extLst>
        </c:ser>
        <c:ser>
          <c:idx val="40"/>
          <c:order val="28"/>
          <c:tx>
            <c:strRef>
              <c:f>'Curves (Ops. conditions)'!$R$23</c:f>
              <c:strCache>
                <c:ptCount val="1"/>
                <c:pt idx="0">
                  <c:v>42%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conditions)'!$O$23</c:f>
              <c:numCache>
                <c:formatCode>0</c:formatCode>
                <c:ptCount val="1"/>
                <c:pt idx="0">
                  <c:v>40976.177929166915</c:v>
                </c:pt>
              </c:numCache>
            </c:numRef>
          </c:xVal>
          <c:yVal>
            <c:numRef>
              <c:f>'Curves (Ops. conditions)'!$N$23</c:f>
              <c:numCache>
                <c:formatCode>0</c:formatCode>
                <c:ptCount val="1"/>
                <c:pt idx="0">
                  <c:v>1317.147430130804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2-1BA8-42AA-8A8E-EBB0B608F546}"/>
            </c:ext>
          </c:extLst>
        </c:ser>
        <c:ser>
          <c:idx val="35"/>
          <c:order val="29"/>
          <c:tx>
            <c:strRef>
              <c:f>'Curves (Ops. conditions)'!$R$24</c:f>
              <c:strCache>
                <c:ptCount val="1"/>
                <c:pt idx="0">
                  <c:v>29%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conditions)'!$O$24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(Ops. conditions)'!$N$24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3-1BA8-42AA-8A8E-EBB0B608F546}"/>
            </c:ext>
          </c:extLst>
        </c:ser>
        <c:ser>
          <c:idx val="33"/>
          <c:order val="30"/>
          <c:tx>
            <c:strRef>
              <c:f>'Curves (Ops. conditions)'!$R$25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conditions)'!$O$25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(Ops. conditions)'!$N$25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4-1BA8-42AA-8A8E-EBB0B608F546}"/>
            </c:ext>
          </c:extLst>
        </c:ser>
        <c:ser>
          <c:idx val="31"/>
          <c:order val="31"/>
          <c:tx>
            <c:strRef>
              <c:f>'Curves (Ops. conditions)'!$R$26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5-1BA8-42AA-8A8E-EBB0B608F546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conditions)'!$O$26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(Ops. conditions)'!$N$26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6-1BA8-42AA-8A8E-EBB0B608F546}"/>
            </c:ext>
          </c:extLst>
        </c:ser>
        <c:ser>
          <c:idx val="30"/>
          <c:order val="32"/>
          <c:tx>
            <c:strRef>
              <c:f>'Curves (Ops. conditions)'!$R$27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conditions)'!$O$27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(Ops. conditions)'!$N$27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7-1BA8-42AA-8A8E-EBB0B608F546}"/>
            </c:ext>
          </c:extLst>
        </c:ser>
        <c:ser>
          <c:idx val="4"/>
          <c:order val="33"/>
          <c:tx>
            <c:strRef>
              <c:f>'Curves (Ops. conditions)'!$B$56:$D$56</c:f>
              <c:strCache>
                <c:ptCount val="1"/>
                <c:pt idx="0">
                  <c:v>Density 1.205 kg/m3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conditions)'!$F$55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(Ops. conditions)'!$G$55</c:f>
              <c:numCache>
                <c:formatCode>0</c:formatCode>
                <c:ptCount val="1"/>
                <c:pt idx="0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8-1BA8-42AA-8A8E-EBB0B608F546}"/>
            </c:ext>
          </c:extLst>
        </c:ser>
        <c:ser>
          <c:idx val="8"/>
          <c:order val="34"/>
          <c:tx>
            <c:strRef>
              <c:f>'Curves (Ops. conditions)'!$M$18</c:f>
              <c:strCache>
                <c:ptCount val="1"/>
                <c:pt idx="0">
                  <c:v>4000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conditions)'!$O$18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'Curves (Ops. conditions)'!$N$18</c:f>
              <c:numCache>
                <c:formatCode>0</c:formatCode>
                <c:ptCount val="1"/>
                <c:pt idx="0">
                  <c:v>4085.7093182644171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9-1BA8-42AA-8A8E-EBB0B608F546}"/>
            </c:ext>
          </c:extLst>
        </c:ser>
        <c:ser>
          <c:idx val="5"/>
          <c:order val="35"/>
          <c:tx>
            <c:strRef>
              <c:f>'Curves (Ops. conditions)'!$M$8</c:f>
              <c:strCache>
                <c:ptCount val="1"/>
                <c:pt idx="0">
                  <c:v>1672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conditions)'!$O$8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'Curves (Ops. conditions)'!$N$8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A-1BA8-42AA-8A8E-EBB0B608F546}"/>
            </c:ext>
          </c:extLst>
        </c:ser>
        <c:ser>
          <c:idx val="11"/>
          <c:order val="36"/>
          <c:tx>
            <c:strRef>
              <c:f>'Curves (Ops. conditions)'!$M$28</c:f>
              <c:strCache>
                <c:ptCount val="1"/>
                <c:pt idx="0">
                  <c:v>1000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conditions)'!$O$28</c:f>
              <c:numCache>
                <c:formatCode>0</c:formatCode>
                <c:ptCount val="1"/>
                <c:pt idx="0">
                  <c:v>2854.7686276578984</c:v>
                </c:pt>
              </c:numCache>
            </c:numRef>
          </c:xVal>
          <c:yVal>
            <c:numRef>
              <c:f>'Curves (Ops. conditions)'!$N$28</c:f>
              <c:numCache>
                <c:formatCode>0</c:formatCode>
                <c:ptCount val="1"/>
                <c:pt idx="0">
                  <c:v>255.35683239152607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B-1BA8-42AA-8A8E-EBB0B608F546}"/>
            </c:ext>
          </c:extLst>
        </c:ser>
        <c:ser>
          <c:idx val="13"/>
          <c:order val="37"/>
          <c:tx>
            <c:strRef>
              <c:f>'Curves (Ops. conditions)'!$A$49</c:f>
              <c:strCache>
                <c:ptCount val="1"/>
                <c:pt idx="0">
                  <c:v>Op. point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'Curves (Ops. conditions)'!$C$54</c:f>
              <c:numCache>
                <c:formatCode>0</c:formatCode>
                <c:ptCount val="1"/>
                <c:pt idx="0">
                  <c:v>10000</c:v>
                </c:pt>
              </c:numCache>
            </c:numRef>
          </c:xVal>
          <c:yVal>
            <c:numRef>
              <c:f>'Curves (Ops. conditions)'!$E$52</c:f>
              <c:numCache>
                <c:formatCode>0</c:formatCode>
                <c:ptCount val="1"/>
                <c:pt idx="0">
                  <c:v>713.77587437544605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C-1BA8-42AA-8A8E-EBB0B608F546}"/>
            </c:ext>
          </c:extLst>
        </c:ser>
        <c:ser>
          <c:idx val="15"/>
          <c:order val="39"/>
          <c:tx>
            <c:strRef>
              <c:f>'Curves (Ops. conditions)'!$T$7</c:f>
              <c:strCache>
                <c:ptCount val="1"/>
                <c:pt idx="0">
                  <c:v>Dyn Press, mmH2o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D-1BA8-42AA-8A8E-EBB0B608F546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conditions)'!$O$8:$O$17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(Ops. conditions)'!$T$8:$T$17</c:f>
              <c:numCache>
                <c:formatCode>0</c:formatCode>
                <c:ptCount val="10"/>
                <c:pt idx="0">
                  <c:v>4.271658382199611</c:v>
                </c:pt>
                <c:pt idx="1">
                  <c:v>12.693701533964179</c:v>
                </c:pt>
                <c:pt idx="2">
                  <c:v>26.261712400271765</c:v>
                </c:pt>
                <c:pt idx="3">
                  <c:v>37.665869735483099</c:v>
                </c:pt>
                <c:pt idx="4">
                  <c:v>47.607872128177043</c:v>
                </c:pt>
                <c:pt idx="5">
                  <c:v>55.004420542951479</c:v>
                </c:pt>
                <c:pt idx="6">
                  <c:v>59.214233507890143</c:v>
                </c:pt>
                <c:pt idx="7">
                  <c:v>59.214233507890143</c:v>
                </c:pt>
                <c:pt idx="8">
                  <c:v>59.214233507890143</c:v>
                </c:pt>
                <c:pt idx="9">
                  <c:v>59.214233507890143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E-1BA8-42AA-8A8E-EBB0B608F546}"/>
            </c:ext>
          </c:extLst>
        </c:ser>
        <c:ser>
          <c:idx val="16"/>
          <c:order val="40"/>
          <c:tx>
            <c:v>OP Line</c:v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conditions)'!$C$54,'Curves (Ops. conditions)'!$C$54)</c:f>
              <c:numCache>
                <c:formatCode>0</c:formatCode>
                <c:ptCount val="2"/>
                <c:pt idx="0">
                  <c:v>10000</c:v>
                </c:pt>
                <c:pt idx="1">
                  <c:v>10000</c:v>
                </c:pt>
              </c:numCache>
            </c:numRef>
          </c:xVal>
          <c:yVal>
            <c:numRef>
              <c:f>('Curves (Ops. conditions)'!$H$55,'Curves (Ops. conditions)'!$G$55)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F-1BA8-42AA-8A8E-EBB0B608F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678208"/>
        <c:axId val="228150232"/>
      </c:scatterChart>
      <c:scatterChart>
        <c:scatterStyle val="smoothMarker"/>
        <c:varyColors val="0"/>
        <c:ser>
          <c:idx val="14"/>
          <c:order val="38"/>
          <c:tx>
            <c:strRef>
              <c:f>'Curves (Ops. conditions)'!$P$7</c:f>
              <c:strCache>
                <c:ptCount val="1"/>
                <c:pt idx="0">
                  <c:v>Shaft Power [kW]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1BA8-42AA-8A8E-EBB0B608F546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conditions)'!$O$8:$O$17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(Ops. conditions)'!$P$8:$P$17</c:f>
              <c:numCache>
                <c:formatCode>0.0</c:formatCode>
                <c:ptCount val="10"/>
                <c:pt idx="0">
                  <c:v>14.274563137553155</c:v>
                </c:pt>
                <c:pt idx="1">
                  <c:v>19.03275085007088</c:v>
                </c:pt>
                <c:pt idx="2">
                  <c:v>24.232285134372773</c:v>
                </c:pt>
                <c:pt idx="3">
                  <c:v>27.282769632308188</c:v>
                </c:pt>
                <c:pt idx="4">
                  <c:v>27.106751763712655</c:v>
                </c:pt>
                <c:pt idx="5">
                  <c:v>25.874626683543898</c:v>
                </c:pt>
                <c:pt idx="6">
                  <c:v>25.843614349630325</c:v>
                </c:pt>
                <c:pt idx="7">
                  <c:v>25.336876813363066</c:v>
                </c:pt>
                <c:pt idx="8">
                  <c:v>25.336876813363066</c:v>
                </c:pt>
                <c:pt idx="9">
                  <c:v>25.336876813363066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1-1BA8-42AA-8A8E-EBB0B608F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45944"/>
        <c:axId val="102752464"/>
      </c:scatterChart>
      <c:valAx>
        <c:axId val="48367820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Q &lt;m3/hr&gt;</a:t>
                </a:r>
              </a:p>
            </c:rich>
          </c:tx>
          <c:layout>
            <c:manualLayout>
              <c:xMode val="edge"/>
              <c:yMode val="edge"/>
              <c:x val="0.45312520505249348"/>
              <c:y val="0.935144713245742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8150232"/>
        <c:crosses val="autoZero"/>
        <c:crossBetween val="midCat"/>
      </c:valAx>
      <c:valAx>
        <c:axId val="2281502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 &lt;mmH20&gt;</a:t>
                </a:r>
              </a:p>
            </c:rich>
          </c:tx>
          <c:layout>
            <c:manualLayout>
              <c:xMode val="edge"/>
              <c:yMode val="edge"/>
              <c:x val="1.5625E-2"/>
              <c:y val="0.443439547432111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678208"/>
        <c:crosses val="autoZero"/>
        <c:crossBetween val="midCat"/>
      </c:valAx>
      <c:valAx>
        <c:axId val="102752464"/>
        <c:scaling>
          <c:orientation val="minMax"/>
        </c:scaling>
        <c:delete val="0"/>
        <c:axPos val="r"/>
        <c:title>
          <c:tx>
            <c:strRef>
              <c:f>'Curves (Ops. conditions)'!$P$7</c:f>
              <c:strCache>
                <c:ptCount val="1"/>
                <c:pt idx="0">
                  <c:v>Shaft Power [kW]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8245944"/>
        <c:crosses val="max"/>
        <c:crossBetween val="midCat"/>
      </c:valAx>
      <c:valAx>
        <c:axId val="22824594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752464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 alignWithMargins="0"/>
    <c:pageMargins b="1" l="0.75000000000001465" r="0.75000000000001465" t="1" header="0.5" footer="0.5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'Curves (Std. conditions)'!$B$48</c:f>
          <c:strCache>
            <c:ptCount val="1"/>
            <c:pt idx="0">
              <c:v>GT 106-44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9548144717204523E-2"/>
          <c:y val="0.13969159118268121"/>
          <c:w val="0.784902777873004"/>
          <c:h val="0.7450991367057533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'Curves (Std. conditions)'!$M$18</c:f>
              <c:strCache>
                <c:ptCount val="1"/>
                <c:pt idx="0">
                  <c:v>4000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'Curves (Std. conditions)'!$O$18:$O$27</c:f>
              <c:numCache>
                <c:formatCode>0</c:formatCode>
                <c:ptCount val="10"/>
                <c:pt idx="0">
                  <c:v>11419.074510631594</c:v>
                </c:pt>
                <c:pt idx="1">
                  <c:v>19684.60893562499</c:v>
                </c:pt>
                <c:pt idx="2">
                  <c:v>28313.53990404342</c:v>
                </c:pt>
                <c:pt idx="3">
                  <c:v>33908.349437351557</c:v>
                </c:pt>
                <c:pt idx="4">
                  <c:v>38121.680343291264</c:v>
                </c:pt>
                <c:pt idx="5">
                  <c:v>40976.177929166915</c:v>
                </c:pt>
                <c:pt idx="6">
                  <c:v>42515.344843366969</c:v>
                </c:pt>
                <c:pt idx="7">
                  <c:v>42515.344843366969</c:v>
                </c:pt>
                <c:pt idx="8">
                  <c:v>42515.344843366969</c:v>
                </c:pt>
                <c:pt idx="9">
                  <c:v>42515.344843366969</c:v>
                </c:pt>
              </c:numCache>
            </c:numRef>
          </c:xVal>
          <c:yVal>
            <c:numRef>
              <c:f>'Curves (Std. conditions)'!$N$18:$N$27</c:f>
              <c:numCache>
                <c:formatCode>0</c:formatCode>
                <c:ptCount val="10"/>
                <c:pt idx="0">
                  <c:v>4085.7093182644167</c:v>
                </c:pt>
                <c:pt idx="1">
                  <c:v>4201.0842524835207</c:v>
                </c:pt>
                <c:pt idx="2">
                  <c:v>3659.2443409324669</c:v>
                </c:pt>
                <c:pt idx="3">
                  <c:v>2907.5930674773017</c:v>
                </c:pt>
                <c:pt idx="4">
                  <c:v>2061.3607689803757</c:v>
                </c:pt>
                <c:pt idx="5">
                  <c:v>1317.147430130804</c:v>
                </c:pt>
                <c:pt idx="6">
                  <c:v>884.94664999877887</c:v>
                </c:pt>
                <c:pt idx="7">
                  <c:v>884.94664999877887</c:v>
                </c:pt>
                <c:pt idx="8">
                  <c:v>884.94664999877887</c:v>
                </c:pt>
                <c:pt idx="9">
                  <c:v>884.94664999877887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E79-4933-9419-99845FD7B0F1}"/>
            </c:ext>
          </c:extLst>
        </c:ser>
        <c:ser>
          <c:idx val="1"/>
          <c:order val="1"/>
          <c:tx>
            <c:strRef>
              <c:f>'Curves (Std. conditions)'!$M$8</c:f>
              <c:strCache>
                <c:ptCount val="1"/>
                <c:pt idx="0">
                  <c:v>1672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'Curves (Std. conditions)'!$O$8:$O$17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(Std. conditions)'!$N$8:$N$17</c:f>
              <c:numCache>
                <c:formatCode>0</c:formatCode>
                <c:ptCount val="10"/>
                <c:pt idx="0">
                  <c:v>714.19385389401737</c:v>
                </c:pt>
                <c:pt idx="1">
                  <c:v>734.36172744888722</c:v>
                </c:pt>
                <c:pt idx="2">
                  <c:v>639.64653738523714</c:v>
                </c:pt>
                <c:pt idx="3">
                  <c:v>508.25571196025805</c:v>
                </c:pt>
                <c:pt idx="4">
                  <c:v>360.33184869094299</c:v>
                </c:pt>
                <c:pt idx="5">
                  <c:v>230.2411958350778</c:v>
                </c:pt>
                <c:pt idx="6">
                  <c:v>154.69124433984632</c:v>
                </c:pt>
                <c:pt idx="7">
                  <c:v>154.69124433984632</c:v>
                </c:pt>
                <c:pt idx="8">
                  <c:v>154.69124433984632</c:v>
                </c:pt>
                <c:pt idx="9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E79-4933-9419-99845FD7B0F1}"/>
            </c:ext>
          </c:extLst>
        </c:ser>
        <c:ser>
          <c:idx val="2"/>
          <c:order val="2"/>
          <c:tx>
            <c:strRef>
              <c:f>'Curves (Std. conditions)'!$M$28</c:f>
              <c:strCache>
                <c:ptCount val="1"/>
                <c:pt idx="0">
                  <c:v>1000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'Curves (Std. conditions)'!$O$28:$O$37</c:f>
              <c:numCache>
                <c:formatCode>0</c:formatCode>
                <c:ptCount val="10"/>
                <c:pt idx="0">
                  <c:v>2854.7686276578984</c:v>
                </c:pt>
                <c:pt idx="1">
                  <c:v>4921.1522339062476</c:v>
                </c:pt>
                <c:pt idx="2">
                  <c:v>7078.3849760108551</c:v>
                </c:pt>
                <c:pt idx="3">
                  <c:v>8477.0873593378892</c:v>
                </c:pt>
                <c:pt idx="4">
                  <c:v>9530.420085822816</c:v>
                </c:pt>
                <c:pt idx="5">
                  <c:v>10244.044482291729</c:v>
                </c:pt>
                <c:pt idx="6">
                  <c:v>10628.836210841742</c:v>
                </c:pt>
                <c:pt idx="7">
                  <c:v>10628.836210841742</c:v>
                </c:pt>
                <c:pt idx="8">
                  <c:v>10628.836210841742</c:v>
                </c:pt>
                <c:pt idx="9">
                  <c:v>10628.836210841742</c:v>
                </c:pt>
              </c:numCache>
            </c:numRef>
          </c:xVal>
          <c:yVal>
            <c:numRef>
              <c:f>'Curves (Std. conditions)'!$N$28:$N$37</c:f>
              <c:numCache>
                <c:formatCode>0</c:formatCode>
                <c:ptCount val="10"/>
                <c:pt idx="0">
                  <c:v>255.35683239152604</c:v>
                </c:pt>
                <c:pt idx="1">
                  <c:v>262.56776578022004</c:v>
                </c:pt>
                <c:pt idx="2">
                  <c:v>228.70277130827918</c:v>
                </c:pt>
                <c:pt idx="3">
                  <c:v>181.72456671733136</c:v>
                </c:pt>
                <c:pt idx="4">
                  <c:v>128.83504806127348</c:v>
                </c:pt>
                <c:pt idx="5">
                  <c:v>82.321714383175248</c:v>
                </c:pt>
                <c:pt idx="6">
                  <c:v>55.309165624923679</c:v>
                </c:pt>
                <c:pt idx="7">
                  <c:v>55.309165624923679</c:v>
                </c:pt>
                <c:pt idx="8">
                  <c:v>55.309165624923679</c:v>
                </c:pt>
                <c:pt idx="9">
                  <c:v>55.309165624923679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E79-4933-9419-99845FD7B0F1}"/>
            </c:ext>
          </c:extLst>
        </c:ser>
        <c:ser>
          <c:idx val="3"/>
          <c:order val="3"/>
          <c:tx>
            <c:strRef>
              <c:f>'Curves (Std. conditions)'!$R$18</c:f>
              <c:strCache>
                <c:ptCount val="1"/>
                <c:pt idx="0">
                  <c:v>65%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conditions)'!$O$18,'Curves (Std. conditions)'!$O$8,'Curves (Std. conditions)'!$O$28)</c:f>
              <c:numCache>
                <c:formatCode>0</c:formatCode>
                <c:ptCount val="3"/>
                <c:pt idx="0">
                  <c:v>11419.074510631594</c:v>
                </c:pt>
                <c:pt idx="1">
                  <c:v>4774.2507882755517</c:v>
                </c:pt>
                <c:pt idx="2">
                  <c:v>2854.7686276578984</c:v>
                </c:pt>
              </c:numCache>
            </c:numRef>
          </c:xVal>
          <c:yVal>
            <c:numRef>
              <c:f>('Curves (Std. conditions)'!$N$18,'Curves (Std. conditions)'!$N$8,'Curves (Std. conditions)'!$N$28)</c:f>
              <c:numCache>
                <c:formatCode>0</c:formatCode>
                <c:ptCount val="3"/>
                <c:pt idx="0">
                  <c:v>4085.7093182644167</c:v>
                </c:pt>
                <c:pt idx="1">
                  <c:v>714.19385389401737</c:v>
                </c:pt>
                <c:pt idx="2">
                  <c:v>255.35683239152604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E79-4933-9419-99845FD7B0F1}"/>
            </c:ext>
          </c:extLst>
        </c:ser>
        <c:ser>
          <c:idx val="9"/>
          <c:order val="4"/>
          <c:tx>
            <c:strRef>
              <c:f>'Curves (Std. conditions)'!$R$19</c:f>
              <c:strCache>
                <c:ptCount val="1"/>
                <c:pt idx="0">
                  <c:v>87%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conditions)'!$O$19,'Curves (Std. conditions)'!$O$9,'Curves (Std. conditions)'!$O$29)</c:f>
              <c:numCache>
                <c:formatCode>0</c:formatCode>
                <c:ptCount val="3"/>
                <c:pt idx="0">
                  <c:v>19684.60893562499</c:v>
                </c:pt>
                <c:pt idx="1">
                  <c:v>8230.0242143358737</c:v>
                </c:pt>
                <c:pt idx="2">
                  <c:v>4921.1522339062476</c:v>
                </c:pt>
              </c:numCache>
            </c:numRef>
          </c:xVal>
          <c:yVal>
            <c:numRef>
              <c:f>('Curves (Std. conditions)'!$N$19,'Curves (Std. conditions)'!$N$9,'Curves (Std. conditions)'!$N$29)</c:f>
              <c:numCache>
                <c:formatCode>0</c:formatCode>
                <c:ptCount val="3"/>
                <c:pt idx="0">
                  <c:v>4201.0842524835207</c:v>
                </c:pt>
                <c:pt idx="1">
                  <c:v>734.36172744888722</c:v>
                </c:pt>
                <c:pt idx="2">
                  <c:v>262.56776578022004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E79-4933-9419-99845FD7B0F1}"/>
            </c:ext>
          </c:extLst>
        </c:ser>
        <c:ser>
          <c:idx val="10"/>
          <c:order val="5"/>
          <c:tx>
            <c:strRef>
              <c:f>'Curves (Std. conditions)'!$R$20</c:f>
              <c:strCache>
                <c:ptCount val="1"/>
                <c:pt idx="0">
                  <c:v>85%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conditions)'!$O$20,'Curves (Std. conditions)'!$O$10,'Curves (Std. conditions)'!$O$30)</c:f>
              <c:numCache>
                <c:formatCode>0</c:formatCode>
                <c:ptCount val="3"/>
                <c:pt idx="0">
                  <c:v>28313.53990404342</c:v>
                </c:pt>
                <c:pt idx="1">
                  <c:v>11837.731690067933</c:v>
                </c:pt>
                <c:pt idx="2">
                  <c:v>7078.3849760108551</c:v>
                </c:pt>
              </c:numCache>
            </c:numRef>
          </c:xVal>
          <c:yVal>
            <c:numRef>
              <c:f>('Curves (Std. conditions)'!$N$20,'Curves (Std. conditions)'!$N$10,'Curves (Std. conditions)'!$N$30)</c:f>
              <c:numCache>
                <c:formatCode>0</c:formatCode>
                <c:ptCount val="3"/>
                <c:pt idx="0">
                  <c:v>3659.2443409324669</c:v>
                </c:pt>
                <c:pt idx="1">
                  <c:v>639.64653738523714</c:v>
                </c:pt>
                <c:pt idx="2">
                  <c:v>228.70277130827918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AE79-4933-9419-99845FD7B0F1}"/>
            </c:ext>
          </c:extLst>
        </c:ser>
        <c:ser>
          <c:idx val="17"/>
          <c:order val="6"/>
          <c:tx>
            <c:strRef>
              <c:f>'Curves (Std. conditions)'!$R$21</c:f>
              <c:strCache>
                <c:ptCount val="1"/>
                <c:pt idx="0">
                  <c:v>72%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conditions)'!$O$21,'Curves (Std. conditions)'!$O$11,'Curves (Std. conditions)'!$O$31)</c:f>
              <c:numCache>
                <c:formatCode>0</c:formatCode>
                <c:ptCount val="3"/>
                <c:pt idx="0">
                  <c:v>33908.349437351557</c:v>
                </c:pt>
                <c:pt idx="1">
                  <c:v>14176.890069302517</c:v>
                </c:pt>
                <c:pt idx="2">
                  <c:v>8477.0873593378892</c:v>
                </c:pt>
              </c:numCache>
            </c:numRef>
          </c:xVal>
          <c:yVal>
            <c:numRef>
              <c:f>('Curves (Std. conditions)'!$N$21,'Curves (Std. conditions)'!$N$11,'Curves (Std. conditions)'!$N$31)</c:f>
              <c:numCache>
                <c:formatCode>0</c:formatCode>
                <c:ptCount val="3"/>
                <c:pt idx="0">
                  <c:v>2907.5930674773017</c:v>
                </c:pt>
                <c:pt idx="1">
                  <c:v>508.25571196025805</c:v>
                </c:pt>
                <c:pt idx="2">
                  <c:v>181.72456671733136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AE79-4933-9419-99845FD7B0F1}"/>
            </c:ext>
          </c:extLst>
        </c:ser>
        <c:ser>
          <c:idx val="18"/>
          <c:order val="7"/>
          <c:tx>
            <c:strRef>
              <c:f>'Curves (Std. conditions)'!$R$22</c:f>
              <c:strCache>
                <c:ptCount val="1"/>
                <c:pt idx="0">
                  <c:v>58%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conditions)'!$O$22,'Curves (Std. conditions)'!$O$12,'Curves (Std. conditions)'!$O$32)</c:f>
              <c:numCache>
                <c:formatCode>0</c:formatCode>
                <c:ptCount val="3"/>
                <c:pt idx="0">
                  <c:v>38121.680343291264</c:v>
                </c:pt>
                <c:pt idx="1">
                  <c:v>15938.460009162362</c:v>
                </c:pt>
                <c:pt idx="2">
                  <c:v>9530.420085822816</c:v>
                </c:pt>
              </c:numCache>
            </c:numRef>
          </c:xVal>
          <c:yVal>
            <c:numRef>
              <c:f>('Curves (Std. conditions)'!$N$22,'Curves (Std. conditions)'!$N$12,'Curves (Std. conditions)'!$N$32)</c:f>
              <c:numCache>
                <c:formatCode>0</c:formatCode>
                <c:ptCount val="3"/>
                <c:pt idx="0">
                  <c:v>2061.3607689803757</c:v>
                </c:pt>
                <c:pt idx="1">
                  <c:v>360.33184869094299</c:v>
                </c:pt>
                <c:pt idx="2">
                  <c:v>128.83504806127348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AE79-4933-9419-99845FD7B0F1}"/>
            </c:ext>
          </c:extLst>
        </c:ser>
        <c:ser>
          <c:idx val="6"/>
          <c:order val="8"/>
          <c:tx>
            <c:strRef>
              <c:f>'Curves (Std. conditions)'!$R$23</c:f>
              <c:strCache>
                <c:ptCount val="1"/>
                <c:pt idx="0">
                  <c:v>42%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conditions)'!$O$23,'Curves (Std. conditions)'!$O$13,'Curves (Std. conditions)'!$O$33)</c:f>
              <c:numCache>
                <c:formatCode>0</c:formatCode>
                <c:ptCount val="3"/>
                <c:pt idx="0">
                  <c:v>40976.177929166915</c:v>
                </c:pt>
                <c:pt idx="1">
                  <c:v>17131.909385187471</c:v>
                </c:pt>
                <c:pt idx="2">
                  <c:v>10244.044482291729</c:v>
                </c:pt>
              </c:numCache>
            </c:numRef>
          </c:xVal>
          <c:yVal>
            <c:numRef>
              <c:f>('Curves (Std. conditions)'!$N$23,'Curves (Std. conditions)'!$N$13,'Curves (Std. conditions)'!$N$33)</c:f>
              <c:numCache>
                <c:formatCode>0</c:formatCode>
                <c:ptCount val="3"/>
                <c:pt idx="0">
                  <c:v>1317.147430130804</c:v>
                </c:pt>
                <c:pt idx="1">
                  <c:v>230.2411958350778</c:v>
                </c:pt>
                <c:pt idx="2">
                  <c:v>82.321714383175248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AE79-4933-9419-99845FD7B0F1}"/>
            </c:ext>
          </c:extLst>
        </c:ser>
        <c:ser>
          <c:idx val="7"/>
          <c:order val="9"/>
          <c:tx>
            <c:strRef>
              <c:f>'Curves (Std. conditions)'!$R$24</c:f>
              <c:strCache>
                <c:ptCount val="1"/>
                <c:pt idx="0">
                  <c:v>29%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conditions)'!$O$24,'Curves (Std. conditions)'!$O$14,'Curves (Std. conditions)'!$O$34)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(Std. conditions)'!$N$24,'Curves (Std. conditions)'!$N$14,'Curves (Std. conditions)'!$N$34)</c:f>
              <c:numCache>
                <c:formatCode>0</c:formatCode>
                <c:ptCount val="3"/>
                <c:pt idx="0">
                  <c:v>884.94664999877887</c:v>
                </c:pt>
                <c:pt idx="1">
                  <c:v>154.69124433984632</c:v>
                </c:pt>
                <c:pt idx="2">
                  <c:v>55.309165624923679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AE79-4933-9419-99845FD7B0F1}"/>
            </c:ext>
          </c:extLst>
        </c:ser>
        <c:ser>
          <c:idx val="12"/>
          <c:order val="10"/>
          <c:tx>
            <c:strRef>
              <c:f>'Curves (Std. conditions)'!$R$25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conditions)'!$O$25,'Curves (Std. conditions)'!$O$15,'Curves (Std. conditions)'!$O$35)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(Std. conditions)'!$N$25,'Curves (Std. conditions)'!$N$15,'Curves (Std. conditions)'!$N$35)</c:f>
              <c:numCache>
                <c:formatCode>0</c:formatCode>
                <c:ptCount val="3"/>
                <c:pt idx="0">
                  <c:v>884.94664999877887</c:v>
                </c:pt>
                <c:pt idx="1">
                  <c:v>154.69124433984632</c:v>
                </c:pt>
                <c:pt idx="2">
                  <c:v>55.309165624923679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AE79-4933-9419-99845FD7B0F1}"/>
            </c:ext>
          </c:extLst>
        </c:ser>
        <c:ser>
          <c:idx val="28"/>
          <c:order val="11"/>
          <c:tx>
            <c:strRef>
              <c:f>'Curves (Std. conditions)'!$R$26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conditions)'!$O$26,'Curves (Std. conditions)'!$O$16,'Curves (Std. conditions)'!$O$36)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(Std. conditions)'!$N$26,'Curves (Std. conditions)'!$N$16,'Curves (Std. conditions)'!$N$36)</c:f>
              <c:numCache>
                <c:formatCode>0</c:formatCode>
                <c:ptCount val="3"/>
                <c:pt idx="0">
                  <c:v>884.94664999877887</c:v>
                </c:pt>
                <c:pt idx="1">
                  <c:v>154.69124433984632</c:v>
                </c:pt>
                <c:pt idx="2">
                  <c:v>55.309165624923679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AE79-4933-9419-99845FD7B0F1}"/>
            </c:ext>
          </c:extLst>
        </c:ser>
        <c:ser>
          <c:idx val="29"/>
          <c:order val="12"/>
          <c:tx>
            <c:strRef>
              <c:f>'Curves (Std. conditions)'!$R$27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conditions)'!$O$27,'Curves (Std. conditions)'!$O$17,'Curves (Std. conditions)'!$O$37)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(Std. conditions)'!$N$27,'Curves (Std. conditions)'!$N$17,'Curves (Std. conditions)'!$N$37)</c:f>
              <c:numCache>
                <c:formatCode>0</c:formatCode>
                <c:ptCount val="3"/>
                <c:pt idx="0">
                  <c:v>884.94664999877887</c:v>
                </c:pt>
                <c:pt idx="1">
                  <c:v>154.69124433984632</c:v>
                </c:pt>
                <c:pt idx="2">
                  <c:v>55.309165624923679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AE79-4933-9419-99845FD7B0F1}"/>
            </c:ext>
          </c:extLst>
        </c:ser>
        <c:ser>
          <c:idx val="27"/>
          <c:order val="13"/>
          <c:tx>
            <c:strRef>
              <c:f>'Curves (Std. conditions)'!$P$8</c:f>
              <c:strCache>
                <c:ptCount val="1"/>
                <c:pt idx="0">
                  <c:v>14.3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9765625000001719E-2"/>
                  <c:y val="-2.544875677522560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AE79-4933-9419-99845FD7B0F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conditions)'!$O$8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'Curves (Std. conditions)'!$N$8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AE79-4933-9419-99845FD7B0F1}"/>
            </c:ext>
          </c:extLst>
        </c:ser>
        <c:ser>
          <c:idx val="26"/>
          <c:order val="14"/>
          <c:tx>
            <c:strRef>
              <c:f>'Curves (Std. conditions)'!$P$9</c:f>
              <c:strCache>
                <c:ptCount val="1"/>
                <c:pt idx="0">
                  <c:v>19.0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AE79-4933-9419-99845FD7B0F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conditions)'!$O$9</c:f>
              <c:numCache>
                <c:formatCode>0</c:formatCode>
                <c:ptCount val="1"/>
                <c:pt idx="0">
                  <c:v>8230.0242143358737</c:v>
                </c:pt>
              </c:numCache>
            </c:numRef>
          </c:xVal>
          <c:yVal>
            <c:numRef>
              <c:f>'Curves (Std. conditions)'!$N$9</c:f>
              <c:numCache>
                <c:formatCode>0</c:formatCode>
                <c:ptCount val="1"/>
                <c:pt idx="0">
                  <c:v>734.36172744888722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AE79-4933-9419-99845FD7B0F1}"/>
            </c:ext>
          </c:extLst>
        </c:ser>
        <c:ser>
          <c:idx val="24"/>
          <c:order val="15"/>
          <c:tx>
            <c:strRef>
              <c:f>'Curves (Std. conditions)'!$P$10</c:f>
              <c:strCache>
                <c:ptCount val="1"/>
                <c:pt idx="0">
                  <c:v>24.2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conditions)'!$O$10</c:f>
              <c:numCache>
                <c:formatCode>0</c:formatCode>
                <c:ptCount val="1"/>
                <c:pt idx="0">
                  <c:v>11837.731690067933</c:v>
                </c:pt>
              </c:numCache>
            </c:numRef>
          </c:xVal>
          <c:yVal>
            <c:numRef>
              <c:f>'Curves (Std. conditions)'!$N$10</c:f>
              <c:numCache>
                <c:formatCode>0</c:formatCode>
                <c:ptCount val="1"/>
                <c:pt idx="0">
                  <c:v>639.64653738523714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AE79-4933-9419-99845FD7B0F1}"/>
            </c:ext>
          </c:extLst>
        </c:ser>
        <c:ser>
          <c:idx val="22"/>
          <c:order val="16"/>
          <c:tx>
            <c:strRef>
              <c:f>'Curves (Std. conditions)'!$P$11</c:f>
              <c:strCache>
                <c:ptCount val="1"/>
                <c:pt idx="0">
                  <c:v>27.3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conditions)'!$O$11</c:f>
              <c:numCache>
                <c:formatCode>0</c:formatCode>
                <c:ptCount val="1"/>
                <c:pt idx="0">
                  <c:v>14176.890069302517</c:v>
                </c:pt>
              </c:numCache>
            </c:numRef>
          </c:xVal>
          <c:yVal>
            <c:numRef>
              <c:f>'Curves (Std. conditions)'!$N$11</c:f>
              <c:numCache>
                <c:formatCode>0</c:formatCode>
                <c:ptCount val="1"/>
                <c:pt idx="0">
                  <c:v>508.25571196025805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AE79-4933-9419-99845FD7B0F1}"/>
            </c:ext>
          </c:extLst>
        </c:ser>
        <c:ser>
          <c:idx val="25"/>
          <c:order val="17"/>
          <c:tx>
            <c:strRef>
              <c:f>'Curves (Std. conditions)'!$P$12</c:f>
              <c:strCache>
                <c:ptCount val="1"/>
                <c:pt idx="0">
                  <c:v>27.1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AE79-4933-9419-99845FD7B0F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conditions)'!$O$12</c:f>
              <c:numCache>
                <c:formatCode>0</c:formatCode>
                <c:ptCount val="1"/>
                <c:pt idx="0">
                  <c:v>15938.460009162362</c:v>
                </c:pt>
              </c:numCache>
            </c:numRef>
          </c:xVal>
          <c:yVal>
            <c:numRef>
              <c:f>'Curves (Std. conditions)'!$N$12</c:f>
              <c:numCache>
                <c:formatCode>0</c:formatCode>
                <c:ptCount val="1"/>
                <c:pt idx="0">
                  <c:v>360.33184869094299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AE79-4933-9419-99845FD7B0F1}"/>
            </c:ext>
          </c:extLst>
        </c:ser>
        <c:ser>
          <c:idx val="19"/>
          <c:order val="18"/>
          <c:tx>
            <c:strRef>
              <c:f>'Curves (Std. conditions)'!$P$13</c:f>
              <c:strCache>
                <c:ptCount val="1"/>
                <c:pt idx="0">
                  <c:v>25.9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conditions)'!$O$13</c:f>
              <c:numCache>
                <c:formatCode>0</c:formatCode>
                <c:ptCount val="1"/>
                <c:pt idx="0">
                  <c:v>17131.909385187471</c:v>
                </c:pt>
              </c:numCache>
            </c:numRef>
          </c:xVal>
          <c:yVal>
            <c:numRef>
              <c:f>'Curves (Std. conditions)'!$N$13</c:f>
              <c:numCache>
                <c:formatCode>0</c:formatCode>
                <c:ptCount val="1"/>
                <c:pt idx="0">
                  <c:v>230.2411958350778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5-AE79-4933-9419-99845FD7B0F1}"/>
            </c:ext>
          </c:extLst>
        </c:ser>
        <c:ser>
          <c:idx val="20"/>
          <c:order val="19"/>
          <c:tx>
            <c:strRef>
              <c:f>'Curves (Std. conditions)'!$P$14</c:f>
              <c:strCache>
                <c:ptCount val="1"/>
                <c:pt idx="0">
                  <c:v>25.8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conditions)'!$O$14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(Std. conditions)'!$N$14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AE79-4933-9419-99845FD7B0F1}"/>
            </c:ext>
          </c:extLst>
        </c:ser>
        <c:ser>
          <c:idx val="32"/>
          <c:order val="20"/>
          <c:tx>
            <c:strRef>
              <c:f>'Curves (Std. conditions)'!$P$16</c:f>
              <c:strCache>
                <c:ptCount val="1"/>
                <c:pt idx="0">
                  <c:v>25.3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AE79-4933-9419-99845FD7B0F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conditions)'!$O$16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(Std. conditions)'!$N$16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8-AE79-4933-9419-99845FD7B0F1}"/>
            </c:ext>
          </c:extLst>
        </c:ser>
        <c:ser>
          <c:idx val="34"/>
          <c:order val="21"/>
          <c:tx>
            <c:strRef>
              <c:f>'Curves (Std. conditions)'!$P$17</c:f>
              <c:strCache>
                <c:ptCount val="1"/>
                <c:pt idx="0">
                  <c:v>25.3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9-AE79-4933-9419-99845FD7B0F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conditions)'!$O$17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(Std. conditions)'!$N$17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A-AE79-4933-9419-99845FD7B0F1}"/>
            </c:ext>
          </c:extLst>
        </c:ser>
        <c:ser>
          <c:idx val="40"/>
          <c:order val="22"/>
          <c:tx>
            <c:strRef>
              <c:f>'Curves (Std. conditions)'!$P$17</c:f>
              <c:strCache>
                <c:ptCount val="1"/>
                <c:pt idx="0">
                  <c:v>25.3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B-AE79-4933-9419-99845FD7B0F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conditions)'!$O$17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(Std. conditions)'!$N$17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C-AE79-4933-9419-99845FD7B0F1}"/>
            </c:ext>
          </c:extLst>
        </c:ser>
        <c:ser>
          <c:idx val="38"/>
          <c:order val="23"/>
          <c:tx>
            <c:strRef>
              <c:f>'Curves (Std. conditions)'!$R$18</c:f>
              <c:strCache>
                <c:ptCount val="1"/>
                <c:pt idx="0">
                  <c:v>65%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conditions)'!$O$18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'Curves (Std. conditions)'!$N$18</c:f>
              <c:numCache>
                <c:formatCode>0</c:formatCode>
                <c:ptCount val="1"/>
                <c:pt idx="0">
                  <c:v>4085.7093182644167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D-AE79-4933-9419-99845FD7B0F1}"/>
            </c:ext>
          </c:extLst>
        </c:ser>
        <c:ser>
          <c:idx val="37"/>
          <c:order val="24"/>
          <c:tx>
            <c:strRef>
              <c:f>'Curves (Std. conditions)'!$R$19</c:f>
              <c:strCache>
                <c:ptCount val="1"/>
                <c:pt idx="0">
                  <c:v>87%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conditions)'!$O$19</c:f>
              <c:numCache>
                <c:formatCode>0</c:formatCode>
                <c:ptCount val="1"/>
                <c:pt idx="0">
                  <c:v>19684.60893562499</c:v>
                </c:pt>
              </c:numCache>
            </c:numRef>
          </c:xVal>
          <c:yVal>
            <c:numRef>
              <c:f>'Curves (Std. conditions)'!$N$19</c:f>
              <c:numCache>
                <c:formatCode>0</c:formatCode>
                <c:ptCount val="1"/>
                <c:pt idx="0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E-AE79-4933-9419-99845FD7B0F1}"/>
            </c:ext>
          </c:extLst>
        </c:ser>
        <c:ser>
          <c:idx val="35"/>
          <c:order val="25"/>
          <c:tx>
            <c:strRef>
              <c:f>'Curves (Std. conditions)'!$R$20</c:f>
              <c:strCache>
                <c:ptCount val="1"/>
                <c:pt idx="0">
                  <c:v>85%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conditions)'!$O$20</c:f>
              <c:numCache>
                <c:formatCode>0</c:formatCode>
                <c:ptCount val="1"/>
                <c:pt idx="0">
                  <c:v>28313.53990404342</c:v>
                </c:pt>
              </c:numCache>
            </c:numRef>
          </c:xVal>
          <c:yVal>
            <c:numRef>
              <c:f>'Curves (Std. conditions)'!$N$20</c:f>
              <c:numCache>
                <c:formatCode>0</c:formatCode>
                <c:ptCount val="1"/>
                <c:pt idx="0">
                  <c:v>3659.2443409324669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F-AE79-4933-9419-99845FD7B0F1}"/>
            </c:ext>
          </c:extLst>
        </c:ser>
        <c:ser>
          <c:idx val="21"/>
          <c:order val="26"/>
          <c:tx>
            <c:strRef>
              <c:f>'Curves (Std. conditions)'!$R$21</c:f>
              <c:strCache>
                <c:ptCount val="1"/>
                <c:pt idx="0">
                  <c:v>72%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0-AE79-4933-9419-99845FD7B0F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conditions)'!$O$21</c:f>
              <c:numCache>
                <c:formatCode>0</c:formatCode>
                <c:ptCount val="1"/>
                <c:pt idx="0">
                  <c:v>33908.349437351557</c:v>
                </c:pt>
              </c:numCache>
            </c:numRef>
          </c:xVal>
          <c:yVal>
            <c:numRef>
              <c:f>'Curves (Std. conditions)'!$N$21</c:f>
              <c:numCache>
                <c:formatCode>0</c:formatCode>
                <c:ptCount val="1"/>
                <c:pt idx="0">
                  <c:v>2907.5930674773017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1-AE79-4933-9419-99845FD7B0F1}"/>
            </c:ext>
          </c:extLst>
        </c:ser>
        <c:ser>
          <c:idx val="23"/>
          <c:order val="27"/>
          <c:tx>
            <c:strRef>
              <c:f>'Curves (Std. conditions)'!$R$22</c:f>
              <c:strCache>
                <c:ptCount val="1"/>
                <c:pt idx="0">
                  <c:v>58%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2-AE79-4933-9419-99845FD7B0F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conditions)'!$O$22</c:f>
              <c:numCache>
                <c:formatCode>0</c:formatCode>
                <c:ptCount val="1"/>
                <c:pt idx="0">
                  <c:v>38121.680343291264</c:v>
                </c:pt>
              </c:numCache>
            </c:numRef>
          </c:xVal>
          <c:yVal>
            <c:numRef>
              <c:f>'Curves (Std. conditions)'!$N$22</c:f>
              <c:numCache>
                <c:formatCode>0</c:formatCode>
                <c:ptCount val="1"/>
                <c:pt idx="0">
                  <c:v>2061.3607689803757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3-AE79-4933-9419-99845FD7B0F1}"/>
            </c:ext>
          </c:extLst>
        </c:ser>
        <c:ser>
          <c:idx val="30"/>
          <c:order val="28"/>
          <c:tx>
            <c:strRef>
              <c:f>'Curves (Std. conditions)'!$R$23</c:f>
              <c:strCache>
                <c:ptCount val="1"/>
                <c:pt idx="0">
                  <c:v>42%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conditions)'!$O$23</c:f>
              <c:numCache>
                <c:formatCode>0</c:formatCode>
                <c:ptCount val="1"/>
                <c:pt idx="0">
                  <c:v>40976.177929166915</c:v>
                </c:pt>
              </c:numCache>
            </c:numRef>
          </c:xVal>
          <c:yVal>
            <c:numRef>
              <c:f>'Curves (Std. conditions)'!$N$23</c:f>
              <c:numCache>
                <c:formatCode>0</c:formatCode>
                <c:ptCount val="1"/>
                <c:pt idx="0">
                  <c:v>1317.147430130804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4-AE79-4933-9419-99845FD7B0F1}"/>
            </c:ext>
          </c:extLst>
        </c:ser>
        <c:ser>
          <c:idx val="31"/>
          <c:order val="29"/>
          <c:tx>
            <c:strRef>
              <c:f>'Curves (Std. conditions)'!$R$24</c:f>
              <c:strCache>
                <c:ptCount val="1"/>
                <c:pt idx="0">
                  <c:v>29%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5-AE79-4933-9419-99845FD7B0F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conditions)'!$O$24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(Std. conditions)'!$N$24</c:f>
              <c:numCache>
                <c:formatCode>0</c:formatCode>
                <c:ptCount val="1"/>
                <c:pt idx="0">
                  <c:v>884.94664999877887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6-AE79-4933-9419-99845FD7B0F1}"/>
            </c:ext>
          </c:extLst>
        </c:ser>
        <c:ser>
          <c:idx val="33"/>
          <c:order val="30"/>
          <c:tx>
            <c:strRef>
              <c:f>'Curves (Std. conditions)'!$R$26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conditions)'!$O$25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(Std. conditions)'!$N$25</c:f>
              <c:numCache>
                <c:formatCode>0</c:formatCode>
                <c:ptCount val="1"/>
                <c:pt idx="0">
                  <c:v>884.94664999877887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7-AE79-4933-9419-99845FD7B0F1}"/>
            </c:ext>
          </c:extLst>
        </c:ser>
        <c:ser>
          <c:idx val="36"/>
          <c:order val="31"/>
          <c:tx>
            <c:strRef>
              <c:f>'Curves (Std. conditions)'!$R$26</c:f>
              <c:strCache>
                <c:ptCount val="1"/>
                <c:pt idx="0">
                  <c:v>30%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8-AE79-4933-9419-99845FD7B0F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conditions)'!$O$26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(Std. conditions)'!$N$26</c:f>
              <c:numCache>
                <c:formatCode>0</c:formatCode>
                <c:ptCount val="1"/>
                <c:pt idx="0">
                  <c:v>884.94664999877887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9-AE79-4933-9419-99845FD7B0F1}"/>
            </c:ext>
          </c:extLst>
        </c:ser>
        <c:ser>
          <c:idx val="39"/>
          <c:order val="32"/>
          <c:tx>
            <c:strRef>
              <c:f>'Curves (Std. conditions)'!$R$27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A-AE79-4933-9419-99845FD7B0F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conditions)'!$O$27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(Std. conditions)'!$N$27</c:f>
              <c:numCache>
                <c:formatCode>0</c:formatCode>
                <c:ptCount val="1"/>
                <c:pt idx="0">
                  <c:v>884.94664999877887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B-AE79-4933-9419-99845FD7B0F1}"/>
            </c:ext>
          </c:extLst>
        </c:ser>
        <c:ser>
          <c:idx val="4"/>
          <c:order val="33"/>
          <c:tx>
            <c:strRef>
              <c:f>'Curves (Std. conditions)'!$B$56:$D$56</c:f>
              <c:strCache>
                <c:ptCount val="1"/>
                <c:pt idx="0">
                  <c:v>Density 1.205 kg/m3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conditions)'!$F$55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(Std. conditions)'!$G$55</c:f>
              <c:numCache>
                <c:formatCode>General</c:formatCode>
                <c:ptCount val="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C-AE79-4933-9419-99845FD7B0F1}"/>
            </c:ext>
          </c:extLst>
        </c:ser>
        <c:ser>
          <c:idx val="5"/>
          <c:order val="34"/>
          <c:tx>
            <c:strRef>
              <c:f>'Curves (Std. conditions)'!$M$8</c:f>
              <c:strCache>
                <c:ptCount val="1"/>
                <c:pt idx="0">
                  <c:v>1672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conditions)'!$O$8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'Curves (Std. conditions)'!$N$8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D-AE79-4933-9419-99845FD7B0F1}"/>
            </c:ext>
          </c:extLst>
        </c:ser>
        <c:ser>
          <c:idx val="8"/>
          <c:order val="35"/>
          <c:tx>
            <c:strRef>
              <c:f>'Curves (Std. conditions)'!$M$18</c:f>
              <c:strCache>
                <c:ptCount val="1"/>
                <c:pt idx="0">
                  <c:v>4000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E-AE79-4933-9419-99845FD7B0F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conditions)'!$O$18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'Curves (Std. conditions)'!$N$18</c:f>
              <c:numCache>
                <c:formatCode>0</c:formatCode>
                <c:ptCount val="1"/>
                <c:pt idx="0">
                  <c:v>4085.7093182644167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F-AE79-4933-9419-99845FD7B0F1}"/>
            </c:ext>
          </c:extLst>
        </c:ser>
        <c:ser>
          <c:idx val="11"/>
          <c:order val="36"/>
          <c:tx>
            <c:strRef>
              <c:f>'Curves (Std. conditions)'!$M$28</c:f>
              <c:strCache>
                <c:ptCount val="1"/>
                <c:pt idx="0">
                  <c:v>1000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conditions)'!$O$28</c:f>
              <c:numCache>
                <c:formatCode>0</c:formatCode>
                <c:ptCount val="1"/>
                <c:pt idx="0">
                  <c:v>2854.7686276578984</c:v>
                </c:pt>
              </c:numCache>
            </c:numRef>
          </c:xVal>
          <c:yVal>
            <c:numRef>
              <c:f>'Curves (Std. conditions)'!$N$28</c:f>
              <c:numCache>
                <c:formatCode>0</c:formatCode>
                <c:ptCount val="1"/>
                <c:pt idx="0">
                  <c:v>255.35683239152604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0-AE79-4933-9419-99845FD7B0F1}"/>
            </c:ext>
          </c:extLst>
        </c:ser>
        <c:ser>
          <c:idx val="13"/>
          <c:order val="37"/>
          <c:tx>
            <c:strRef>
              <c:f>'Curves (Std. conditions)'!$A$49</c:f>
              <c:strCache>
                <c:ptCount val="1"/>
                <c:pt idx="0">
                  <c:v>Op. point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conditions)'!$C$54</c:f>
              <c:numCache>
                <c:formatCode>0</c:formatCode>
                <c:ptCount val="1"/>
                <c:pt idx="0">
                  <c:v>10000</c:v>
                </c:pt>
              </c:numCache>
            </c:numRef>
          </c:xVal>
          <c:yVal>
            <c:numRef>
              <c:f>'Curves (Std. conditions)'!$E$52</c:f>
              <c:numCache>
                <c:formatCode>0</c:formatCode>
                <c:ptCount val="1"/>
                <c:pt idx="0">
                  <c:v>713.77587437544605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1-AE79-4933-9419-99845FD7B0F1}"/>
            </c:ext>
          </c:extLst>
        </c:ser>
        <c:ser>
          <c:idx val="15"/>
          <c:order val="39"/>
          <c:tx>
            <c:strRef>
              <c:f>'Curves (Std. conditions)'!$T$7</c:f>
              <c:strCache>
                <c:ptCount val="1"/>
                <c:pt idx="0">
                  <c:v>Dyn Press, mmH2o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2-AE79-4933-9419-99845FD7B0F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conditions)'!$O$8:$O$17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(Std. conditions)'!$T$8:$T$17</c:f>
              <c:numCache>
                <c:formatCode>0</c:formatCode>
                <c:ptCount val="10"/>
                <c:pt idx="0">
                  <c:v>4.271658382199611</c:v>
                </c:pt>
                <c:pt idx="1">
                  <c:v>12.693701533964179</c:v>
                </c:pt>
                <c:pt idx="2">
                  <c:v>26.261712400271765</c:v>
                </c:pt>
                <c:pt idx="3">
                  <c:v>37.665869735483099</c:v>
                </c:pt>
                <c:pt idx="4">
                  <c:v>47.607872128177043</c:v>
                </c:pt>
                <c:pt idx="5">
                  <c:v>55.004420542951479</c:v>
                </c:pt>
                <c:pt idx="6">
                  <c:v>59.214233507890143</c:v>
                </c:pt>
                <c:pt idx="7">
                  <c:v>59.214233507890143</c:v>
                </c:pt>
                <c:pt idx="8">
                  <c:v>59.214233507890143</c:v>
                </c:pt>
                <c:pt idx="9">
                  <c:v>59.214233507890143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3-AE79-4933-9419-99845FD7B0F1}"/>
            </c:ext>
          </c:extLst>
        </c:ser>
        <c:ser>
          <c:idx val="16"/>
          <c:order val="40"/>
          <c:tx>
            <c:v>OP Line</c:v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conditions)'!$C$54,'Curves (Std. conditions)'!$C$54)</c:f>
              <c:numCache>
                <c:formatCode>0</c:formatCode>
                <c:ptCount val="2"/>
                <c:pt idx="0">
                  <c:v>10000</c:v>
                </c:pt>
                <c:pt idx="1">
                  <c:v>10000</c:v>
                </c:pt>
              </c:numCache>
            </c:numRef>
          </c:xVal>
          <c:yVal>
            <c:numRef>
              <c:f>('Curves (Std. conditions)'!$H$55,'Curves (Std. conditions)'!$G$55)</c:f>
              <c:numCache>
                <c:formatCode>General</c:formatCode>
                <c:ptCount val="2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4-AE79-4933-9419-99845FD7B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753472"/>
        <c:axId val="485762048"/>
      </c:scatterChart>
      <c:scatterChart>
        <c:scatterStyle val="smoothMarker"/>
        <c:varyColors val="0"/>
        <c:ser>
          <c:idx val="14"/>
          <c:order val="38"/>
          <c:tx>
            <c:strRef>
              <c:f>'Curves (Std. conditions)'!$P$7</c:f>
              <c:strCache>
                <c:ptCount val="1"/>
                <c:pt idx="0">
                  <c:v>req. Motor kW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5-AE79-4933-9419-99845FD7B0F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conditions)'!$O$8:$O$17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(Std. conditions)'!$P$8:$P$17</c:f>
              <c:numCache>
                <c:formatCode>0.0</c:formatCode>
                <c:ptCount val="10"/>
                <c:pt idx="0">
                  <c:v>14.274563137553157</c:v>
                </c:pt>
                <c:pt idx="1">
                  <c:v>19.032750850070883</c:v>
                </c:pt>
                <c:pt idx="2">
                  <c:v>24.232285134372773</c:v>
                </c:pt>
                <c:pt idx="3">
                  <c:v>27.282769632308188</c:v>
                </c:pt>
                <c:pt idx="4">
                  <c:v>27.106751763712655</c:v>
                </c:pt>
                <c:pt idx="5">
                  <c:v>25.874626683543898</c:v>
                </c:pt>
                <c:pt idx="6">
                  <c:v>25.843614349630329</c:v>
                </c:pt>
                <c:pt idx="7">
                  <c:v>25.336876813363066</c:v>
                </c:pt>
                <c:pt idx="8">
                  <c:v>25.336876813363066</c:v>
                </c:pt>
                <c:pt idx="9">
                  <c:v>25.336876813363066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6-AE79-4933-9419-99845FD7B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762816"/>
        <c:axId val="485762432"/>
      </c:scatterChart>
      <c:valAx>
        <c:axId val="48575347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Q &lt;m3/hr&gt;</a:t>
                </a:r>
              </a:p>
            </c:rich>
          </c:tx>
          <c:layout>
            <c:manualLayout>
              <c:xMode val="edge"/>
              <c:yMode val="edge"/>
              <c:x val="0.45312520505249348"/>
              <c:y val="0.935144713245742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5762048"/>
        <c:crosses val="autoZero"/>
        <c:crossBetween val="midCat"/>
      </c:valAx>
      <c:valAx>
        <c:axId val="4857620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 &lt;mmH20&gt;</a:t>
                </a:r>
              </a:p>
            </c:rich>
          </c:tx>
          <c:layout>
            <c:manualLayout>
              <c:xMode val="edge"/>
              <c:yMode val="edge"/>
              <c:x val="1.5625E-2"/>
              <c:y val="0.443439547432111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5753472"/>
        <c:crosses val="autoZero"/>
        <c:crossBetween val="midCat"/>
      </c:valAx>
      <c:valAx>
        <c:axId val="485762432"/>
        <c:scaling>
          <c:orientation val="minMax"/>
        </c:scaling>
        <c:delete val="0"/>
        <c:axPos val="r"/>
        <c:title>
          <c:tx>
            <c:strRef>
              <c:f>'Curves (Std. conditions)'!$P$7</c:f>
              <c:strCache>
                <c:ptCount val="1"/>
                <c:pt idx="0">
                  <c:v>req. Motor kW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5762816"/>
        <c:crosses val="max"/>
        <c:crossBetween val="midCat"/>
      </c:valAx>
      <c:valAx>
        <c:axId val="48576281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5762432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 alignWithMargins="0"/>
    <c:pageMargins b="1" l="0.75000000000001465" r="0.75000000000001465" t="1" header="0.5" footer="0.5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'Fan Type Calc.'!$AB$3</c:f>
              <c:strCache>
                <c:ptCount val="1"/>
                <c:pt idx="0">
                  <c:v>Compressor Limit</c:v>
                </c:pt>
              </c:strCache>
            </c:strRef>
          </c:tx>
          <c:marker>
            <c:symbol val="none"/>
          </c:marker>
          <c:xVal>
            <c:numRef>
              <c:f>'Fan Type Calc.'!$AB$7:$AB$29</c:f>
              <c:numCache>
                <c:formatCode>_(* #,##0_);_(* \-#,##0;_(* "-"??_);_(@_)</c:formatCode>
                <c:ptCount val="23"/>
                <c:pt idx="0">
                  <c:v>1.662996808818026</c:v>
                </c:pt>
                <c:pt idx="1">
                  <c:v>18.592869554411653</c:v>
                </c:pt>
                <c:pt idx="2">
                  <c:v>52.588576574565487</c:v>
                </c:pt>
                <c:pt idx="3">
                  <c:v>96.611384180224306</c:v>
                </c:pt>
                <c:pt idx="4">
                  <c:v>207.8746011022528</c:v>
                </c:pt>
                <c:pt idx="5">
                  <c:v>587.95816030340666</c:v>
                </c:pt>
                <c:pt idx="6">
                  <c:v>1080.1481121366494</c:v>
                </c:pt>
                <c:pt idx="7">
                  <c:v>1662.9968088180258</c:v>
                </c:pt>
                <c:pt idx="8">
                  <c:v>2324.1086943014552</c:v>
                </c:pt>
                <c:pt idx="9">
                  <c:v>3055.1202191106859</c:v>
                </c:pt>
                <c:pt idx="10">
                  <c:v>3849.8914888232034</c:v>
                </c:pt>
                <c:pt idx="11">
                  <c:v>4703.6652824272542</c:v>
                </c:pt>
                <c:pt idx="12">
                  <c:v>5612.6142297608358</c:v>
                </c:pt>
                <c:pt idx="13">
                  <c:v>6573.572071820694</c:v>
                </c:pt>
                <c:pt idx="14">
                  <c:v>7583.8626083106947</c:v>
                </c:pt>
                <c:pt idx="15">
                  <c:v>8641.184897093166</c:v>
                </c:pt>
                <c:pt idx="16">
                  <c:v>9743.5329308303353</c:v>
                </c:pt>
                <c:pt idx="17">
                  <c:v>10889.137514317052</c:v>
                </c:pt>
                <c:pt idx="18">
                  <c:v>12076.423022528033</c:v>
                </c:pt>
                <c:pt idx="19">
                  <c:v>13303.974470544184</c:v>
                </c:pt>
                <c:pt idx="20">
                  <c:v>14570.511932871372</c:v>
                </c:pt>
                <c:pt idx="21">
                  <c:v>15874.87032819201</c:v>
                </c:pt>
                <c:pt idx="22">
                  <c:v>18592.869554411649</c:v>
                </c:pt>
              </c:numCache>
            </c:numRef>
          </c:xVal>
          <c:yVal>
            <c:numRef>
              <c:f>'Fan Type Calc.'!$Z$7:$Z$29</c:f>
              <c:numCache>
                <c:formatCode>_(* #,##0_);_(* \-#,##0;_(* "-"??_);_(@_)</c:formatCode>
                <c:ptCount val="23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250</c:v>
                </c:pt>
                <c:pt idx="5">
                  <c:v>500</c:v>
                </c:pt>
                <c:pt idx="6">
                  <c:v>750</c:v>
                </c:pt>
                <c:pt idx="7">
                  <c:v>1000</c:v>
                </c:pt>
                <c:pt idx="8">
                  <c:v>1250</c:v>
                </c:pt>
                <c:pt idx="9">
                  <c:v>1500</c:v>
                </c:pt>
                <c:pt idx="10">
                  <c:v>1750</c:v>
                </c:pt>
                <c:pt idx="11">
                  <c:v>2000</c:v>
                </c:pt>
                <c:pt idx="12">
                  <c:v>2250</c:v>
                </c:pt>
                <c:pt idx="13">
                  <c:v>2500</c:v>
                </c:pt>
                <c:pt idx="14">
                  <c:v>2750</c:v>
                </c:pt>
                <c:pt idx="15">
                  <c:v>3000</c:v>
                </c:pt>
                <c:pt idx="16">
                  <c:v>3250</c:v>
                </c:pt>
                <c:pt idx="17">
                  <c:v>3500</c:v>
                </c:pt>
                <c:pt idx="18">
                  <c:v>3750</c:v>
                </c:pt>
                <c:pt idx="19">
                  <c:v>4000</c:v>
                </c:pt>
                <c:pt idx="20">
                  <c:v>4250</c:v>
                </c:pt>
                <c:pt idx="21">
                  <c:v>4500</c:v>
                </c:pt>
                <c:pt idx="22">
                  <c:v>5000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A56-4972-AC65-C4CCF1424523}"/>
            </c:ext>
          </c:extLst>
        </c:ser>
        <c:ser>
          <c:idx val="1"/>
          <c:order val="1"/>
          <c:tx>
            <c:strRef>
              <c:f>'Fan Type Calc.'!$AD$3</c:f>
              <c:strCache>
                <c:ptCount val="1"/>
                <c:pt idx="0">
                  <c:v>Axial Limit</c:v>
                </c:pt>
              </c:strCache>
            </c:strRef>
          </c:tx>
          <c:marker>
            <c:symbol val="none"/>
          </c:marker>
          <c:xVal>
            <c:numRef>
              <c:f>'Fan Type Calc.'!$AD$7:$AD$29</c:f>
              <c:numCache>
                <c:formatCode>_(* #,##0_);_(* \-#,##0;_(* "-"??_);_(@_)</c:formatCode>
                <c:ptCount val="23"/>
                <c:pt idx="0">
                  <c:v>1894.2573025442825</c:v>
                </c:pt>
                <c:pt idx="1">
                  <c:v>21178.440476822019</c:v>
                </c:pt>
                <c:pt idx="2">
                  <c:v>59901.675504465988</c:v>
                </c:pt>
                <c:pt idx="3">
                  <c:v>110046.40479278674</c:v>
                </c:pt>
                <c:pt idx="4">
                  <c:v>236782.16281803479</c:v>
                </c:pt>
                <c:pt idx="5">
                  <c:v>669721.09197059902</c:v>
                </c:pt>
                <c:pt idx="6">
                  <c:v>1230356.208980652</c:v>
                </c:pt>
                <c:pt idx="7">
                  <c:v>1894257.3025442821</c:v>
                </c:pt>
                <c:pt idx="8">
                  <c:v>2647305.0596027509</c:v>
                </c:pt>
                <c:pt idx="9">
                  <c:v>3479972.8745807651</c:v>
                </c:pt>
                <c:pt idx="10">
                  <c:v>4385267.0239876788</c:v>
                </c:pt>
                <c:pt idx="11">
                  <c:v>5357768.7357647941</c:v>
                </c:pt>
                <c:pt idx="12">
                  <c:v>6393118.3960869508</c:v>
                </c:pt>
                <c:pt idx="13">
                  <c:v>7487709.438058258</c:v>
                </c:pt>
                <c:pt idx="14">
                  <c:v>8638493.5022788998</c:v>
                </c:pt>
                <c:pt idx="15">
                  <c:v>9842849.6718451828</c:v>
                </c:pt>
                <c:pt idx="16">
                  <c:v>11098492.979023928</c:v>
                </c:pt>
                <c:pt idx="17">
                  <c:v>12403408.199901765</c:v>
                </c:pt>
                <c:pt idx="18">
                  <c:v>13755800.599098336</c:v>
                </c:pt>
                <c:pt idx="19">
                  <c:v>15154058.420354234</c:v>
                </c:pt>
                <c:pt idx="20">
                  <c:v>16596723.748536294</c:v>
                </c:pt>
                <c:pt idx="21">
                  <c:v>18082469.483206209</c:v>
                </c:pt>
                <c:pt idx="22">
                  <c:v>21178440.476822015</c:v>
                </c:pt>
              </c:numCache>
            </c:numRef>
          </c:xVal>
          <c:yVal>
            <c:numRef>
              <c:f>'Fan Type Calc.'!$Z$7:$Z$29</c:f>
              <c:numCache>
                <c:formatCode>_(* #,##0_);_(* \-#,##0;_(* "-"??_);_(@_)</c:formatCode>
                <c:ptCount val="23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250</c:v>
                </c:pt>
                <c:pt idx="5">
                  <c:v>500</c:v>
                </c:pt>
                <c:pt idx="6">
                  <c:v>750</c:v>
                </c:pt>
                <c:pt idx="7">
                  <c:v>1000</c:v>
                </c:pt>
                <c:pt idx="8">
                  <c:v>1250</c:v>
                </c:pt>
                <c:pt idx="9">
                  <c:v>1500</c:v>
                </c:pt>
                <c:pt idx="10">
                  <c:v>1750</c:v>
                </c:pt>
                <c:pt idx="11">
                  <c:v>2000</c:v>
                </c:pt>
                <c:pt idx="12">
                  <c:v>2250</c:v>
                </c:pt>
                <c:pt idx="13">
                  <c:v>2500</c:v>
                </c:pt>
                <c:pt idx="14">
                  <c:v>2750</c:v>
                </c:pt>
                <c:pt idx="15">
                  <c:v>3000</c:v>
                </c:pt>
                <c:pt idx="16">
                  <c:v>3250</c:v>
                </c:pt>
                <c:pt idx="17">
                  <c:v>3500</c:v>
                </c:pt>
                <c:pt idx="18">
                  <c:v>3750</c:v>
                </c:pt>
                <c:pt idx="19">
                  <c:v>4000</c:v>
                </c:pt>
                <c:pt idx="20">
                  <c:v>4250</c:v>
                </c:pt>
                <c:pt idx="21">
                  <c:v>4500</c:v>
                </c:pt>
                <c:pt idx="22">
                  <c:v>5000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A56-4972-AC65-C4CCF1424523}"/>
            </c:ext>
          </c:extLst>
        </c:ser>
        <c:ser>
          <c:idx val="2"/>
          <c:order val="2"/>
          <c:tx>
            <c:strRef>
              <c:f>'Fan Type Calc.'!$AE$3</c:f>
              <c:strCache>
                <c:ptCount val="1"/>
                <c:pt idx="0">
                  <c:v>Power Limit</c:v>
                </c:pt>
              </c:strCache>
            </c:strRef>
          </c:tx>
          <c:marker>
            <c:symbol val="none"/>
          </c:marker>
          <c:xVal>
            <c:numRef>
              <c:f>'Fan Type Calc.'!$AD$8:$AD$29</c:f>
              <c:numCache>
                <c:formatCode>_(* #,##0_);_(* \-#,##0;_(* "-"??_);_(@_)</c:formatCode>
                <c:ptCount val="22"/>
                <c:pt idx="0">
                  <c:v>21178.440476822019</c:v>
                </c:pt>
                <c:pt idx="1">
                  <c:v>59901.675504465988</c:v>
                </c:pt>
                <c:pt idx="2">
                  <c:v>110046.40479278674</c:v>
                </c:pt>
                <c:pt idx="3">
                  <c:v>236782.16281803479</c:v>
                </c:pt>
                <c:pt idx="4">
                  <c:v>669721.09197059902</c:v>
                </c:pt>
                <c:pt idx="5">
                  <c:v>1230356.208980652</c:v>
                </c:pt>
                <c:pt idx="6">
                  <c:v>1894257.3025442821</c:v>
                </c:pt>
                <c:pt idx="7">
                  <c:v>2647305.0596027509</c:v>
                </c:pt>
                <c:pt idx="8">
                  <c:v>3479972.8745807651</c:v>
                </c:pt>
                <c:pt idx="9">
                  <c:v>4385267.0239876788</c:v>
                </c:pt>
                <c:pt idx="10">
                  <c:v>5357768.7357647941</c:v>
                </c:pt>
                <c:pt idx="11">
                  <c:v>6393118.3960869508</c:v>
                </c:pt>
                <c:pt idx="12">
                  <c:v>7487709.438058258</c:v>
                </c:pt>
                <c:pt idx="13">
                  <c:v>8638493.5022788998</c:v>
                </c:pt>
                <c:pt idx="14">
                  <c:v>9842849.6718451828</c:v>
                </c:pt>
                <c:pt idx="15">
                  <c:v>11098492.979023928</c:v>
                </c:pt>
                <c:pt idx="16">
                  <c:v>12403408.199901765</c:v>
                </c:pt>
                <c:pt idx="17">
                  <c:v>13755800.599098336</c:v>
                </c:pt>
                <c:pt idx="18">
                  <c:v>15154058.420354234</c:v>
                </c:pt>
                <c:pt idx="19">
                  <c:v>16596723.748536294</c:v>
                </c:pt>
                <c:pt idx="20">
                  <c:v>18082469.483206209</c:v>
                </c:pt>
                <c:pt idx="21">
                  <c:v>21178440.476822015</c:v>
                </c:pt>
              </c:numCache>
            </c:numRef>
          </c:xVal>
          <c:yVal>
            <c:numRef>
              <c:f>'Fan Type Calc.'!$AE$8:$AE$29</c:f>
              <c:numCache>
                <c:formatCode>_-* #,##0_-;\-* #,##0_-;_-* "-"??_-;_-@_-</c:formatCode>
                <c:ptCount val="22"/>
                <c:pt idx="0">
                  <c:v>25999.41689248761</c:v>
                </c:pt>
                <c:pt idx="1">
                  <c:v>9192.1819957870412</c:v>
                </c:pt>
                <c:pt idx="2">
                  <c:v>5003.5901138836853</c:v>
                </c:pt>
                <c:pt idx="3">
                  <c:v>2325.4585418783527</c:v>
                </c:pt>
                <c:pt idx="4">
                  <c:v>822.17375216518121</c:v>
                </c:pt>
                <c:pt idx="5">
                  <c:v>447.53470504759218</c:v>
                </c:pt>
                <c:pt idx="6">
                  <c:v>290.68231773479351</c:v>
                </c:pt>
                <c:pt idx="7">
                  <c:v>207.99533513990104</c:v>
                </c:pt>
                <c:pt idx="8">
                  <c:v>158.22741237773707</c:v>
                </c:pt>
                <c:pt idx="9">
                  <c:v>125.56295889797951</c:v>
                </c:pt>
                <c:pt idx="10">
                  <c:v>102.77171902064762</c:v>
                </c:pt>
                <c:pt idx="11">
                  <c:v>86.128094143642528</c:v>
                </c:pt>
                <c:pt idx="12">
                  <c:v>73.537455966296235</c:v>
                </c:pt>
                <c:pt idx="13">
                  <c:v>63.741102883780627</c:v>
                </c:pt>
                <c:pt idx="14">
                  <c:v>55.941838130949222</c:v>
                </c:pt>
                <c:pt idx="15">
                  <c:v>49.612781134367623</c:v>
                </c:pt>
                <c:pt idx="16">
                  <c:v>44.393209851304483</c:v>
                </c:pt>
                <c:pt idx="17">
                  <c:v>40.028720911069492</c:v>
                </c:pt>
                <c:pt idx="18">
                  <c:v>36.335289716849239</c:v>
                </c:pt>
                <c:pt idx="19">
                  <c:v>33.176855350032021</c:v>
                </c:pt>
                <c:pt idx="20">
                  <c:v>30.450879709821464</c:v>
                </c:pt>
                <c:pt idx="21">
                  <c:v>25.999416892487616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A56-4972-AC65-C4CCF1424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797648"/>
        <c:axId val="485859776"/>
      </c:scatterChart>
      <c:valAx>
        <c:axId val="485797648"/>
        <c:scaling>
          <c:orientation val="minMax"/>
          <c:max val="60000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 m3/hr</a:t>
                </a:r>
              </a:p>
            </c:rich>
          </c:tx>
          <c:overlay val="0"/>
        </c:title>
        <c:numFmt formatCode="_(* #,##0_);_(* \-#,##0;_(* &quot;-&quot;??_);_(@_)" sourceLinked="1"/>
        <c:majorTickMark val="out"/>
        <c:minorTickMark val="none"/>
        <c:tickLblPos val="nextTo"/>
        <c:spPr>
          <a:ln w="38100" cmpd="sng">
            <a:solidFill>
              <a:schemeClr val="tx1"/>
            </a:solidFill>
          </a:ln>
        </c:spPr>
        <c:crossAx val="485859776"/>
        <c:crosses val="autoZero"/>
        <c:crossBetween val="midCat"/>
      </c:valAx>
      <c:valAx>
        <c:axId val="485859776"/>
        <c:scaling>
          <c:orientation val="minMax"/>
          <c:max val="5000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 mm h2o</a:t>
                </a:r>
              </a:p>
            </c:rich>
          </c:tx>
          <c:overlay val="0"/>
        </c:title>
        <c:numFmt formatCode="_(* #,##0_);_(* \-#,##0;_(* &quot;-&quot;??_);_(@_)" sourceLinked="1"/>
        <c:majorTickMark val="out"/>
        <c:minorTickMark val="none"/>
        <c:tickLblPos val="nextTo"/>
        <c:spPr>
          <a:ln w="38100">
            <a:solidFill>
              <a:sysClr val="windowText" lastClr="000000"/>
            </a:solidFill>
          </a:ln>
        </c:spPr>
        <c:crossAx val="48579764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3200"/>
              <a:t>FAN TYPE SELECTION</a:t>
            </a:r>
          </a:p>
        </c:rich>
      </c:tx>
      <c:layout>
        <c:manualLayout>
          <c:xMode val="edge"/>
          <c:yMode val="edge"/>
          <c:x val="0.38982503023205556"/>
          <c:y val="4.0000000000000001E-3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5"/>
          <c:order val="0"/>
          <c:tx>
            <c:strRef>
              <c:f>'Fan Type Calc.'!$T$29</c:f>
              <c:strCache>
                <c:ptCount val="1"/>
                <c:pt idx="0">
                  <c:v>Centrifugal Limit</c:v>
                </c:pt>
              </c:strCache>
            </c:strRef>
          </c:tx>
          <c:spPr>
            <a:ln w="635000">
              <a:gradFill flip="none" rotWithShape="1">
                <a:gsLst>
                  <a:gs pos="0">
                    <a:srgbClr val="FF0000"/>
                  </a:gs>
                  <a:gs pos="50000">
                    <a:srgbClr val="FFFF00"/>
                  </a:gs>
                  <a:gs pos="100000">
                    <a:srgbClr val="00B050"/>
                  </a:gs>
                </a:gsLst>
                <a:lin ang="0" scaled="1"/>
                <a:tileRect/>
              </a:gradFill>
            </a:ln>
          </c:spPr>
          <c:marker>
            <c:symbol val="none"/>
          </c:marker>
          <c:xVal>
            <c:numRef>
              <c:f>('Fan Type Calc.'!$T$32,'Fan Type Calc.'!$T$32)</c:f>
              <c:numCache>
                <c:formatCode>_(* #,##0.00_);_(* \-#,##0.00;_(* "-"??_);_(@_)</c:formatCode>
                <c:ptCount val="2"/>
                <c:pt idx="0">
                  <c:v>0.1</c:v>
                </c:pt>
                <c:pt idx="1">
                  <c:v>0.1</c:v>
                </c:pt>
              </c:numCache>
            </c:numRef>
          </c:xVal>
          <c:yVal>
            <c:numRef>
              <c:f>('Fan Type Calc.'!$U$32,'Fan Type Calc.'!$U$33)</c:f>
              <c:numCache>
                <c:formatCode>_(* #,##0_);_(* \-#,##0;_(* "-"??_);_(@_)</c:formatCode>
                <c:ptCount val="2"/>
                <c:pt idx="0">
                  <c:v>0</c:v>
                </c:pt>
                <c:pt idx="1">
                  <c:v>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0CE-43AC-840B-ECF2F23DA58B}"/>
            </c:ext>
          </c:extLst>
        </c:ser>
        <c:ser>
          <c:idx val="2"/>
          <c:order val="1"/>
          <c:tx>
            <c:strRef>
              <c:f>'Fan Type Calc.'!$T$29</c:f>
              <c:strCache>
                <c:ptCount val="1"/>
                <c:pt idx="0">
                  <c:v>Centrifugal Limit</c:v>
                </c:pt>
              </c:strCache>
            </c:strRef>
          </c:tx>
          <c:spPr>
            <a:ln w="635000">
              <a:gradFill flip="none" rotWithShape="1">
                <a:gsLst>
                  <a:gs pos="0">
                    <a:srgbClr val="00B050"/>
                  </a:gs>
                  <a:gs pos="50000">
                    <a:srgbClr val="FFFF00"/>
                  </a:gs>
                  <a:gs pos="100000">
                    <a:srgbClr val="FF0000"/>
                  </a:gs>
                </a:gsLst>
                <a:lin ang="0" scaled="1"/>
                <a:tileRect/>
              </a:gradFill>
            </a:ln>
          </c:spPr>
          <c:marker>
            <c:symbol val="none"/>
          </c:marker>
          <c:xVal>
            <c:numRef>
              <c:f>('Fan Type Calc.'!$T$30,'Fan Type Calc.'!$T$30)</c:f>
              <c:numCache>
                <c:formatCode>_(* #,##0.00_);_(* \-#,##0.00;_(* "-"??_);_(@_)</c:formatCode>
                <c:ptCount val="2"/>
                <c:pt idx="0">
                  <c:v>0.75</c:v>
                </c:pt>
                <c:pt idx="1">
                  <c:v>0.75</c:v>
                </c:pt>
              </c:numCache>
            </c:numRef>
          </c:xVal>
          <c:yVal>
            <c:numRef>
              <c:f>('Fan Type Calc.'!$U$30,'Fan Type Calc.'!$U$31)</c:f>
              <c:numCache>
                <c:formatCode>_(* #,##0_);_(* \-#,##0;_(* "-"??_);_(@_)</c:formatCode>
                <c:ptCount val="2"/>
                <c:pt idx="0">
                  <c:v>0</c:v>
                </c:pt>
                <c:pt idx="1">
                  <c:v>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0CE-43AC-840B-ECF2F23DA58B}"/>
            </c:ext>
          </c:extLst>
        </c:ser>
        <c:ser>
          <c:idx val="0"/>
          <c:order val="2"/>
          <c:tx>
            <c:strRef>
              <c:f>'Fan Type Calc.'!$T$4:$W$4</c:f>
              <c:strCache>
                <c:ptCount val="1"/>
                <c:pt idx="0">
                  <c:v>sigma log(sigma) PSI delta</c:v>
                </c:pt>
              </c:strCache>
            </c:strRef>
          </c:tx>
          <c:marker>
            <c:symbol val="none"/>
          </c:marker>
          <c:xVal>
            <c:numRef>
              <c:f>'Fan Type Calc.'!$T$5:$T$27</c:f>
              <c:numCache>
                <c:formatCode>_(* #,##0.00_);_(* \-#,##0.00;_(* "-"??_);_(@_)</c:formatCode>
                <c:ptCount val="23"/>
                <c:pt idx="0">
                  <c:v>1.2000000000000004</c:v>
                </c:pt>
                <c:pt idx="1">
                  <c:v>1.1500000000000004</c:v>
                </c:pt>
                <c:pt idx="2">
                  <c:v>1.1000000000000003</c:v>
                </c:pt>
                <c:pt idx="3">
                  <c:v>1.0500000000000003</c:v>
                </c:pt>
                <c:pt idx="4">
                  <c:v>1.0000000000000002</c:v>
                </c:pt>
                <c:pt idx="5">
                  <c:v>0.95000000000000029</c:v>
                </c:pt>
                <c:pt idx="6">
                  <c:v>0.90000000000000024</c:v>
                </c:pt>
                <c:pt idx="7">
                  <c:v>0.8500000000000002</c:v>
                </c:pt>
                <c:pt idx="8">
                  <c:v>0.80000000000000016</c:v>
                </c:pt>
                <c:pt idx="9">
                  <c:v>0.75000000000000011</c:v>
                </c:pt>
                <c:pt idx="10">
                  <c:v>0.70000000000000007</c:v>
                </c:pt>
                <c:pt idx="11">
                  <c:v>0.65</c:v>
                </c:pt>
                <c:pt idx="12">
                  <c:v>0.6</c:v>
                </c:pt>
                <c:pt idx="13">
                  <c:v>0.54999999999999993</c:v>
                </c:pt>
                <c:pt idx="14">
                  <c:v>0.49999999999999994</c:v>
                </c:pt>
                <c:pt idx="15">
                  <c:v>0.44999999999999996</c:v>
                </c:pt>
                <c:pt idx="16">
                  <c:v>0.39999999999999997</c:v>
                </c:pt>
                <c:pt idx="17">
                  <c:v>0.35</c:v>
                </c:pt>
                <c:pt idx="18">
                  <c:v>0.3</c:v>
                </c:pt>
                <c:pt idx="19">
                  <c:v>0.25</c:v>
                </c:pt>
                <c:pt idx="20">
                  <c:v>0.2</c:v>
                </c:pt>
                <c:pt idx="21">
                  <c:v>0.15000000000000002</c:v>
                </c:pt>
                <c:pt idx="22">
                  <c:v>0.1</c:v>
                </c:pt>
              </c:numCache>
            </c:numRef>
          </c:xVal>
          <c:yVal>
            <c:numRef>
              <c:f>'Fan Type Calc.'!$W$5:$W$27</c:f>
              <c:numCache>
                <c:formatCode>_(* #,##0.0_);_(* \-#,##0.0;_(* "-"??_);_(@_)</c:formatCode>
                <c:ptCount val="23"/>
                <c:pt idx="0">
                  <c:v>1.4270400783536472</c:v>
                </c:pt>
                <c:pt idx="1">
                  <c:v>1.454237051116839</c:v>
                </c:pt>
                <c:pt idx="2">
                  <c:v>1.4838069383565089</c:v>
                </c:pt>
                <c:pt idx="3">
                  <c:v>1.5160846025250829</c:v>
                </c:pt>
                <c:pt idx="4">
                  <c:v>1.5514722067892768</c:v>
                </c:pt>
                <c:pt idx="5">
                  <c:v>1.5904571803159357</c:v>
                </c:pt>
                <c:pt idx="6">
                  <c:v>1.6336362929180528</c:v>
                </c:pt>
                <c:pt idx="7">
                  <c:v>1.6817484154010878</c:v>
                </c:pt>
                <c:pt idx="8">
                  <c:v>1.735719864985616</c:v>
                </c:pt>
                <c:pt idx="9">
                  <c:v>1.7967283754112209</c:v>
                </c:pt>
                <c:pt idx="10">
                  <c:v>1.8662952908662922</c:v>
                </c:pt>
                <c:pt idx="11">
                  <c:v>1.9464216904259914</c:v>
                </c:pt>
                <c:pt idx="12">
                  <c:v>2.0397950057679184</c:v>
                </c:pt>
                <c:pt idx="13">
                  <c:v>2.1501127860509404</c:v>
                </c:pt>
                <c:pt idx="14">
                  <c:v>2.2826092191348621</c:v>
                </c:pt>
                <c:pt idx="15">
                  <c:v>2.444949776043845</c:v>
                </c:pt>
                <c:pt idx="16">
                  <c:v>2.6488335332060342</c:v>
                </c:pt>
                <c:pt idx="17">
                  <c:v>2.9130539844292533</c:v>
                </c:pt>
                <c:pt idx="18">
                  <c:v>3.2698382588292727</c:v>
                </c:pt>
                <c:pt idx="19">
                  <c:v>3.7794260972471108</c:v>
                </c:pt>
                <c:pt idx="20">
                  <c:v>4.5687088600097159</c:v>
                </c:pt>
                <c:pt idx="21">
                  <c:v>5.9569502577467786</c:v>
                </c:pt>
                <c:pt idx="22">
                  <c:v>9.0253624129547383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0CE-43AC-840B-ECF2F23DA58B}"/>
            </c:ext>
          </c:extLst>
        </c:ser>
        <c:ser>
          <c:idx val="3"/>
          <c:order val="4"/>
          <c:tx>
            <c:strRef>
              <c:f>'Fan Type Calc.'!$F$48</c:f>
              <c:strCache>
                <c:ptCount val="1"/>
                <c:pt idx="0">
                  <c:v>Max Rev</c:v>
                </c:pt>
              </c:strCache>
            </c:strRef>
          </c:tx>
          <c:marker>
            <c:symbol val="diamond"/>
            <c:size val="7"/>
            <c:spPr>
              <a:solidFill>
                <a:sysClr val="windowText" lastClr="000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'Fan Type Calc.'!$J$49</c:f>
              <c:numCache>
                <c:formatCode>_(* #,##0.0000_);_(* \-#,##0.0000;_(* "-"??_);_(@_)</c:formatCode>
                <c:ptCount val="1"/>
                <c:pt idx="0">
                  <c:v>0.26397812778630791</c:v>
                </c:pt>
              </c:numCache>
            </c:numRef>
          </c:xVal>
          <c:yVal>
            <c:numRef>
              <c:f>'Fan Type Calc.'!$J$50</c:f>
              <c:numCache>
                <c:formatCode>_(* #,##0.0000_);_(* \-#,##0.0000;_(* "-"??_);_(@_)</c:formatCode>
                <c:ptCount val="1"/>
                <c:pt idx="0">
                  <c:v>3.6161614445475485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0CE-43AC-840B-ECF2F23DA58B}"/>
            </c:ext>
          </c:extLst>
        </c:ser>
        <c:ser>
          <c:idx val="4"/>
          <c:order val="5"/>
          <c:tx>
            <c:strRef>
              <c:f>'Fan Type Calc.'!$F$52</c:f>
              <c:strCache>
                <c:ptCount val="1"/>
                <c:pt idx="0">
                  <c:v>Min Rev</c:v>
                </c:pt>
              </c:strCache>
            </c:strRef>
          </c:tx>
          <c:marker>
            <c:symbol val="diamond"/>
            <c:size val="7"/>
            <c:spPr>
              <a:solidFill>
                <a:schemeClr val="tx1"/>
              </a:solidFill>
            </c:spPr>
          </c:marker>
          <c:dLbls>
            <c:dLbl>
              <c:idx val="0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70CE-43AC-840B-ECF2F23DA58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'Fan Type Calc.'!$J$53</c:f>
              <c:numCache>
                <c:formatCode>_(* #,##0.0000_);_(* \-#,##0.0000;_(* "-"??_);_(@_)</c:formatCode>
                <c:ptCount val="1"/>
                <c:pt idx="0">
                  <c:v>5.279562555726159E-2</c:v>
                </c:pt>
              </c:numCache>
            </c:numRef>
          </c:xVal>
          <c:yVal>
            <c:numRef>
              <c:f>'Fan Type Calc.'!$J$54</c:f>
              <c:numCache>
                <c:formatCode>_(* #,##0.0000_);_(* \-#,##0.0000;_(* "-"??_);_(@_)</c:formatCode>
                <c:ptCount val="1"/>
                <c:pt idx="0">
                  <c:v>19.278689025585749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70CE-43AC-840B-ECF2F23DA58B}"/>
            </c:ext>
          </c:extLst>
        </c:ser>
        <c:ser>
          <c:idx val="1"/>
          <c:order val="6"/>
          <c:tx>
            <c:strRef>
              <c:f>'Fan Type Calc.'!$F$44</c:f>
              <c:strCache>
                <c:ptCount val="1"/>
                <c:pt idx="0">
                  <c:v>OP</c:v>
                </c:pt>
              </c:strCache>
            </c:strRef>
          </c:tx>
          <c:marker>
            <c:symbol val="diamond"/>
            <c:size val="7"/>
            <c:spPr>
              <a:solidFill>
                <a:schemeClr val="tx1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'Fan Type Calc.'!$J$45</c:f>
              <c:numCache>
                <c:formatCode>_(* #,##0.0000_);_(* \-#,##0.0000;_(* "-"??_);_(@_)</c:formatCode>
                <c:ptCount val="1"/>
                <c:pt idx="0">
                  <c:v>0.14715702613761439</c:v>
                </c:pt>
              </c:numCache>
            </c:numRef>
          </c:xVal>
          <c:yVal>
            <c:numRef>
              <c:f>'Fan Type Calc.'!$J$46</c:f>
              <c:numCache>
                <c:formatCode>_(* #,##0.0000_);_(* \-#,##0.0000;_(* "-"??_);_(@_)</c:formatCode>
                <c:ptCount val="1"/>
                <c:pt idx="0">
                  <c:v>6.0681824771527273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70CE-43AC-840B-ECF2F23DA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83688"/>
        <c:axId val="483484080"/>
      </c:scatterChart>
      <c:scatterChart>
        <c:scatterStyle val="smoothMarker"/>
        <c:varyColors val="0"/>
        <c:ser>
          <c:idx val="29"/>
          <c:order val="3"/>
          <c:tx>
            <c:strRef>
              <c:f>'Fan Type Calc.'!$X$4</c:f>
              <c:strCache>
                <c:ptCount val="1"/>
                <c:pt idx="0">
                  <c:v>Eff.</c:v>
                </c:pt>
              </c:strCache>
            </c:strRef>
          </c:tx>
          <c:marker>
            <c:symbol val="none"/>
          </c:marker>
          <c:xVal>
            <c:numRef>
              <c:f>'Fan Type Calc.'!$T$5:$T$27</c:f>
              <c:numCache>
                <c:formatCode>_(* #,##0.00_);_(* \-#,##0.00;_(* "-"??_);_(@_)</c:formatCode>
                <c:ptCount val="23"/>
                <c:pt idx="0">
                  <c:v>1.2000000000000004</c:v>
                </c:pt>
                <c:pt idx="1">
                  <c:v>1.1500000000000004</c:v>
                </c:pt>
                <c:pt idx="2">
                  <c:v>1.1000000000000003</c:v>
                </c:pt>
                <c:pt idx="3">
                  <c:v>1.0500000000000003</c:v>
                </c:pt>
                <c:pt idx="4">
                  <c:v>1.0000000000000002</c:v>
                </c:pt>
                <c:pt idx="5">
                  <c:v>0.95000000000000029</c:v>
                </c:pt>
                <c:pt idx="6">
                  <c:v>0.90000000000000024</c:v>
                </c:pt>
                <c:pt idx="7">
                  <c:v>0.8500000000000002</c:v>
                </c:pt>
                <c:pt idx="8">
                  <c:v>0.80000000000000016</c:v>
                </c:pt>
                <c:pt idx="9">
                  <c:v>0.75000000000000011</c:v>
                </c:pt>
                <c:pt idx="10">
                  <c:v>0.70000000000000007</c:v>
                </c:pt>
                <c:pt idx="11">
                  <c:v>0.65</c:v>
                </c:pt>
                <c:pt idx="12">
                  <c:v>0.6</c:v>
                </c:pt>
                <c:pt idx="13">
                  <c:v>0.54999999999999993</c:v>
                </c:pt>
                <c:pt idx="14">
                  <c:v>0.49999999999999994</c:v>
                </c:pt>
                <c:pt idx="15">
                  <c:v>0.44999999999999996</c:v>
                </c:pt>
                <c:pt idx="16">
                  <c:v>0.39999999999999997</c:v>
                </c:pt>
                <c:pt idx="17">
                  <c:v>0.35</c:v>
                </c:pt>
                <c:pt idx="18">
                  <c:v>0.3</c:v>
                </c:pt>
                <c:pt idx="19">
                  <c:v>0.25</c:v>
                </c:pt>
                <c:pt idx="20">
                  <c:v>0.2</c:v>
                </c:pt>
                <c:pt idx="21">
                  <c:v>0.15000000000000002</c:v>
                </c:pt>
                <c:pt idx="22">
                  <c:v>0.1</c:v>
                </c:pt>
              </c:numCache>
            </c:numRef>
          </c:xVal>
          <c:yVal>
            <c:numRef>
              <c:f>'Fan Type Calc.'!$X$5:$X$27</c:f>
              <c:numCache>
                <c:formatCode>0%</c:formatCode>
                <c:ptCount val="23"/>
                <c:pt idx="0">
                  <c:v>0.78963032006907463</c:v>
                </c:pt>
                <c:pt idx="1">
                  <c:v>0.79144037708394976</c:v>
                </c:pt>
                <c:pt idx="2">
                  <c:v>0.79361988647323023</c:v>
                </c:pt>
                <c:pt idx="3">
                  <c:v>0.79619069607329174</c:v>
                </c:pt>
                <c:pt idx="4">
                  <c:v>0.79917520293823352</c:v>
                </c:pt>
                <c:pt idx="5">
                  <c:v>0.80259575964204466</c:v>
                </c:pt>
                <c:pt idx="6">
                  <c:v>0.80647370698650178</c:v>
                </c:pt>
                <c:pt idx="7">
                  <c:v>0.81082782972204237</c:v>
                </c:pt>
                <c:pt idx="8">
                  <c:v>0.81567191451966647</c:v>
                </c:pt>
                <c:pt idx="9">
                  <c:v>0.82101089664494931</c:v>
                </c:pt>
                <c:pt idx="10">
                  <c:v>0.82683475869002665</c:v>
                </c:pt>
                <c:pt idx="11">
                  <c:v>0.8331087908582816</c:v>
                </c:pt>
                <c:pt idx="12">
                  <c:v>0.83975784835365697</c:v>
                </c:pt>
                <c:pt idx="13">
                  <c:v>0.84664047877133941</c:v>
                </c:pt>
                <c:pt idx="14">
                  <c:v>0.85350549642134788</c:v>
                </c:pt>
                <c:pt idx="15">
                  <c:v>0.85991718381879456</c:v>
                </c:pt>
                <c:pt idx="16">
                  <c:v>0.86512234600801541</c:v>
                </c:pt>
                <c:pt idx="17">
                  <c:v>0.86780489251407511</c:v>
                </c:pt>
                <c:pt idx="18">
                  <c:v>0.86561164027111293</c:v>
                </c:pt>
                <c:pt idx="19">
                  <c:v>0.85418438326437196</c:v>
                </c:pt>
                <c:pt idx="20">
                  <c:v>0.82505112887815613</c:v>
                </c:pt>
                <c:pt idx="21">
                  <c:v>0.76068553507535552</c:v>
                </c:pt>
                <c:pt idx="22">
                  <c:v>0.62229999858935348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70CE-43AC-840B-ECF2F23DA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84864"/>
        <c:axId val="483484472"/>
      </c:scatterChart>
      <c:valAx>
        <c:axId val="483483688"/>
        <c:scaling>
          <c:orientation val="minMax"/>
          <c:max val="1.5"/>
        </c:scaling>
        <c:delete val="0"/>
        <c:axPos val="b"/>
        <c:title>
          <c:tx>
            <c:strRef>
              <c:f>'Fan Type Calc.'!$G$45</c:f>
              <c:strCache>
                <c:ptCount val="1"/>
                <c:pt idx="0">
                  <c:v>sigma, rev. Speed number</c:v>
                </c:pt>
              </c:strCache>
            </c:strRef>
          </c:tx>
          <c:overlay val="0"/>
        </c:title>
        <c:numFmt formatCode="_(* #,##0.00_);_(* \-#,##0.00;_(* &quot;-&quot;??_);_(@_)" sourceLinked="1"/>
        <c:majorTickMark val="none"/>
        <c:minorTickMark val="none"/>
        <c:tickLblPos val="nextTo"/>
        <c:crossAx val="483484080"/>
        <c:crosses val="autoZero"/>
        <c:crossBetween val="midCat"/>
        <c:majorUnit val="0.1"/>
      </c:valAx>
      <c:valAx>
        <c:axId val="483484080"/>
        <c:scaling>
          <c:orientation val="minMax"/>
          <c:max val="20"/>
        </c:scaling>
        <c:delete val="0"/>
        <c:axPos val="l"/>
        <c:majorGridlines/>
        <c:title>
          <c:tx>
            <c:strRef>
              <c:f>'Fan Type Calc.'!$G$46</c:f>
              <c:strCache>
                <c:ptCount val="1"/>
                <c:pt idx="0">
                  <c:v>delta, diameter number</c:v>
                </c:pt>
              </c:strCache>
            </c:strRef>
          </c:tx>
          <c:overlay val="0"/>
        </c:title>
        <c:numFmt formatCode="_(* #,##0_);_(* \-#,##0;_(* &quot;-&quot;??_);_(@_)" sourceLinked="1"/>
        <c:majorTickMark val="none"/>
        <c:minorTickMark val="none"/>
        <c:tickLblPos val="nextTo"/>
        <c:crossAx val="483483688"/>
        <c:crossesAt val="0"/>
        <c:crossBetween val="midCat"/>
        <c:majorUnit val="1"/>
      </c:valAx>
      <c:valAx>
        <c:axId val="48348447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483484864"/>
        <c:crosses val="max"/>
        <c:crossBetween val="midCat"/>
      </c:valAx>
      <c:valAx>
        <c:axId val="483484864"/>
        <c:scaling>
          <c:orientation val="minMax"/>
        </c:scaling>
        <c:delete val="1"/>
        <c:axPos val="b"/>
        <c:numFmt formatCode="_(* #,##0.00_);_(* \-#,##0.00;_(* &quot;-&quot;??_);_(@_)" sourceLinked="1"/>
        <c:majorTickMark val="out"/>
        <c:minorTickMark val="none"/>
        <c:tickLblPos val="none"/>
        <c:crossAx val="483484472"/>
        <c:crosses val="autoZero"/>
        <c:crossBetween val="midCat"/>
      </c:valAx>
      <c:spPr>
        <a:gradFill>
          <a:gsLst>
            <a:gs pos="0">
              <a:srgbClr val="FF0000"/>
            </a:gs>
            <a:gs pos="13000">
              <a:srgbClr val="00B050"/>
            </a:gs>
            <a:gs pos="100000">
              <a:srgbClr val="FF0000"/>
            </a:gs>
          </a:gsLst>
          <a:lin ang="0" scaled="1"/>
        </a:gradFill>
        <a:ln w="25400" cap="flat" cmpd="sng" algn="ctr">
          <a:solidFill>
            <a:schemeClr val="dk1"/>
          </a:solidFill>
          <a:prstDash val="solid"/>
        </a:ln>
        <a:effectLst/>
      </c:spPr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'Curves (Std. conditions)'!$B$48</c:f>
          <c:strCache>
            <c:ptCount val="1"/>
            <c:pt idx="0">
              <c:v>GT 106-44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9548144717204523E-2"/>
          <c:y val="0.13969159118268121"/>
          <c:w val="0.784902777873004"/>
          <c:h val="0.7450991367057533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'Curves (Std. conditions)'!$M$18</c:f>
              <c:strCache>
                <c:ptCount val="1"/>
                <c:pt idx="0">
                  <c:v>4000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'Curves (Std. conditions)'!$O$18:$O$27</c:f>
              <c:numCache>
                <c:formatCode>0</c:formatCode>
                <c:ptCount val="10"/>
                <c:pt idx="0">
                  <c:v>11419.074510631594</c:v>
                </c:pt>
                <c:pt idx="1">
                  <c:v>19684.60893562499</c:v>
                </c:pt>
                <c:pt idx="2">
                  <c:v>28313.53990404342</c:v>
                </c:pt>
                <c:pt idx="3">
                  <c:v>33908.349437351557</c:v>
                </c:pt>
                <c:pt idx="4">
                  <c:v>38121.680343291264</c:v>
                </c:pt>
                <c:pt idx="5">
                  <c:v>40976.177929166915</c:v>
                </c:pt>
                <c:pt idx="6">
                  <c:v>42515.344843366969</c:v>
                </c:pt>
                <c:pt idx="7">
                  <c:v>42515.344843366969</c:v>
                </c:pt>
                <c:pt idx="8">
                  <c:v>42515.344843366969</c:v>
                </c:pt>
                <c:pt idx="9">
                  <c:v>42515.344843366969</c:v>
                </c:pt>
              </c:numCache>
            </c:numRef>
          </c:xVal>
          <c:yVal>
            <c:numRef>
              <c:f>'Curves (Std. conditions)'!$N$18:$N$27</c:f>
              <c:numCache>
                <c:formatCode>0</c:formatCode>
                <c:ptCount val="10"/>
                <c:pt idx="0">
                  <c:v>4085.7093182644167</c:v>
                </c:pt>
                <c:pt idx="1">
                  <c:v>4201.0842524835207</c:v>
                </c:pt>
                <c:pt idx="2">
                  <c:v>3659.2443409324669</c:v>
                </c:pt>
                <c:pt idx="3">
                  <c:v>2907.5930674773017</c:v>
                </c:pt>
                <c:pt idx="4">
                  <c:v>2061.3607689803757</c:v>
                </c:pt>
                <c:pt idx="5">
                  <c:v>1317.147430130804</c:v>
                </c:pt>
                <c:pt idx="6">
                  <c:v>884.94664999877887</c:v>
                </c:pt>
                <c:pt idx="7">
                  <c:v>884.94664999877887</c:v>
                </c:pt>
                <c:pt idx="8">
                  <c:v>884.94664999877887</c:v>
                </c:pt>
                <c:pt idx="9">
                  <c:v>884.94664999877887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2D0-4E58-83E0-5EB8F41700F4}"/>
            </c:ext>
          </c:extLst>
        </c:ser>
        <c:ser>
          <c:idx val="1"/>
          <c:order val="1"/>
          <c:tx>
            <c:strRef>
              <c:f>'Curves (Std. conditions)'!$M$8</c:f>
              <c:strCache>
                <c:ptCount val="1"/>
                <c:pt idx="0">
                  <c:v>1672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'Curves (Std. conditions)'!$O$8:$O$17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(Std. conditions)'!$N$8:$N$17</c:f>
              <c:numCache>
                <c:formatCode>0</c:formatCode>
                <c:ptCount val="10"/>
                <c:pt idx="0">
                  <c:v>714.19385389401737</c:v>
                </c:pt>
                <c:pt idx="1">
                  <c:v>734.36172744888722</c:v>
                </c:pt>
                <c:pt idx="2">
                  <c:v>639.64653738523714</c:v>
                </c:pt>
                <c:pt idx="3">
                  <c:v>508.25571196025805</c:v>
                </c:pt>
                <c:pt idx="4">
                  <c:v>360.33184869094299</c:v>
                </c:pt>
                <c:pt idx="5">
                  <c:v>230.2411958350778</c:v>
                </c:pt>
                <c:pt idx="6">
                  <c:v>154.69124433984632</c:v>
                </c:pt>
                <c:pt idx="7">
                  <c:v>154.69124433984632</c:v>
                </c:pt>
                <c:pt idx="8">
                  <c:v>154.69124433984632</c:v>
                </c:pt>
                <c:pt idx="9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2D0-4E58-83E0-5EB8F41700F4}"/>
            </c:ext>
          </c:extLst>
        </c:ser>
        <c:ser>
          <c:idx val="2"/>
          <c:order val="2"/>
          <c:tx>
            <c:strRef>
              <c:f>'Curves (Std. conditions)'!$M$28</c:f>
              <c:strCache>
                <c:ptCount val="1"/>
                <c:pt idx="0">
                  <c:v>1000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'Curves (Std. conditions)'!$O$28:$O$37</c:f>
              <c:numCache>
                <c:formatCode>0</c:formatCode>
                <c:ptCount val="10"/>
                <c:pt idx="0">
                  <c:v>2854.7686276578984</c:v>
                </c:pt>
                <c:pt idx="1">
                  <c:v>4921.1522339062476</c:v>
                </c:pt>
                <c:pt idx="2">
                  <c:v>7078.3849760108551</c:v>
                </c:pt>
                <c:pt idx="3">
                  <c:v>8477.0873593378892</c:v>
                </c:pt>
                <c:pt idx="4">
                  <c:v>9530.420085822816</c:v>
                </c:pt>
                <c:pt idx="5">
                  <c:v>10244.044482291729</c:v>
                </c:pt>
                <c:pt idx="6">
                  <c:v>10628.836210841742</c:v>
                </c:pt>
                <c:pt idx="7">
                  <c:v>10628.836210841742</c:v>
                </c:pt>
                <c:pt idx="8">
                  <c:v>10628.836210841742</c:v>
                </c:pt>
                <c:pt idx="9">
                  <c:v>10628.836210841742</c:v>
                </c:pt>
              </c:numCache>
            </c:numRef>
          </c:xVal>
          <c:yVal>
            <c:numRef>
              <c:f>'Curves (Std. conditions)'!$N$28:$N$37</c:f>
              <c:numCache>
                <c:formatCode>0</c:formatCode>
                <c:ptCount val="10"/>
                <c:pt idx="0">
                  <c:v>255.35683239152604</c:v>
                </c:pt>
                <c:pt idx="1">
                  <c:v>262.56776578022004</c:v>
                </c:pt>
                <c:pt idx="2">
                  <c:v>228.70277130827918</c:v>
                </c:pt>
                <c:pt idx="3">
                  <c:v>181.72456671733136</c:v>
                </c:pt>
                <c:pt idx="4">
                  <c:v>128.83504806127348</c:v>
                </c:pt>
                <c:pt idx="5">
                  <c:v>82.321714383175248</c:v>
                </c:pt>
                <c:pt idx="6">
                  <c:v>55.309165624923679</c:v>
                </c:pt>
                <c:pt idx="7">
                  <c:v>55.309165624923679</c:v>
                </c:pt>
                <c:pt idx="8">
                  <c:v>55.309165624923679</c:v>
                </c:pt>
                <c:pt idx="9">
                  <c:v>55.309165624923679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2D0-4E58-83E0-5EB8F41700F4}"/>
            </c:ext>
          </c:extLst>
        </c:ser>
        <c:ser>
          <c:idx val="3"/>
          <c:order val="3"/>
          <c:tx>
            <c:strRef>
              <c:f>'Curves (Std. conditions)'!$R$18</c:f>
              <c:strCache>
                <c:ptCount val="1"/>
                <c:pt idx="0">
                  <c:v>65%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conditions)'!$O$18,'Curves (Std. conditions)'!$O$8,'Curves (Std. conditions)'!$O$28)</c:f>
              <c:numCache>
                <c:formatCode>0</c:formatCode>
                <c:ptCount val="3"/>
                <c:pt idx="0">
                  <c:v>11419.074510631594</c:v>
                </c:pt>
                <c:pt idx="1">
                  <c:v>4774.2507882755517</c:v>
                </c:pt>
                <c:pt idx="2">
                  <c:v>2854.7686276578984</c:v>
                </c:pt>
              </c:numCache>
            </c:numRef>
          </c:xVal>
          <c:yVal>
            <c:numRef>
              <c:f>('Curves (Std. conditions)'!$N$18,'Curves (Std. conditions)'!$N$8,'Curves (Std. conditions)'!$N$28)</c:f>
              <c:numCache>
                <c:formatCode>0</c:formatCode>
                <c:ptCount val="3"/>
                <c:pt idx="0">
                  <c:v>4085.7093182644167</c:v>
                </c:pt>
                <c:pt idx="1">
                  <c:v>714.19385389401737</c:v>
                </c:pt>
                <c:pt idx="2">
                  <c:v>255.35683239152604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2D0-4E58-83E0-5EB8F41700F4}"/>
            </c:ext>
          </c:extLst>
        </c:ser>
        <c:ser>
          <c:idx val="9"/>
          <c:order val="4"/>
          <c:tx>
            <c:strRef>
              <c:f>'Curves (Std. conditions)'!$R$19</c:f>
              <c:strCache>
                <c:ptCount val="1"/>
                <c:pt idx="0">
                  <c:v>87%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conditions)'!$O$19,'Curves (Std. conditions)'!$O$9,'Curves (Std. conditions)'!$O$29)</c:f>
              <c:numCache>
                <c:formatCode>0</c:formatCode>
                <c:ptCount val="3"/>
                <c:pt idx="0">
                  <c:v>19684.60893562499</c:v>
                </c:pt>
                <c:pt idx="1">
                  <c:v>8230.0242143358737</c:v>
                </c:pt>
                <c:pt idx="2">
                  <c:v>4921.1522339062476</c:v>
                </c:pt>
              </c:numCache>
            </c:numRef>
          </c:xVal>
          <c:yVal>
            <c:numRef>
              <c:f>('Curves (Std. conditions)'!$N$19,'Curves (Std. conditions)'!$N$9,'Curves (Std. conditions)'!$N$29)</c:f>
              <c:numCache>
                <c:formatCode>0</c:formatCode>
                <c:ptCount val="3"/>
                <c:pt idx="0">
                  <c:v>4201.0842524835207</c:v>
                </c:pt>
                <c:pt idx="1">
                  <c:v>734.36172744888722</c:v>
                </c:pt>
                <c:pt idx="2">
                  <c:v>262.56776578022004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42D0-4E58-83E0-5EB8F41700F4}"/>
            </c:ext>
          </c:extLst>
        </c:ser>
        <c:ser>
          <c:idx val="10"/>
          <c:order val="5"/>
          <c:tx>
            <c:strRef>
              <c:f>'Curves (Std. conditions)'!$R$20</c:f>
              <c:strCache>
                <c:ptCount val="1"/>
                <c:pt idx="0">
                  <c:v>85%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conditions)'!$O$20,'Curves (Std. conditions)'!$O$10,'Curves (Std. conditions)'!$O$30)</c:f>
              <c:numCache>
                <c:formatCode>0</c:formatCode>
                <c:ptCount val="3"/>
                <c:pt idx="0">
                  <c:v>28313.53990404342</c:v>
                </c:pt>
                <c:pt idx="1">
                  <c:v>11837.731690067933</c:v>
                </c:pt>
                <c:pt idx="2">
                  <c:v>7078.3849760108551</c:v>
                </c:pt>
              </c:numCache>
            </c:numRef>
          </c:xVal>
          <c:yVal>
            <c:numRef>
              <c:f>('Curves (Std. conditions)'!$N$20,'Curves (Std. conditions)'!$N$10,'Curves (Std. conditions)'!$N$30)</c:f>
              <c:numCache>
                <c:formatCode>0</c:formatCode>
                <c:ptCount val="3"/>
                <c:pt idx="0">
                  <c:v>3659.2443409324669</c:v>
                </c:pt>
                <c:pt idx="1">
                  <c:v>639.64653738523714</c:v>
                </c:pt>
                <c:pt idx="2">
                  <c:v>228.70277130827918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42D0-4E58-83E0-5EB8F41700F4}"/>
            </c:ext>
          </c:extLst>
        </c:ser>
        <c:ser>
          <c:idx val="17"/>
          <c:order val="6"/>
          <c:tx>
            <c:strRef>
              <c:f>'Curves (Std. conditions)'!$R$21</c:f>
              <c:strCache>
                <c:ptCount val="1"/>
                <c:pt idx="0">
                  <c:v>72%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conditions)'!$O$21,'Curves (Std. conditions)'!$O$11,'Curves (Std. conditions)'!$O$31)</c:f>
              <c:numCache>
                <c:formatCode>0</c:formatCode>
                <c:ptCount val="3"/>
                <c:pt idx="0">
                  <c:v>33908.349437351557</c:v>
                </c:pt>
                <c:pt idx="1">
                  <c:v>14176.890069302517</c:v>
                </c:pt>
                <c:pt idx="2">
                  <c:v>8477.0873593378892</c:v>
                </c:pt>
              </c:numCache>
            </c:numRef>
          </c:xVal>
          <c:yVal>
            <c:numRef>
              <c:f>('Curves (Std. conditions)'!$N$21,'Curves (Std. conditions)'!$N$11,'Curves (Std. conditions)'!$N$31)</c:f>
              <c:numCache>
                <c:formatCode>0</c:formatCode>
                <c:ptCount val="3"/>
                <c:pt idx="0">
                  <c:v>2907.5930674773017</c:v>
                </c:pt>
                <c:pt idx="1">
                  <c:v>508.25571196025805</c:v>
                </c:pt>
                <c:pt idx="2">
                  <c:v>181.72456671733136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6C9-472E-8A59-C6EC5CEC5D97}"/>
            </c:ext>
          </c:extLst>
        </c:ser>
        <c:ser>
          <c:idx val="18"/>
          <c:order val="7"/>
          <c:tx>
            <c:strRef>
              <c:f>'Curves (Std. conditions)'!$R$22</c:f>
              <c:strCache>
                <c:ptCount val="1"/>
                <c:pt idx="0">
                  <c:v>58%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conditions)'!$O$22,'Curves (Std. conditions)'!$O$12,'Curves (Std. conditions)'!$O$32)</c:f>
              <c:numCache>
                <c:formatCode>0</c:formatCode>
                <c:ptCount val="3"/>
                <c:pt idx="0">
                  <c:v>38121.680343291264</c:v>
                </c:pt>
                <c:pt idx="1">
                  <c:v>15938.460009162362</c:v>
                </c:pt>
                <c:pt idx="2">
                  <c:v>9530.420085822816</c:v>
                </c:pt>
              </c:numCache>
            </c:numRef>
          </c:xVal>
          <c:yVal>
            <c:numRef>
              <c:f>('Curves (Std. conditions)'!$N$22,'Curves (Std. conditions)'!$N$12,'Curves (Std. conditions)'!$N$32)</c:f>
              <c:numCache>
                <c:formatCode>0</c:formatCode>
                <c:ptCount val="3"/>
                <c:pt idx="0">
                  <c:v>2061.3607689803757</c:v>
                </c:pt>
                <c:pt idx="1">
                  <c:v>360.33184869094299</c:v>
                </c:pt>
                <c:pt idx="2">
                  <c:v>128.83504806127348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6C9-472E-8A59-C6EC5CEC5D97}"/>
            </c:ext>
          </c:extLst>
        </c:ser>
        <c:ser>
          <c:idx val="6"/>
          <c:order val="8"/>
          <c:tx>
            <c:strRef>
              <c:f>'Curves (Std. conditions)'!$R$23</c:f>
              <c:strCache>
                <c:ptCount val="1"/>
                <c:pt idx="0">
                  <c:v>42%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conditions)'!$O$23,'Curves (Std. conditions)'!$O$13,'Curves (Std. conditions)'!$O$33)</c:f>
              <c:numCache>
                <c:formatCode>0</c:formatCode>
                <c:ptCount val="3"/>
                <c:pt idx="0">
                  <c:v>40976.177929166915</c:v>
                </c:pt>
                <c:pt idx="1">
                  <c:v>17131.909385187471</c:v>
                </c:pt>
                <c:pt idx="2">
                  <c:v>10244.044482291729</c:v>
                </c:pt>
              </c:numCache>
            </c:numRef>
          </c:xVal>
          <c:yVal>
            <c:numRef>
              <c:f>('Curves (Std. conditions)'!$N$23,'Curves (Std. conditions)'!$N$13,'Curves (Std. conditions)'!$N$33)</c:f>
              <c:numCache>
                <c:formatCode>0</c:formatCode>
                <c:ptCount val="3"/>
                <c:pt idx="0">
                  <c:v>1317.147430130804</c:v>
                </c:pt>
                <c:pt idx="1">
                  <c:v>230.2411958350778</c:v>
                </c:pt>
                <c:pt idx="2">
                  <c:v>82.321714383175248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42D0-4E58-83E0-5EB8F41700F4}"/>
            </c:ext>
          </c:extLst>
        </c:ser>
        <c:ser>
          <c:idx val="7"/>
          <c:order val="9"/>
          <c:tx>
            <c:strRef>
              <c:f>'Curves (Std. conditions)'!$R$24</c:f>
              <c:strCache>
                <c:ptCount val="1"/>
                <c:pt idx="0">
                  <c:v>29%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conditions)'!$O$24,'Curves (Std. conditions)'!$O$14,'Curves (Std. conditions)'!$O$34)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(Std. conditions)'!$N$24,'Curves (Std. conditions)'!$N$14,'Curves (Std. conditions)'!$N$34)</c:f>
              <c:numCache>
                <c:formatCode>0</c:formatCode>
                <c:ptCount val="3"/>
                <c:pt idx="0">
                  <c:v>884.94664999877887</c:v>
                </c:pt>
                <c:pt idx="1">
                  <c:v>154.69124433984632</c:v>
                </c:pt>
                <c:pt idx="2">
                  <c:v>55.309165624923679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42D0-4E58-83E0-5EB8F41700F4}"/>
            </c:ext>
          </c:extLst>
        </c:ser>
        <c:ser>
          <c:idx val="12"/>
          <c:order val="10"/>
          <c:tx>
            <c:strRef>
              <c:f>'Curves (Std. conditions)'!$R$25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conditions)'!$O$25,'Curves (Std. conditions)'!$O$15,'Curves (Std. conditions)'!$O$35)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(Std. conditions)'!$N$25,'Curves (Std. conditions)'!$N$15,'Curves (Std. conditions)'!$N$35)</c:f>
              <c:numCache>
                <c:formatCode>0</c:formatCode>
                <c:ptCount val="3"/>
                <c:pt idx="0">
                  <c:v>884.94664999877887</c:v>
                </c:pt>
                <c:pt idx="1">
                  <c:v>154.69124433984632</c:v>
                </c:pt>
                <c:pt idx="2">
                  <c:v>55.309165624923679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42D0-4E58-83E0-5EB8F41700F4}"/>
            </c:ext>
          </c:extLst>
        </c:ser>
        <c:ser>
          <c:idx val="28"/>
          <c:order val="11"/>
          <c:tx>
            <c:strRef>
              <c:f>'Curves (Std. conditions)'!$R$26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conditions)'!$O$26,'Curves (Std. conditions)'!$O$16,'Curves (Std. conditions)'!$O$36)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(Std. conditions)'!$N$26,'Curves (Std. conditions)'!$N$16,'Curves (Std. conditions)'!$N$36)</c:f>
              <c:numCache>
                <c:formatCode>0</c:formatCode>
                <c:ptCount val="3"/>
                <c:pt idx="0">
                  <c:v>884.94664999877887</c:v>
                </c:pt>
                <c:pt idx="1">
                  <c:v>154.69124433984632</c:v>
                </c:pt>
                <c:pt idx="2">
                  <c:v>55.309165624923679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863-45C9-AAF6-B6CFDCA9AB19}"/>
            </c:ext>
          </c:extLst>
        </c:ser>
        <c:ser>
          <c:idx val="29"/>
          <c:order val="12"/>
          <c:tx>
            <c:strRef>
              <c:f>'Curves (Std. conditions)'!$R$27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conditions)'!$O$27,'Curves (Std. conditions)'!$O$17,'Curves (Std. conditions)'!$O$37)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(Std. conditions)'!$N$27,'Curves (Std. conditions)'!$N$17,'Curves (Std. conditions)'!$N$37)</c:f>
              <c:numCache>
                <c:formatCode>0</c:formatCode>
                <c:ptCount val="3"/>
                <c:pt idx="0">
                  <c:v>884.94664999877887</c:v>
                </c:pt>
                <c:pt idx="1">
                  <c:v>154.69124433984632</c:v>
                </c:pt>
                <c:pt idx="2">
                  <c:v>55.309165624923679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8863-45C9-AAF6-B6CFDCA9AB19}"/>
            </c:ext>
          </c:extLst>
        </c:ser>
        <c:ser>
          <c:idx val="27"/>
          <c:order val="13"/>
          <c:tx>
            <c:strRef>
              <c:f>'Curves (Std. conditions)'!$P$8</c:f>
              <c:strCache>
                <c:ptCount val="1"/>
                <c:pt idx="0">
                  <c:v>14.3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9765625000001719E-2"/>
                  <c:y val="-2.544875677522560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42D0-4E58-83E0-5EB8F41700F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conditions)'!$O$8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'Curves (Std. conditions)'!$N$8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42D0-4E58-83E0-5EB8F41700F4}"/>
            </c:ext>
          </c:extLst>
        </c:ser>
        <c:ser>
          <c:idx val="26"/>
          <c:order val="14"/>
          <c:tx>
            <c:strRef>
              <c:f>'Curves (Std. conditions)'!$P$9</c:f>
              <c:strCache>
                <c:ptCount val="1"/>
                <c:pt idx="0">
                  <c:v>19.0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42D0-4E58-83E0-5EB8F41700F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conditions)'!$O$9</c:f>
              <c:numCache>
                <c:formatCode>0</c:formatCode>
                <c:ptCount val="1"/>
                <c:pt idx="0">
                  <c:v>8230.0242143358737</c:v>
                </c:pt>
              </c:numCache>
            </c:numRef>
          </c:xVal>
          <c:yVal>
            <c:numRef>
              <c:f>'Curves (Std. conditions)'!$N$9</c:f>
              <c:numCache>
                <c:formatCode>0</c:formatCode>
                <c:ptCount val="1"/>
                <c:pt idx="0">
                  <c:v>734.36172744888722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42D0-4E58-83E0-5EB8F41700F4}"/>
            </c:ext>
          </c:extLst>
        </c:ser>
        <c:ser>
          <c:idx val="24"/>
          <c:order val="15"/>
          <c:tx>
            <c:strRef>
              <c:f>'Curves (Std. conditions)'!$P$10</c:f>
              <c:strCache>
                <c:ptCount val="1"/>
                <c:pt idx="0">
                  <c:v>24.2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conditions)'!$O$10</c:f>
              <c:numCache>
                <c:formatCode>0</c:formatCode>
                <c:ptCount val="1"/>
                <c:pt idx="0">
                  <c:v>11837.731690067933</c:v>
                </c:pt>
              </c:numCache>
            </c:numRef>
          </c:xVal>
          <c:yVal>
            <c:numRef>
              <c:f>'Curves (Std. conditions)'!$N$10</c:f>
              <c:numCache>
                <c:formatCode>0</c:formatCode>
                <c:ptCount val="1"/>
                <c:pt idx="0">
                  <c:v>639.64653738523714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42D0-4E58-83E0-5EB8F41700F4}"/>
            </c:ext>
          </c:extLst>
        </c:ser>
        <c:ser>
          <c:idx val="22"/>
          <c:order val="16"/>
          <c:tx>
            <c:strRef>
              <c:f>'Curves (Std. conditions)'!$P$11</c:f>
              <c:strCache>
                <c:ptCount val="1"/>
                <c:pt idx="0">
                  <c:v>27.3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conditions)'!$O$11</c:f>
              <c:numCache>
                <c:formatCode>0</c:formatCode>
                <c:ptCount val="1"/>
                <c:pt idx="0">
                  <c:v>14176.890069302517</c:v>
                </c:pt>
              </c:numCache>
            </c:numRef>
          </c:xVal>
          <c:yVal>
            <c:numRef>
              <c:f>'Curves (Std. conditions)'!$N$11</c:f>
              <c:numCache>
                <c:formatCode>0</c:formatCode>
                <c:ptCount val="1"/>
                <c:pt idx="0">
                  <c:v>508.25571196025805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42D0-4E58-83E0-5EB8F41700F4}"/>
            </c:ext>
          </c:extLst>
        </c:ser>
        <c:ser>
          <c:idx val="25"/>
          <c:order val="17"/>
          <c:tx>
            <c:strRef>
              <c:f>'Curves (Std. conditions)'!$P$12</c:f>
              <c:strCache>
                <c:ptCount val="1"/>
                <c:pt idx="0">
                  <c:v>27.1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8863-45C9-AAF6-B6CFDCA9AB1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conditions)'!$O$12</c:f>
              <c:numCache>
                <c:formatCode>0</c:formatCode>
                <c:ptCount val="1"/>
                <c:pt idx="0">
                  <c:v>15938.460009162362</c:v>
                </c:pt>
              </c:numCache>
            </c:numRef>
          </c:xVal>
          <c:yVal>
            <c:numRef>
              <c:f>'Curves (Std. conditions)'!$N$12</c:f>
              <c:numCache>
                <c:formatCode>0</c:formatCode>
                <c:ptCount val="1"/>
                <c:pt idx="0">
                  <c:v>360.33184869094299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A6C9-472E-8A59-C6EC5CEC5D97}"/>
            </c:ext>
          </c:extLst>
        </c:ser>
        <c:ser>
          <c:idx val="19"/>
          <c:order val="18"/>
          <c:tx>
            <c:strRef>
              <c:f>'Curves (Std. conditions)'!$P$13</c:f>
              <c:strCache>
                <c:ptCount val="1"/>
                <c:pt idx="0">
                  <c:v>25.9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conditions)'!$O$13</c:f>
              <c:numCache>
                <c:formatCode>0</c:formatCode>
                <c:ptCount val="1"/>
                <c:pt idx="0">
                  <c:v>17131.909385187471</c:v>
                </c:pt>
              </c:numCache>
            </c:numRef>
          </c:xVal>
          <c:yVal>
            <c:numRef>
              <c:f>'Curves (Std. conditions)'!$N$13</c:f>
              <c:numCache>
                <c:formatCode>0</c:formatCode>
                <c:ptCount val="1"/>
                <c:pt idx="0">
                  <c:v>230.2411958350778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42D0-4E58-83E0-5EB8F41700F4}"/>
            </c:ext>
          </c:extLst>
        </c:ser>
        <c:ser>
          <c:idx val="20"/>
          <c:order val="19"/>
          <c:tx>
            <c:strRef>
              <c:f>'Curves (Std. conditions)'!$P$14</c:f>
              <c:strCache>
                <c:ptCount val="1"/>
                <c:pt idx="0">
                  <c:v>25.8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conditions)'!$O$14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(Std. conditions)'!$N$14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42D0-4E58-83E0-5EB8F41700F4}"/>
            </c:ext>
          </c:extLst>
        </c:ser>
        <c:ser>
          <c:idx val="32"/>
          <c:order val="20"/>
          <c:tx>
            <c:strRef>
              <c:f>'Curves (Std. conditions)'!$P$16</c:f>
              <c:strCache>
                <c:ptCount val="1"/>
                <c:pt idx="0">
                  <c:v>25.3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8863-45C9-AAF6-B6CFDCA9AB1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conditions)'!$O$16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(Std. conditions)'!$N$16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8863-45C9-AAF6-B6CFDCA9AB19}"/>
            </c:ext>
          </c:extLst>
        </c:ser>
        <c:ser>
          <c:idx val="34"/>
          <c:order val="21"/>
          <c:tx>
            <c:strRef>
              <c:f>'Curves (Std. conditions)'!$P$17</c:f>
              <c:strCache>
                <c:ptCount val="1"/>
                <c:pt idx="0">
                  <c:v>25.3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8863-45C9-AAF6-B6CFDCA9AB1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conditions)'!$O$17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(Std. conditions)'!$N$17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8863-45C9-AAF6-B6CFDCA9AB19}"/>
            </c:ext>
          </c:extLst>
        </c:ser>
        <c:ser>
          <c:idx val="40"/>
          <c:order val="22"/>
          <c:tx>
            <c:strRef>
              <c:f>'Curves (Std. conditions)'!$P$17</c:f>
              <c:strCache>
                <c:ptCount val="1"/>
                <c:pt idx="0">
                  <c:v>25.3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8863-45C9-AAF6-B6CFDCA9AB1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conditions)'!$O$17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(Std. conditions)'!$N$17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8863-45C9-AAF6-B6CFDCA9AB19}"/>
            </c:ext>
          </c:extLst>
        </c:ser>
        <c:ser>
          <c:idx val="38"/>
          <c:order val="23"/>
          <c:tx>
            <c:strRef>
              <c:f>'Curves (Std. conditions)'!$R$18</c:f>
              <c:strCache>
                <c:ptCount val="1"/>
                <c:pt idx="0">
                  <c:v>65%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conditions)'!$O$18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'Curves (Std. conditions)'!$N$18</c:f>
              <c:numCache>
                <c:formatCode>0</c:formatCode>
                <c:ptCount val="1"/>
                <c:pt idx="0">
                  <c:v>4085.7093182644167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42D0-4E58-83E0-5EB8F41700F4}"/>
            </c:ext>
          </c:extLst>
        </c:ser>
        <c:ser>
          <c:idx val="37"/>
          <c:order val="24"/>
          <c:tx>
            <c:strRef>
              <c:f>'Curves (Std. conditions)'!$R$19</c:f>
              <c:strCache>
                <c:ptCount val="1"/>
                <c:pt idx="0">
                  <c:v>87%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conditions)'!$O$19</c:f>
              <c:numCache>
                <c:formatCode>0</c:formatCode>
                <c:ptCount val="1"/>
                <c:pt idx="0">
                  <c:v>19684.60893562499</c:v>
                </c:pt>
              </c:numCache>
            </c:numRef>
          </c:xVal>
          <c:yVal>
            <c:numRef>
              <c:f>'Curves (Std. conditions)'!$N$19</c:f>
              <c:numCache>
                <c:formatCode>0</c:formatCode>
                <c:ptCount val="1"/>
                <c:pt idx="0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42D0-4E58-83E0-5EB8F41700F4}"/>
            </c:ext>
          </c:extLst>
        </c:ser>
        <c:ser>
          <c:idx val="35"/>
          <c:order val="25"/>
          <c:tx>
            <c:strRef>
              <c:f>'Curves (Std. conditions)'!$R$20</c:f>
              <c:strCache>
                <c:ptCount val="1"/>
                <c:pt idx="0">
                  <c:v>85%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conditions)'!$O$20</c:f>
              <c:numCache>
                <c:formatCode>0</c:formatCode>
                <c:ptCount val="1"/>
                <c:pt idx="0">
                  <c:v>28313.53990404342</c:v>
                </c:pt>
              </c:numCache>
            </c:numRef>
          </c:xVal>
          <c:yVal>
            <c:numRef>
              <c:f>'Curves (Std. conditions)'!$N$20</c:f>
              <c:numCache>
                <c:formatCode>0</c:formatCode>
                <c:ptCount val="1"/>
                <c:pt idx="0">
                  <c:v>3659.2443409324669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5-42D0-4E58-83E0-5EB8F41700F4}"/>
            </c:ext>
          </c:extLst>
        </c:ser>
        <c:ser>
          <c:idx val="21"/>
          <c:order val="26"/>
          <c:tx>
            <c:strRef>
              <c:f>'Curves (Std. conditions)'!$R$21</c:f>
              <c:strCache>
                <c:ptCount val="1"/>
                <c:pt idx="0">
                  <c:v>72%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8863-45C9-AAF6-B6CFDCA9AB1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conditions)'!$O$21</c:f>
              <c:numCache>
                <c:formatCode>0</c:formatCode>
                <c:ptCount val="1"/>
                <c:pt idx="0">
                  <c:v>33908.349437351557</c:v>
                </c:pt>
              </c:numCache>
            </c:numRef>
          </c:xVal>
          <c:yVal>
            <c:numRef>
              <c:f>'Curves (Std. conditions)'!$N$21</c:f>
              <c:numCache>
                <c:formatCode>0</c:formatCode>
                <c:ptCount val="1"/>
                <c:pt idx="0">
                  <c:v>2907.5930674773017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6C9-472E-8A59-C6EC5CEC5D97}"/>
            </c:ext>
          </c:extLst>
        </c:ser>
        <c:ser>
          <c:idx val="23"/>
          <c:order val="27"/>
          <c:tx>
            <c:strRef>
              <c:f>'Curves (Std. conditions)'!$R$22</c:f>
              <c:strCache>
                <c:ptCount val="1"/>
                <c:pt idx="0">
                  <c:v>58%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8863-45C9-AAF6-B6CFDCA9AB1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conditions)'!$O$22</c:f>
              <c:numCache>
                <c:formatCode>0</c:formatCode>
                <c:ptCount val="1"/>
                <c:pt idx="0">
                  <c:v>38121.680343291264</c:v>
                </c:pt>
              </c:numCache>
            </c:numRef>
          </c:xVal>
          <c:yVal>
            <c:numRef>
              <c:f>'Curves (Std. conditions)'!$N$22</c:f>
              <c:numCache>
                <c:formatCode>0</c:formatCode>
                <c:ptCount val="1"/>
                <c:pt idx="0">
                  <c:v>2061.3607689803757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6C9-472E-8A59-C6EC5CEC5D97}"/>
            </c:ext>
          </c:extLst>
        </c:ser>
        <c:ser>
          <c:idx val="30"/>
          <c:order val="28"/>
          <c:tx>
            <c:strRef>
              <c:f>'Curves (Std. conditions)'!$R$23</c:f>
              <c:strCache>
                <c:ptCount val="1"/>
                <c:pt idx="0">
                  <c:v>42%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conditions)'!$O$23</c:f>
              <c:numCache>
                <c:formatCode>0</c:formatCode>
                <c:ptCount val="1"/>
                <c:pt idx="0">
                  <c:v>40976.177929166915</c:v>
                </c:pt>
              </c:numCache>
            </c:numRef>
          </c:xVal>
          <c:yVal>
            <c:numRef>
              <c:f>'Curves (Std. conditions)'!$N$23</c:f>
              <c:numCache>
                <c:formatCode>0</c:formatCode>
                <c:ptCount val="1"/>
                <c:pt idx="0">
                  <c:v>1317.147430130804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42D0-4E58-83E0-5EB8F41700F4}"/>
            </c:ext>
          </c:extLst>
        </c:ser>
        <c:ser>
          <c:idx val="31"/>
          <c:order val="29"/>
          <c:tx>
            <c:strRef>
              <c:f>'Curves (Std. conditions)'!$R$24</c:f>
              <c:strCache>
                <c:ptCount val="1"/>
                <c:pt idx="0">
                  <c:v>29%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42D0-4E58-83E0-5EB8F41700F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conditions)'!$O$24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(Std. conditions)'!$N$24</c:f>
              <c:numCache>
                <c:formatCode>0</c:formatCode>
                <c:ptCount val="1"/>
                <c:pt idx="0">
                  <c:v>884.94664999877887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42D0-4E58-83E0-5EB8F41700F4}"/>
            </c:ext>
          </c:extLst>
        </c:ser>
        <c:ser>
          <c:idx val="33"/>
          <c:order val="30"/>
          <c:tx>
            <c:strRef>
              <c:f>'Curves (Std. conditions)'!$R$26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conditions)'!$O$25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(Std. conditions)'!$N$25</c:f>
              <c:numCache>
                <c:formatCode>0</c:formatCode>
                <c:ptCount val="1"/>
                <c:pt idx="0">
                  <c:v>884.94664999877887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42D0-4E58-83E0-5EB8F41700F4}"/>
            </c:ext>
          </c:extLst>
        </c:ser>
        <c:ser>
          <c:idx val="36"/>
          <c:order val="31"/>
          <c:tx>
            <c:strRef>
              <c:f>'Curves (Std. conditions)'!$R$26</c:f>
              <c:strCache>
                <c:ptCount val="1"/>
                <c:pt idx="0">
                  <c:v>30%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8863-45C9-AAF6-B6CFDCA9AB1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conditions)'!$O$26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(Std. conditions)'!$N$26</c:f>
              <c:numCache>
                <c:formatCode>0</c:formatCode>
                <c:ptCount val="1"/>
                <c:pt idx="0">
                  <c:v>884.94664999877887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8863-45C9-AAF6-B6CFDCA9AB19}"/>
            </c:ext>
          </c:extLst>
        </c:ser>
        <c:ser>
          <c:idx val="39"/>
          <c:order val="32"/>
          <c:tx>
            <c:strRef>
              <c:f>'Curves (Std. conditions)'!$R$27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8863-45C9-AAF6-B6CFDCA9AB1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conditions)'!$O$27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(Std. conditions)'!$N$27</c:f>
              <c:numCache>
                <c:formatCode>0</c:formatCode>
                <c:ptCount val="1"/>
                <c:pt idx="0">
                  <c:v>884.94664999877887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8863-45C9-AAF6-B6CFDCA9AB19}"/>
            </c:ext>
          </c:extLst>
        </c:ser>
        <c:ser>
          <c:idx val="4"/>
          <c:order val="33"/>
          <c:tx>
            <c:strRef>
              <c:f>'Curves (Std. conditions)'!$B$56:$D$56</c:f>
              <c:strCache>
                <c:ptCount val="1"/>
                <c:pt idx="0">
                  <c:v>Density 1.205 kg/m3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7.5955969932339565E-2"/>
                  <c:y val="-3.6236294881647091E-2"/>
                </c:manualLayout>
              </c:layout>
              <c:tx>
                <c:rich>
                  <a:bodyPr/>
                  <a:lstStyle/>
                  <a:p>
                    <a:r>
                      <a:rPr lang="zh-CN" altLang="en-US" sz="1100"/>
                      <a:t>气体密度</a:t>
                    </a:r>
                    <a:r>
                      <a:rPr lang="en-US" altLang="zh-CN"/>
                      <a:t>/</a:t>
                    </a:r>
                    <a:fld id="{7C558073-B62B-4993-AD95-B7B3DC182CF4}" type="SERIESNAME">
                      <a:rPr lang="en-US" altLang="zh-CN"/>
                      <a:pPr/>
                      <a:t>[系列名称]</a:t>
                    </a:fld>
                    <a:endParaRPr lang="en-US" altLang="zh-CN"/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3E03-4E2B-A195-9ADFB6607F05}"/>
                </c:ext>
                <c:ext xmlns:c15="http://schemas.microsoft.com/office/drawing/2012/chart" uri="{CE6537A1-D6FC-4f65-9D91-7224C49458BB}"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conditions)'!$F$55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(Std. conditions)'!$G$55</c:f>
              <c:numCache>
                <c:formatCode>General</c:formatCode>
                <c:ptCount val="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8-42D0-4E58-83E0-5EB8F41700F4}"/>
            </c:ext>
          </c:extLst>
        </c:ser>
        <c:ser>
          <c:idx val="5"/>
          <c:order val="34"/>
          <c:tx>
            <c:strRef>
              <c:f>'Curves (Std. conditions)'!$M$8</c:f>
              <c:strCache>
                <c:ptCount val="1"/>
                <c:pt idx="0">
                  <c:v>1672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conditions)'!$O$8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'Curves (Std. conditions)'!$N$8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9-42D0-4E58-83E0-5EB8F41700F4}"/>
            </c:ext>
          </c:extLst>
        </c:ser>
        <c:ser>
          <c:idx val="8"/>
          <c:order val="35"/>
          <c:tx>
            <c:strRef>
              <c:f>'Curves (Std. conditions)'!$M$18</c:f>
              <c:strCache>
                <c:ptCount val="1"/>
                <c:pt idx="0">
                  <c:v>4000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A-42D0-4E58-83E0-5EB8F41700F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conditions)'!$O$18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'Curves (Std. conditions)'!$N$18</c:f>
              <c:numCache>
                <c:formatCode>0</c:formatCode>
                <c:ptCount val="1"/>
                <c:pt idx="0">
                  <c:v>4085.7093182644167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B-42D0-4E58-83E0-5EB8F41700F4}"/>
            </c:ext>
          </c:extLst>
        </c:ser>
        <c:ser>
          <c:idx val="11"/>
          <c:order val="36"/>
          <c:tx>
            <c:strRef>
              <c:f>'Curves (Std. conditions)'!$M$28</c:f>
              <c:strCache>
                <c:ptCount val="1"/>
                <c:pt idx="0">
                  <c:v>1000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conditions)'!$O$28</c:f>
              <c:numCache>
                <c:formatCode>0</c:formatCode>
                <c:ptCount val="1"/>
                <c:pt idx="0">
                  <c:v>2854.7686276578984</c:v>
                </c:pt>
              </c:numCache>
            </c:numRef>
          </c:xVal>
          <c:yVal>
            <c:numRef>
              <c:f>'Curves (Std. conditions)'!$N$28</c:f>
              <c:numCache>
                <c:formatCode>0</c:formatCode>
                <c:ptCount val="1"/>
                <c:pt idx="0">
                  <c:v>255.35683239152604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C-42D0-4E58-83E0-5EB8F41700F4}"/>
            </c:ext>
          </c:extLst>
        </c:ser>
        <c:ser>
          <c:idx val="13"/>
          <c:order val="37"/>
          <c:tx>
            <c:strRef>
              <c:f>'Curves (Std. conditions)'!$A$49</c:f>
              <c:strCache>
                <c:ptCount val="1"/>
                <c:pt idx="0">
                  <c:v>Op. point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(Std. conditions)'!$C$54</c:f>
              <c:numCache>
                <c:formatCode>0</c:formatCode>
                <c:ptCount val="1"/>
                <c:pt idx="0">
                  <c:v>10000</c:v>
                </c:pt>
              </c:numCache>
            </c:numRef>
          </c:xVal>
          <c:yVal>
            <c:numRef>
              <c:f>'Curves (Std. conditions)'!$E$52</c:f>
              <c:numCache>
                <c:formatCode>0</c:formatCode>
                <c:ptCount val="1"/>
                <c:pt idx="0">
                  <c:v>713.77587437544605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D-42D0-4E58-83E0-5EB8F41700F4}"/>
            </c:ext>
          </c:extLst>
        </c:ser>
        <c:ser>
          <c:idx val="16"/>
          <c:order val="40"/>
          <c:tx>
            <c:v>OP Line</c:v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(Std. conditions)'!$C$54,'Curves (Std. conditions)'!$C$54)</c:f>
              <c:numCache>
                <c:formatCode>0</c:formatCode>
                <c:ptCount val="2"/>
                <c:pt idx="0">
                  <c:v>10000</c:v>
                </c:pt>
                <c:pt idx="1">
                  <c:v>10000</c:v>
                </c:pt>
              </c:numCache>
            </c:numRef>
          </c:xVal>
          <c:yVal>
            <c:numRef>
              <c:f>('Curves (Std. conditions)'!$H$55,'Curves (Std. conditions)'!$G$55)</c:f>
              <c:numCache>
                <c:formatCode>General</c:formatCode>
                <c:ptCount val="2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42D0-4E58-83E0-5EB8F4170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87216"/>
        <c:axId val="48348760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5"/>
                <c:order val="39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'Curves (Std. conditions)'!$T$7</c15:sqref>
                        </c15:formulaRef>
                      </c:ext>
                    </c:extLst>
                    <c:strCache>
                      <c:ptCount val="1"/>
                      <c:pt idx="0">
                        <c:v>Dyn Press, mmH2o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5"/>
                    <c:tx>
                      <c:rich>
                        <a:bodyPr/>
                        <a:lstStyle/>
                        <a:p>
                          <a:r>
                            <a:rPr lang="zh-CN" altLang="en-US"/>
                            <a:t>动压</a:t>
                          </a:r>
                          <a:r>
                            <a:rPr lang="en-US" altLang="zh-CN"/>
                            <a:t>/</a:t>
                          </a:r>
                          <a:fld id="{96B7EC1B-7CDF-479A-BCFB-F9B6299CBB98}" type="SERIESNAME">
                            <a:rPr lang="en-US" altLang="zh-CN"/>
                            <a:pPr/>
                            <a:t>[系列名称]</a:t>
                          </a:fld>
                          <a:endParaRPr lang="en-US" altLang="zh-CN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6r2="http://schemas.microsoft.com/office/drawing/2015/06/chart">
                      <c:ext xmlns:c16="http://schemas.microsoft.com/office/drawing/2014/chart" uri="{C3380CC4-5D6E-409C-BE32-E72D297353CC}">
                        <c16:uniqueId val="{0000001E-42D0-4E58-83E0-5EB8F41700F4}"/>
                      </c:ext>
                      <c:ext uri="{CE6537A1-D6FC-4f65-9D91-7224C49458BB}">
                        <c15:dlblFieldTable/>
                        <c15:showDataLabelsRange val="0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6r2="http://schemas.microsoft.com/office/drawing/2015/06/chart"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'Curves (Std. conditions)'!$O$8:$O$17</c15:sqref>
                        </c15:formulaRef>
                      </c:ext>
                    </c:extLst>
                    <c:numCache>
                      <c:formatCode>0</c:formatCode>
                      <c:ptCount val="10"/>
                      <c:pt idx="0">
                        <c:v>4774.2507882755517</c:v>
                      </c:pt>
                      <c:pt idx="1">
                        <c:v>8230.0242143358737</c:v>
                      </c:pt>
                      <c:pt idx="2">
                        <c:v>11837.731690067933</c:v>
                      </c:pt>
                      <c:pt idx="3">
                        <c:v>14176.890069302517</c:v>
                      </c:pt>
                      <c:pt idx="4">
                        <c:v>15938.460009162362</c:v>
                      </c:pt>
                      <c:pt idx="5">
                        <c:v>17131.909385187471</c:v>
                      </c:pt>
                      <c:pt idx="6">
                        <c:v>17775.426409843509</c:v>
                      </c:pt>
                      <c:pt idx="7">
                        <c:v>17775.426409843509</c:v>
                      </c:pt>
                      <c:pt idx="8">
                        <c:v>17775.426409843509</c:v>
                      </c:pt>
                      <c:pt idx="9">
                        <c:v>17775.426409843509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'Curves (Std. conditions)'!$T$8:$T$17</c15:sqref>
                        </c15:formulaRef>
                      </c:ext>
                    </c:extLst>
                    <c:numCache>
                      <c:formatCode>0</c:formatCode>
                      <c:ptCount val="10"/>
                      <c:pt idx="0">
                        <c:v>4.271658382199611</c:v>
                      </c:pt>
                      <c:pt idx="1">
                        <c:v>12.693701533964179</c:v>
                      </c:pt>
                      <c:pt idx="2">
                        <c:v>26.261712400271765</c:v>
                      </c:pt>
                      <c:pt idx="3">
                        <c:v>37.665869735483099</c:v>
                      </c:pt>
                      <c:pt idx="4">
                        <c:v>47.607872128177043</c:v>
                      </c:pt>
                      <c:pt idx="5">
                        <c:v>55.004420542951479</c:v>
                      </c:pt>
                      <c:pt idx="6">
                        <c:v>59.214233507890143</c:v>
                      </c:pt>
                      <c:pt idx="7">
                        <c:v>59.214233507890143</c:v>
                      </c:pt>
                      <c:pt idx="8">
                        <c:v>59.214233507890143</c:v>
                      </c:pt>
                      <c:pt idx="9">
                        <c:v>59.214233507890143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1F-42D0-4E58-83E0-5EB8F41700F4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83488392"/>
        <c:axId val="48348800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4"/>
                <c:order val="38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'Curves (Std. conditions)'!$P$7</c15:sqref>
                        </c15:formulaRef>
                      </c:ext>
                    </c:extLst>
                    <c:strCache>
                      <c:ptCount val="1"/>
                      <c:pt idx="0">
                        <c:v>req. Motor kW</c:v>
                      </c:pt>
                    </c:strCache>
                  </c:strRef>
                </c:tx>
                <c:spPr>
                  <a:ln w="222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0"/>
                    <c:tx>
                      <c:rich>
                        <a:bodyPr/>
                        <a:lstStyle/>
                        <a:p>
                          <a:r>
                            <a:rPr lang="zh-CN" altLang="en-US" sz="1050">
                              <a:solidFill>
                                <a:sysClr val="windowText" lastClr="000000"/>
                              </a:solidFill>
                            </a:rPr>
                            <a:t>电机功率</a:t>
                          </a:r>
                          <a:r>
                            <a:rPr lang="en-US" altLang="zh-CN"/>
                            <a:t>/</a:t>
                          </a:r>
                          <a:fld id="{386F6827-DB51-4E0F-AEAB-2A05639C5D2F}" type="SERIESNAME">
                            <a:rPr lang="en-US" altLang="zh-CN"/>
                            <a:pPr/>
                            <a:t>[系列名称]</a:t>
                          </a:fld>
                          <a:endParaRPr lang="en-US" altLang="zh-CN"/>
                        </a:p>
                      </c:rich>
                    </c:tx>
                    <c:dLblPos val="l"/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6r2="http://schemas.microsoft.com/office/drawing/2015/06/chart">
                      <c:ext xmlns:c16="http://schemas.microsoft.com/office/drawing/2014/chart" uri="{C3380CC4-5D6E-409C-BE32-E72D297353CC}">
                        <c16:uniqueId val="{00000021-42D0-4E58-83E0-5EB8F41700F4}"/>
                      </c:ext>
                      <c:ext uri="{CE6537A1-D6FC-4f65-9D91-7224C49458BB}">
                        <c15:dlblFieldTable/>
                        <c15:showDataLabelsRange val="0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6r2="http://schemas.microsoft.com/office/drawing/2015/06/chart"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'Curves (Std. conditions)'!$O$8:$O$17</c15:sqref>
                        </c15:formulaRef>
                      </c:ext>
                    </c:extLst>
                    <c:numCache>
                      <c:formatCode>0</c:formatCode>
                      <c:ptCount val="10"/>
                      <c:pt idx="0">
                        <c:v>4774.2507882755517</c:v>
                      </c:pt>
                      <c:pt idx="1">
                        <c:v>8230.0242143358737</c:v>
                      </c:pt>
                      <c:pt idx="2">
                        <c:v>11837.731690067933</c:v>
                      </c:pt>
                      <c:pt idx="3">
                        <c:v>14176.890069302517</c:v>
                      </c:pt>
                      <c:pt idx="4">
                        <c:v>15938.460009162362</c:v>
                      </c:pt>
                      <c:pt idx="5">
                        <c:v>17131.909385187471</c:v>
                      </c:pt>
                      <c:pt idx="6">
                        <c:v>17775.426409843509</c:v>
                      </c:pt>
                      <c:pt idx="7">
                        <c:v>17775.426409843509</c:v>
                      </c:pt>
                      <c:pt idx="8">
                        <c:v>17775.426409843509</c:v>
                      </c:pt>
                      <c:pt idx="9">
                        <c:v>17775.426409843509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'Curves (Std. conditions)'!$P$8:$P$17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14.274563137553157</c:v>
                      </c:pt>
                      <c:pt idx="1">
                        <c:v>19.032750850070883</c:v>
                      </c:pt>
                      <c:pt idx="2">
                        <c:v>24.232285134372773</c:v>
                      </c:pt>
                      <c:pt idx="3">
                        <c:v>27.282769632308188</c:v>
                      </c:pt>
                      <c:pt idx="4">
                        <c:v>27.106751763712655</c:v>
                      </c:pt>
                      <c:pt idx="5">
                        <c:v>25.874626683543898</c:v>
                      </c:pt>
                      <c:pt idx="6">
                        <c:v>25.843614349630329</c:v>
                      </c:pt>
                      <c:pt idx="7">
                        <c:v>25.336876813363066</c:v>
                      </c:pt>
                      <c:pt idx="8">
                        <c:v>25.336876813363066</c:v>
                      </c:pt>
                      <c:pt idx="9">
                        <c:v>25.336876813363066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22-42D0-4E58-83E0-5EB8F41700F4}"/>
                  </c:ext>
                </c:extLst>
              </c15:ser>
            </c15:filteredScatterSeries>
          </c:ext>
        </c:extLst>
      </c:scatterChart>
      <c:valAx>
        <c:axId val="4834872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Q &lt;m3/hr&gt;</a:t>
                </a:r>
              </a:p>
            </c:rich>
          </c:tx>
          <c:layout>
            <c:manualLayout>
              <c:xMode val="edge"/>
              <c:yMode val="edge"/>
              <c:x val="0.45312520505249348"/>
              <c:y val="0.935144713245742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487608"/>
        <c:crosses val="autoZero"/>
        <c:crossBetween val="midCat"/>
      </c:valAx>
      <c:valAx>
        <c:axId val="4834876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 &lt;mmH20&gt;</a:t>
                </a:r>
              </a:p>
            </c:rich>
          </c:tx>
          <c:layout>
            <c:manualLayout>
              <c:xMode val="edge"/>
              <c:yMode val="edge"/>
              <c:x val="1.5625E-2"/>
              <c:y val="0.443439547432111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487216"/>
        <c:crosses val="autoZero"/>
        <c:crossBetween val="midCat"/>
      </c:valAx>
      <c:valAx>
        <c:axId val="483488000"/>
        <c:scaling>
          <c:orientation val="minMax"/>
        </c:scaling>
        <c:delete val="1"/>
        <c:axPos val="r"/>
        <c:numFmt formatCode="0.0" sourceLinked="1"/>
        <c:majorTickMark val="none"/>
        <c:minorTickMark val="none"/>
        <c:tickLblPos val="nextTo"/>
        <c:crossAx val="483488392"/>
        <c:crosses val="max"/>
        <c:crossBetween val="midCat"/>
      </c:valAx>
      <c:valAx>
        <c:axId val="48348839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48800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 alignWithMargins="0"/>
    <c:pageMargins b="1" l="0.75000000000001465" r="0.75000000000001465" t="1" header="0.5" footer="0.5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'Curves (Ops. conditions)'!$B$48</c:f>
          <c:strCache>
            <c:ptCount val="1"/>
            <c:pt idx="0">
              <c:v>GT 106-44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9548144717204523E-2"/>
          <c:y val="0.13969159118268121"/>
          <c:w val="0.784902777873004"/>
          <c:h val="0.745099136705753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'Curves (Ops. conditions)'!$M$18</c:f>
              <c:strCache>
                <c:ptCount val="1"/>
                <c:pt idx="0">
                  <c:v>4000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'Curves (Ops. conditions)'!$O$18:$O$27</c:f>
              <c:numCache>
                <c:formatCode>0</c:formatCode>
                <c:ptCount val="10"/>
                <c:pt idx="0">
                  <c:v>11419.074510631594</c:v>
                </c:pt>
                <c:pt idx="1">
                  <c:v>19684.60893562499</c:v>
                </c:pt>
                <c:pt idx="2">
                  <c:v>28313.53990404342</c:v>
                </c:pt>
                <c:pt idx="3">
                  <c:v>33908.349437351557</c:v>
                </c:pt>
                <c:pt idx="4">
                  <c:v>38121.680343291264</c:v>
                </c:pt>
                <c:pt idx="5">
                  <c:v>40976.177929166915</c:v>
                </c:pt>
                <c:pt idx="6">
                  <c:v>42515.344843366969</c:v>
                </c:pt>
                <c:pt idx="7">
                  <c:v>42515.344843366969</c:v>
                </c:pt>
                <c:pt idx="8">
                  <c:v>42515.344843366969</c:v>
                </c:pt>
                <c:pt idx="9">
                  <c:v>42515.344843366969</c:v>
                </c:pt>
              </c:numCache>
            </c:numRef>
          </c:xVal>
          <c:yVal>
            <c:numRef>
              <c:f>'Curves (Ops. conditions)'!$N$18:$N$27</c:f>
              <c:numCache>
                <c:formatCode>0</c:formatCode>
                <c:ptCount val="10"/>
                <c:pt idx="0">
                  <c:v>4085.7093182644171</c:v>
                </c:pt>
                <c:pt idx="1">
                  <c:v>4201.0842524835207</c:v>
                </c:pt>
                <c:pt idx="2">
                  <c:v>3659.2443409324669</c:v>
                </c:pt>
                <c:pt idx="3">
                  <c:v>2907.5930674773017</c:v>
                </c:pt>
                <c:pt idx="4">
                  <c:v>2061.3607689803757</c:v>
                </c:pt>
                <c:pt idx="5">
                  <c:v>1317.147430130804</c:v>
                </c:pt>
                <c:pt idx="6">
                  <c:v>884.94664999877875</c:v>
                </c:pt>
                <c:pt idx="7">
                  <c:v>884.94664999877875</c:v>
                </c:pt>
                <c:pt idx="8">
                  <c:v>884.94664999877875</c:v>
                </c:pt>
                <c:pt idx="9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617-4ABC-832D-202BC580692A}"/>
            </c:ext>
          </c:extLst>
        </c:ser>
        <c:ser>
          <c:idx val="1"/>
          <c:order val="1"/>
          <c:tx>
            <c:strRef>
              <c:f>'Curves (Ops. conditions)'!$M$8</c:f>
              <c:strCache>
                <c:ptCount val="1"/>
                <c:pt idx="0">
                  <c:v>1672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'Curves (Ops. conditions)'!$O$8:$O$17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(Ops. conditions)'!$N$8:$N$17</c:f>
              <c:numCache>
                <c:formatCode>0</c:formatCode>
                <c:ptCount val="10"/>
                <c:pt idx="0">
                  <c:v>714.19385389401737</c:v>
                </c:pt>
                <c:pt idx="1">
                  <c:v>734.36172744888722</c:v>
                </c:pt>
                <c:pt idx="2">
                  <c:v>639.64653738523714</c:v>
                </c:pt>
                <c:pt idx="3">
                  <c:v>508.255711960258</c:v>
                </c:pt>
                <c:pt idx="4">
                  <c:v>360.33184869094299</c:v>
                </c:pt>
                <c:pt idx="5">
                  <c:v>230.2411958350778</c:v>
                </c:pt>
                <c:pt idx="6">
                  <c:v>154.69124433984632</c:v>
                </c:pt>
                <c:pt idx="7">
                  <c:v>154.69124433984632</c:v>
                </c:pt>
                <c:pt idx="8">
                  <c:v>154.69124433984632</c:v>
                </c:pt>
                <c:pt idx="9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617-4ABC-832D-202BC580692A}"/>
            </c:ext>
          </c:extLst>
        </c:ser>
        <c:ser>
          <c:idx val="2"/>
          <c:order val="2"/>
          <c:tx>
            <c:strRef>
              <c:f>'Curves (Ops. conditions)'!$M$28</c:f>
              <c:strCache>
                <c:ptCount val="1"/>
                <c:pt idx="0">
                  <c:v>1000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'Curves (Ops. conditions)'!$O$28:$O$37</c:f>
              <c:numCache>
                <c:formatCode>0</c:formatCode>
                <c:ptCount val="10"/>
                <c:pt idx="0">
                  <c:v>2854.7686276578984</c:v>
                </c:pt>
                <c:pt idx="1">
                  <c:v>4921.1522339062476</c:v>
                </c:pt>
                <c:pt idx="2">
                  <c:v>7078.3849760108551</c:v>
                </c:pt>
                <c:pt idx="3">
                  <c:v>8477.0873593378892</c:v>
                </c:pt>
                <c:pt idx="4">
                  <c:v>9530.420085822816</c:v>
                </c:pt>
                <c:pt idx="5">
                  <c:v>10244.044482291729</c:v>
                </c:pt>
                <c:pt idx="6">
                  <c:v>10628.836210841742</c:v>
                </c:pt>
                <c:pt idx="7">
                  <c:v>10628.836210841742</c:v>
                </c:pt>
                <c:pt idx="8">
                  <c:v>10628.836210841742</c:v>
                </c:pt>
                <c:pt idx="9">
                  <c:v>10628.836210841742</c:v>
                </c:pt>
              </c:numCache>
            </c:numRef>
          </c:xVal>
          <c:yVal>
            <c:numRef>
              <c:f>'Curves (Ops. conditions)'!$N$28:$N$37</c:f>
              <c:numCache>
                <c:formatCode>0</c:formatCode>
                <c:ptCount val="10"/>
                <c:pt idx="0">
                  <c:v>255.35683239152607</c:v>
                </c:pt>
                <c:pt idx="1">
                  <c:v>262.56776578022004</c:v>
                </c:pt>
                <c:pt idx="2">
                  <c:v>228.70277130827918</c:v>
                </c:pt>
                <c:pt idx="3">
                  <c:v>181.72456671733136</c:v>
                </c:pt>
                <c:pt idx="4">
                  <c:v>128.83504806127348</c:v>
                </c:pt>
                <c:pt idx="5">
                  <c:v>82.321714383175248</c:v>
                </c:pt>
                <c:pt idx="6">
                  <c:v>55.309165624923672</c:v>
                </c:pt>
                <c:pt idx="7">
                  <c:v>55.309165624923672</c:v>
                </c:pt>
                <c:pt idx="8">
                  <c:v>55.309165624923672</c:v>
                </c:pt>
                <c:pt idx="9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617-4ABC-832D-202BC580692A}"/>
            </c:ext>
          </c:extLst>
        </c:ser>
        <c:ser>
          <c:idx val="3"/>
          <c:order val="3"/>
          <c:tx>
            <c:strRef>
              <c:f>'Curves (Ops. conditions)'!$R$18</c:f>
              <c:strCache>
                <c:ptCount val="1"/>
                <c:pt idx="0">
                  <c:v>65%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conditions)'!$O$18,'Curves (Ops. conditions)'!$O$8,'Curves (Ops. conditions)'!$O$28)</c:f>
              <c:numCache>
                <c:formatCode>0</c:formatCode>
                <c:ptCount val="3"/>
                <c:pt idx="0">
                  <c:v>11419.074510631594</c:v>
                </c:pt>
                <c:pt idx="1">
                  <c:v>4774.2507882755517</c:v>
                </c:pt>
                <c:pt idx="2">
                  <c:v>2854.7686276578984</c:v>
                </c:pt>
              </c:numCache>
            </c:numRef>
          </c:xVal>
          <c:yVal>
            <c:numRef>
              <c:f>('Curves (Ops. conditions)'!$N$18,'Curves (Ops. conditions)'!$N$8,'Curves (Ops. conditions)'!$N$28)</c:f>
              <c:numCache>
                <c:formatCode>0</c:formatCode>
                <c:ptCount val="3"/>
                <c:pt idx="0">
                  <c:v>4085.7093182644171</c:v>
                </c:pt>
                <c:pt idx="1">
                  <c:v>714.19385389401737</c:v>
                </c:pt>
                <c:pt idx="2">
                  <c:v>255.35683239152607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617-4ABC-832D-202BC580692A}"/>
            </c:ext>
          </c:extLst>
        </c:ser>
        <c:ser>
          <c:idx val="9"/>
          <c:order val="4"/>
          <c:tx>
            <c:strRef>
              <c:f>'Curves (Ops. conditions)'!$R$19</c:f>
              <c:strCache>
                <c:ptCount val="1"/>
                <c:pt idx="0">
                  <c:v>87%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conditions)'!$O$19,'Curves (Ops. conditions)'!$O$9,'Curves (Ops. conditions)'!$O$29)</c:f>
              <c:numCache>
                <c:formatCode>0</c:formatCode>
                <c:ptCount val="3"/>
                <c:pt idx="0">
                  <c:v>19684.60893562499</c:v>
                </c:pt>
                <c:pt idx="1">
                  <c:v>8230.0242143358737</c:v>
                </c:pt>
                <c:pt idx="2">
                  <c:v>4921.1522339062476</c:v>
                </c:pt>
              </c:numCache>
            </c:numRef>
          </c:xVal>
          <c:yVal>
            <c:numRef>
              <c:f>('Curves (Ops. conditions)'!$N$19,'Curves (Ops. conditions)'!$N$9,'Curves (Ops. conditions)'!$N$29)</c:f>
              <c:numCache>
                <c:formatCode>0</c:formatCode>
                <c:ptCount val="3"/>
                <c:pt idx="0">
                  <c:v>4201.0842524835207</c:v>
                </c:pt>
                <c:pt idx="1">
                  <c:v>734.36172744888722</c:v>
                </c:pt>
                <c:pt idx="2">
                  <c:v>262.56776578022004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F617-4ABC-832D-202BC580692A}"/>
            </c:ext>
          </c:extLst>
        </c:ser>
        <c:ser>
          <c:idx val="17"/>
          <c:order val="5"/>
          <c:tx>
            <c:strRef>
              <c:f>'Curves (Ops. conditions)'!$R$20</c:f>
              <c:strCache>
                <c:ptCount val="1"/>
                <c:pt idx="0">
                  <c:v>85%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conditions)'!$O$20,'Curves (Ops. conditions)'!$O$10,'Curves (Ops. conditions)'!$O$30)</c:f>
              <c:numCache>
                <c:formatCode>0</c:formatCode>
                <c:ptCount val="3"/>
                <c:pt idx="0">
                  <c:v>28313.53990404342</c:v>
                </c:pt>
                <c:pt idx="1">
                  <c:v>11837.731690067933</c:v>
                </c:pt>
                <c:pt idx="2">
                  <c:v>7078.3849760108551</c:v>
                </c:pt>
              </c:numCache>
            </c:numRef>
          </c:xVal>
          <c:yVal>
            <c:numRef>
              <c:f>('Curves (Ops. conditions)'!$N$20,'Curves (Ops. conditions)'!$N$10,'Curves (Ops. conditions)'!$N$30)</c:f>
              <c:numCache>
                <c:formatCode>0</c:formatCode>
                <c:ptCount val="3"/>
                <c:pt idx="0">
                  <c:v>3659.2443409324669</c:v>
                </c:pt>
                <c:pt idx="1">
                  <c:v>639.64653738523714</c:v>
                </c:pt>
                <c:pt idx="2">
                  <c:v>228.70277130827918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E84-447B-B880-98639B5A17BF}"/>
            </c:ext>
          </c:extLst>
        </c:ser>
        <c:ser>
          <c:idx val="18"/>
          <c:order val="6"/>
          <c:tx>
            <c:strRef>
              <c:f>'Curves (Ops. conditions)'!$R$21</c:f>
              <c:strCache>
                <c:ptCount val="1"/>
                <c:pt idx="0">
                  <c:v>72%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conditions)'!$O$21,'Curves (Ops. conditions)'!$O$11,'Curves (Ops. conditions)'!$O$31)</c:f>
              <c:numCache>
                <c:formatCode>0</c:formatCode>
                <c:ptCount val="3"/>
                <c:pt idx="0">
                  <c:v>33908.349437351557</c:v>
                </c:pt>
                <c:pt idx="1">
                  <c:v>14176.890069302517</c:v>
                </c:pt>
                <c:pt idx="2">
                  <c:v>8477.0873593378892</c:v>
                </c:pt>
              </c:numCache>
            </c:numRef>
          </c:xVal>
          <c:yVal>
            <c:numRef>
              <c:f>('Curves (Ops. conditions)'!$N$21,'Curves (Ops. conditions)'!$N$11,'Curves (Ops. conditions)'!$N$31)</c:f>
              <c:numCache>
                <c:formatCode>0</c:formatCode>
                <c:ptCount val="3"/>
                <c:pt idx="0">
                  <c:v>2907.5930674773017</c:v>
                </c:pt>
                <c:pt idx="1">
                  <c:v>508.255711960258</c:v>
                </c:pt>
                <c:pt idx="2">
                  <c:v>181.72456671733136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E84-447B-B880-98639B5A17BF}"/>
            </c:ext>
          </c:extLst>
        </c:ser>
        <c:ser>
          <c:idx val="21"/>
          <c:order val="7"/>
          <c:tx>
            <c:strRef>
              <c:f>'Curves (Ops. conditions)'!$R$22</c:f>
              <c:strCache>
                <c:ptCount val="1"/>
                <c:pt idx="0">
                  <c:v>58%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conditions)'!$O$22,'Curves (Ops. conditions)'!$O$12,'Curves (Ops. conditions)'!$O$32)</c:f>
              <c:numCache>
                <c:formatCode>0</c:formatCode>
                <c:ptCount val="3"/>
                <c:pt idx="0">
                  <c:v>38121.680343291264</c:v>
                </c:pt>
                <c:pt idx="1">
                  <c:v>15938.460009162362</c:v>
                </c:pt>
                <c:pt idx="2">
                  <c:v>9530.420085822816</c:v>
                </c:pt>
              </c:numCache>
            </c:numRef>
          </c:xVal>
          <c:yVal>
            <c:numRef>
              <c:f>('Curves (Ops. conditions)'!$N$22,'Curves (Ops. conditions)'!$N$12,'Curves (Ops. conditions)'!$N$32)</c:f>
              <c:numCache>
                <c:formatCode>0</c:formatCode>
                <c:ptCount val="3"/>
                <c:pt idx="0">
                  <c:v>2061.3607689803757</c:v>
                </c:pt>
                <c:pt idx="1">
                  <c:v>360.33184869094299</c:v>
                </c:pt>
                <c:pt idx="2">
                  <c:v>128.83504806127348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E84-447B-B880-98639B5A17BF}"/>
            </c:ext>
          </c:extLst>
        </c:ser>
        <c:ser>
          <c:idx val="23"/>
          <c:order val="8"/>
          <c:tx>
            <c:strRef>
              <c:f>'Curves (Ops. conditions)'!$R$23</c:f>
              <c:strCache>
                <c:ptCount val="1"/>
                <c:pt idx="0">
                  <c:v>42%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conditions)'!$O$23,'Curves (Ops. conditions)'!$O$13,'Curves (Ops. conditions)'!$O$33)</c:f>
              <c:numCache>
                <c:formatCode>0</c:formatCode>
                <c:ptCount val="3"/>
                <c:pt idx="0">
                  <c:v>40976.177929166915</c:v>
                </c:pt>
                <c:pt idx="1">
                  <c:v>17131.909385187471</c:v>
                </c:pt>
                <c:pt idx="2">
                  <c:v>10244.044482291729</c:v>
                </c:pt>
              </c:numCache>
            </c:numRef>
          </c:xVal>
          <c:yVal>
            <c:numRef>
              <c:f>('Curves (Ops. conditions)'!$N$23,'Curves (Ops. conditions)'!$N$13,'Curves (Ops. conditions)'!$N$33)</c:f>
              <c:numCache>
                <c:formatCode>0</c:formatCode>
                <c:ptCount val="3"/>
                <c:pt idx="0">
                  <c:v>1317.147430130804</c:v>
                </c:pt>
                <c:pt idx="1">
                  <c:v>230.2411958350778</c:v>
                </c:pt>
                <c:pt idx="2">
                  <c:v>82.321714383175248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E84-447B-B880-98639B5A17BF}"/>
            </c:ext>
          </c:extLst>
        </c:ser>
        <c:ser>
          <c:idx val="10"/>
          <c:order val="9"/>
          <c:tx>
            <c:strRef>
              <c:f>'Curves (Ops. conditions)'!$R$24</c:f>
              <c:strCache>
                <c:ptCount val="1"/>
                <c:pt idx="0">
                  <c:v>29%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conditions)'!$O$24,'Curves (Ops. conditions)'!$O$14,'Curves (Ops. conditions)'!$O$34)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(Ops. conditions)'!$N$24,'Curves (Ops. conditions)'!$N$14,'Curves (Ops. conditions)'!$N$34)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F617-4ABC-832D-202BC580692A}"/>
            </c:ext>
          </c:extLst>
        </c:ser>
        <c:ser>
          <c:idx val="6"/>
          <c:order val="10"/>
          <c:tx>
            <c:strRef>
              <c:f>'Curves (Ops. conditions)'!$R$25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conditions)'!$O$25,'Curves (Ops. conditions)'!$O$15,'Curves (Ops. conditions)'!$O$35)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(Ops. conditions)'!$N$25,'Curves (Ops. conditions)'!$N$15,'Curves (Ops. conditions)'!$N$35)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F617-4ABC-832D-202BC580692A}"/>
            </c:ext>
          </c:extLst>
        </c:ser>
        <c:ser>
          <c:idx val="7"/>
          <c:order val="11"/>
          <c:tx>
            <c:strRef>
              <c:f>'Curves (Ops. conditions)'!$R$26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conditions)'!$O$26,'Curves (Ops. conditions)'!$O$16,'Curves (Ops. conditions)'!$O$36)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(Ops. conditions)'!$N$26,'Curves (Ops. conditions)'!$N$16,'Curves (Ops. conditions)'!$N$36)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F617-4ABC-832D-202BC580692A}"/>
            </c:ext>
          </c:extLst>
        </c:ser>
        <c:ser>
          <c:idx val="12"/>
          <c:order val="12"/>
          <c:tx>
            <c:strRef>
              <c:f>'Curves (Ops. conditions)'!$R$27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conditions)'!$O$27,'Curves (Ops. conditions)'!$O$17,'Curves (Ops. conditions)'!$O$37)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(Ops. conditions)'!$N$27,'Curves (Ops. conditions)'!$N$17,'Curves (Ops. conditions)'!$N$37)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F617-4ABC-832D-202BC580692A}"/>
            </c:ext>
          </c:extLst>
        </c:ser>
        <c:ser>
          <c:idx val="27"/>
          <c:order val="13"/>
          <c:tx>
            <c:strRef>
              <c:f>'Curves (Ops. conditions)'!$P$8</c:f>
              <c:strCache>
                <c:ptCount val="1"/>
                <c:pt idx="0">
                  <c:v>14.3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9765625000001726E-2"/>
                  <c:y val="-2.544875677522560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F617-4ABC-832D-202BC580692A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conditions)'!$O$8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'Curves (Ops. conditions)'!$N$8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F617-4ABC-832D-202BC580692A}"/>
            </c:ext>
          </c:extLst>
        </c:ser>
        <c:ser>
          <c:idx val="26"/>
          <c:order val="14"/>
          <c:tx>
            <c:strRef>
              <c:f>'Curves (Ops. conditions)'!$P$9</c:f>
              <c:strCache>
                <c:ptCount val="1"/>
                <c:pt idx="0">
                  <c:v>19.0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F617-4ABC-832D-202BC580692A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conditions)'!$O$9</c:f>
              <c:numCache>
                <c:formatCode>0</c:formatCode>
                <c:ptCount val="1"/>
                <c:pt idx="0">
                  <c:v>8230.0242143358737</c:v>
                </c:pt>
              </c:numCache>
            </c:numRef>
          </c:xVal>
          <c:yVal>
            <c:numRef>
              <c:f>'Curves (Ops. conditions)'!$N$9</c:f>
              <c:numCache>
                <c:formatCode>0</c:formatCode>
                <c:ptCount val="1"/>
                <c:pt idx="0">
                  <c:v>734.36172744888722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F617-4ABC-832D-202BC580692A}"/>
            </c:ext>
          </c:extLst>
        </c:ser>
        <c:ser>
          <c:idx val="28"/>
          <c:order val="15"/>
          <c:tx>
            <c:strRef>
              <c:f>'Curves (Ops. conditions)'!$P$10</c:f>
              <c:strCache>
                <c:ptCount val="1"/>
                <c:pt idx="0">
                  <c:v>24.2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BE84-447B-B880-98639B5A17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conditions)'!$O$10</c:f>
              <c:numCache>
                <c:formatCode>0</c:formatCode>
                <c:ptCount val="1"/>
                <c:pt idx="0">
                  <c:v>11837.731690067933</c:v>
                </c:pt>
              </c:numCache>
            </c:numRef>
          </c:xVal>
          <c:yVal>
            <c:numRef>
              <c:f>'Curves (Ops. conditions)'!$N$10</c:f>
              <c:numCache>
                <c:formatCode>0</c:formatCode>
                <c:ptCount val="1"/>
                <c:pt idx="0">
                  <c:v>639.64653738523714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BE84-447B-B880-98639B5A17BF}"/>
            </c:ext>
          </c:extLst>
        </c:ser>
        <c:ser>
          <c:idx val="29"/>
          <c:order val="16"/>
          <c:tx>
            <c:strRef>
              <c:f>'Curves (Ops. conditions)'!$P$11</c:f>
              <c:strCache>
                <c:ptCount val="1"/>
                <c:pt idx="0">
                  <c:v>27.3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BE84-447B-B880-98639B5A17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conditions)'!$O$11</c:f>
              <c:numCache>
                <c:formatCode>0</c:formatCode>
                <c:ptCount val="1"/>
                <c:pt idx="0">
                  <c:v>14176.890069302517</c:v>
                </c:pt>
              </c:numCache>
            </c:numRef>
          </c:xVal>
          <c:yVal>
            <c:numRef>
              <c:f>'Curves (Ops. conditions)'!$N$11</c:f>
              <c:numCache>
                <c:formatCode>0</c:formatCode>
                <c:ptCount val="1"/>
                <c:pt idx="0">
                  <c:v>508.255711960258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BE84-447B-B880-98639B5A17BF}"/>
            </c:ext>
          </c:extLst>
        </c:ser>
        <c:ser>
          <c:idx val="32"/>
          <c:order val="17"/>
          <c:tx>
            <c:strRef>
              <c:f>'Curves (Ops. conditions)'!$P$12</c:f>
              <c:strCache>
                <c:ptCount val="1"/>
                <c:pt idx="0">
                  <c:v>27.1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BE84-447B-B880-98639B5A17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conditions)'!$O$12</c:f>
              <c:numCache>
                <c:formatCode>0</c:formatCode>
                <c:ptCount val="1"/>
                <c:pt idx="0">
                  <c:v>15938.460009162362</c:v>
                </c:pt>
              </c:numCache>
            </c:numRef>
          </c:xVal>
          <c:yVal>
            <c:numRef>
              <c:f>'Curves (Ops. conditions)'!$N$12</c:f>
              <c:numCache>
                <c:formatCode>0</c:formatCode>
                <c:ptCount val="1"/>
                <c:pt idx="0">
                  <c:v>360.33184869094299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BE84-447B-B880-98639B5A17BF}"/>
            </c:ext>
          </c:extLst>
        </c:ser>
        <c:ser>
          <c:idx val="25"/>
          <c:order val="18"/>
          <c:tx>
            <c:strRef>
              <c:f>'Curves (Ops. conditions)'!$P$13</c:f>
              <c:strCache>
                <c:ptCount val="1"/>
                <c:pt idx="0">
                  <c:v>25.9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conditions)'!$O$13</c:f>
              <c:numCache>
                <c:formatCode>0</c:formatCode>
                <c:ptCount val="1"/>
                <c:pt idx="0">
                  <c:v>17131.909385187471</c:v>
                </c:pt>
              </c:numCache>
            </c:numRef>
          </c:xVal>
          <c:yVal>
            <c:numRef>
              <c:f>'Curves (Ops. conditions)'!$N$13</c:f>
              <c:numCache>
                <c:formatCode>0</c:formatCode>
                <c:ptCount val="1"/>
                <c:pt idx="0">
                  <c:v>230.2411958350778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BE84-447B-B880-98639B5A17BF}"/>
            </c:ext>
          </c:extLst>
        </c:ser>
        <c:ser>
          <c:idx val="24"/>
          <c:order val="19"/>
          <c:tx>
            <c:strRef>
              <c:f>'Curves (Ops. conditions)'!$P$14</c:f>
              <c:strCache>
                <c:ptCount val="1"/>
                <c:pt idx="0">
                  <c:v>25.8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conditions)'!$O$14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(Ops. conditions)'!$N$14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F617-4ABC-832D-202BC580692A}"/>
            </c:ext>
          </c:extLst>
        </c:ser>
        <c:ser>
          <c:idx val="22"/>
          <c:order val="20"/>
          <c:tx>
            <c:strRef>
              <c:f>'Curves (Ops. conditions)'!$P$15</c:f>
              <c:strCache>
                <c:ptCount val="1"/>
                <c:pt idx="0">
                  <c:v>25.3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conditions)'!$O$15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(Ops. conditions)'!$N$15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F617-4ABC-832D-202BC580692A}"/>
            </c:ext>
          </c:extLst>
        </c:ser>
        <c:ser>
          <c:idx val="20"/>
          <c:order val="21"/>
          <c:tx>
            <c:strRef>
              <c:f>'Curves (Ops. conditions)'!$P$16</c:f>
              <c:strCache>
                <c:ptCount val="1"/>
                <c:pt idx="0">
                  <c:v>25.3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conditions)'!$O$16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(Ops. conditions)'!$N$16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F617-4ABC-832D-202BC580692A}"/>
            </c:ext>
          </c:extLst>
        </c:ser>
        <c:ser>
          <c:idx val="19"/>
          <c:order val="22"/>
          <c:tx>
            <c:strRef>
              <c:f>'Curves (Ops. conditions)'!$P$17</c:f>
              <c:strCache>
                <c:ptCount val="1"/>
                <c:pt idx="0">
                  <c:v>25.3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conditions)'!$O$17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(Ops. conditions)'!$N$17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F617-4ABC-832D-202BC580692A}"/>
            </c:ext>
          </c:extLst>
        </c:ser>
        <c:ser>
          <c:idx val="38"/>
          <c:order val="23"/>
          <c:tx>
            <c:strRef>
              <c:f>'Curves (Ops. conditions)'!$R$18</c:f>
              <c:strCache>
                <c:ptCount val="1"/>
                <c:pt idx="0">
                  <c:v>65%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conditions)'!$O$18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'Curves (Ops. conditions)'!$N$18</c:f>
              <c:numCache>
                <c:formatCode>0</c:formatCode>
                <c:ptCount val="1"/>
                <c:pt idx="0">
                  <c:v>4085.7093182644171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F617-4ABC-832D-202BC580692A}"/>
            </c:ext>
          </c:extLst>
        </c:ser>
        <c:ser>
          <c:idx val="37"/>
          <c:order val="24"/>
          <c:tx>
            <c:strRef>
              <c:f>'Curves (Ops. conditions)'!$R$19</c:f>
              <c:strCache>
                <c:ptCount val="1"/>
                <c:pt idx="0">
                  <c:v>87%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conditions)'!$O$19</c:f>
              <c:numCache>
                <c:formatCode>0</c:formatCode>
                <c:ptCount val="1"/>
                <c:pt idx="0">
                  <c:v>19684.60893562499</c:v>
                </c:pt>
              </c:numCache>
            </c:numRef>
          </c:xVal>
          <c:yVal>
            <c:numRef>
              <c:f>'Curves (Ops. conditions)'!$N$19</c:f>
              <c:numCache>
                <c:formatCode>0</c:formatCode>
                <c:ptCount val="1"/>
                <c:pt idx="0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F617-4ABC-832D-202BC580692A}"/>
            </c:ext>
          </c:extLst>
        </c:ser>
        <c:ser>
          <c:idx val="34"/>
          <c:order val="25"/>
          <c:tx>
            <c:strRef>
              <c:f>'Curves (Ops. conditions)'!$R$20</c:f>
              <c:strCache>
                <c:ptCount val="1"/>
                <c:pt idx="0">
                  <c:v>85%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BE84-447B-B880-98639B5A17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conditions)'!$O$20</c:f>
              <c:numCache>
                <c:formatCode>0</c:formatCode>
                <c:ptCount val="1"/>
                <c:pt idx="0">
                  <c:v>28313.53990404342</c:v>
                </c:pt>
              </c:numCache>
            </c:numRef>
          </c:xVal>
          <c:yVal>
            <c:numRef>
              <c:f>'Curves (Ops. conditions)'!$N$20</c:f>
              <c:numCache>
                <c:formatCode>0</c:formatCode>
                <c:ptCount val="1"/>
                <c:pt idx="0">
                  <c:v>3659.2443409324669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BE84-447B-B880-98639B5A17BF}"/>
            </c:ext>
          </c:extLst>
        </c:ser>
        <c:ser>
          <c:idx val="36"/>
          <c:order val="26"/>
          <c:tx>
            <c:strRef>
              <c:f>'Curves (Ops. conditions)'!$R$21</c:f>
              <c:strCache>
                <c:ptCount val="1"/>
                <c:pt idx="0">
                  <c:v>72%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conditions)'!$O$21</c:f>
              <c:numCache>
                <c:formatCode>0</c:formatCode>
                <c:ptCount val="1"/>
                <c:pt idx="0">
                  <c:v>33908.349437351557</c:v>
                </c:pt>
              </c:numCache>
            </c:numRef>
          </c:xVal>
          <c:yVal>
            <c:numRef>
              <c:f>'Curves (Ops. conditions)'!$N$21</c:f>
              <c:numCache>
                <c:formatCode>0</c:formatCode>
                <c:ptCount val="1"/>
                <c:pt idx="0">
                  <c:v>2907.5930674773017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BE84-447B-B880-98639B5A17BF}"/>
            </c:ext>
          </c:extLst>
        </c:ser>
        <c:ser>
          <c:idx val="39"/>
          <c:order val="27"/>
          <c:tx>
            <c:strRef>
              <c:f>'Curves (Ops. conditions)'!$R$22</c:f>
              <c:strCache>
                <c:ptCount val="1"/>
                <c:pt idx="0">
                  <c:v>58%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conditions)'!$O$22</c:f>
              <c:numCache>
                <c:formatCode>0</c:formatCode>
                <c:ptCount val="1"/>
                <c:pt idx="0">
                  <c:v>38121.680343291264</c:v>
                </c:pt>
              </c:numCache>
            </c:numRef>
          </c:xVal>
          <c:yVal>
            <c:numRef>
              <c:f>'Curves (Ops. conditions)'!$N$22</c:f>
              <c:numCache>
                <c:formatCode>0</c:formatCode>
                <c:ptCount val="1"/>
                <c:pt idx="0">
                  <c:v>2061.3607689803757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BE84-447B-B880-98639B5A17BF}"/>
            </c:ext>
          </c:extLst>
        </c:ser>
        <c:ser>
          <c:idx val="40"/>
          <c:order val="28"/>
          <c:tx>
            <c:strRef>
              <c:f>'Curves (Ops. conditions)'!$R$23</c:f>
              <c:strCache>
                <c:ptCount val="1"/>
                <c:pt idx="0">
                  <c:v>42%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conditions)'!$O$23</c:f>
              <c:numCache>
                <c:formatCode>0</c:formatCode>
                <c:ptCount val="1"/>
                <c:pt idx="0">
                  <c:v>40976.177929166915</c:v>
                </c:pt>
              </c:numCache>
            </c:numRef>
          </c:xVal>
          <c:yVal>
            <c:numRef>
              <c:f>'Curves (Ops. conditions)'!$N$23</c:f>
              <c:numCache>
                <c:formatCode>0</c:formatCode>
                <c:ptCount val="1"/>
                <c:pt idx="0">
                  <c:v>1317.147430130804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BE84-447B-B880-98639B5A17BF}"/>
            </c:ext>
          </c:extLst>
        </c:ser>
        <c:ser>
          <c:idx val="35"/>
          <c:order val="29"/>
          <c:tx>
            <c:strRef>
              <c:f>'Curves (Ops. conditions)'!$R$24</c:f>
              <c:strCache>
                <c:ptCount val="1"/>
                <c:pt idx="0">
                  <c:v>29%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conditions)'!$O$24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(Ops. conditions)'!$N$24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5-F617-4ABC-832D-202BC580692A}"/>
            </c:ext>
          </c:extLst>
        </c:ser>
        <c:ser>
          <c:idx val="33"/>
          <c:order val="30"/>
          <c:tx>
            <c:strRef>
              <c:f>'Curves (Ops. conditions)'!$R$25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conditions)'!$O$25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(Ops. conditions)'!$N$25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F617-4ABC-832D-202BC580692A}"/>
            </c:ext>
          </c:extLst>
        </c:ser>
        <c:ser>
          <c:idx val="31"/>
          <c:order val="31"/>
          <c:tx>
            <c:strRef>
              <c:f>'Curves (Ops. conditions)'!$R$26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F617-4ABC-832D-202BC580692A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conditions)'!$O$26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(Ops. conditions)'!$N$26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F617-4ABC-832D-202BC580692A}"/>
            </c:ext>
          </c:extLst>
        </c:ser>
        <c:ser>
          <c:idx val="30"/>
          <c:order val="32"/>
          <c:tx>
            <c:strRef>
              <c:f>'Curves (Ops. conditions)'!$R$27</c:f>
              <c:strCache>
                <c:ptCount val="1"/>
                <c:pt idx="0">
                  <c:v>30%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conditions)'!$O$27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(Ops. conditions)'!$N$27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F617-4ABC-832D-202BC580692A}"/>
            </c:ext>
          </c:extLst>
        </c:ser>
        <c:ser>
          <c:idx val="8"/>
          <c:order val="34"/>
          <c:tx>
            <c:strRef>
              <c:f>'Curves (Ops. conditions)'!$M$18</c:f>
              <c:strCache>
                <c:ptCount val="1"/>
                <c:pt idx="0">
                  <c:v>4000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conditions)'!$O$18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'Curves (Ops. conditions)'!$N$18</c:f>
              <c:numCache>
                <c:formatCode>0</c:formatCode>
                <c:ptCount val="1"/>
                <c:pt idx="0">
                  <c:v>4085.7093182644171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A-F617-4ABC-832D-202BC580692A}"/>
            </c:ext>
          </c:extLst>
        </c:ser>
        <c:ser>
          <c:idx val="5"/>
          <c:order val="35"/>
          <c:tx>
            <c:strRef>
              <c:f>'Curves (Ops. conditions)'!$M$8</c:f>
              <c:strCache>
                <c:ptCount val="1"/>
                <c:pt idx="0">
                  <c:v>1672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conditions)'!$O$8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'Curves (Ops. conditions)'!$N$8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9-F617-4ABC-832D-202BC580692A}"/>
            </c:ext>
          </c:extLst>
        </c:ser>
        <c:ser>
          <c:idx val="11"/>
          <c:order val="36"/>
          <c:tx>
            <c:strRef>
              <c:f>'Curves (Ops. conditions)'!$M$28</c:f>
              <c:strCache>
                <c:ptCount val="1"/>
                <c:pt idx="0">
                  <c:v>1000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conditions)'!$O$28</c:f>
              <c:numCache>
                <c:formatCode>0</c:formatCode>
                <c:ptCount val="1"/>
                <c:pt idx="0">
                  <c:v>2854.7686276578984</c:v>
                </c:pt>
              </c:numCache>
            </c:numRef>
          </c:xVal>
          <c:yVal>
            <c:numRef>
              <c:f>'Curves (Ops. conditions)'!$N$28</c:f>
              <c:numCache>
                <c:formatCode>0</c:formatCode>
                <c:ptCount val="1"/>
                <c:pt idx="0">
                  <c:v>255.35683239152607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B-F617-4ABC-832D-202BC580692A}"/>
            </c:ext>
          </c:extLst>
        </c:ser>
        <c:ser>
          <c:idx val="13"/>
          <c:order val="37"/>
          <c:tx>
            <c:strRef>
              <c:f>'Curves (Ops. conditions)'!$A$49</c:f>
              <c:strCache>
                <c:ptCount val="1"/>
                <c:pt idx="0">
                  <c:v>Op. point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conditions)'!$C$54</c:f>
              <c:numCache>
                <c:formatCode>0</c:formatCode>
                <c:ptCount val="1"/>
                <c:pt idx="0">
                  <c:v>10000</c:v>
                </c:pt>
              </c:numCache>
            </c:numRef>
          </c:xVal>
          <c:yVal>
            <c:numRef>
              <c:f>'Curves (Ops. conditions)'!$E$52</c:f>
              <c:numCache>
                <c:formatCode>0</c:formatCode>
                <c:ptCount val="1"/>
                <c:pt idx="0">
                  <c:v>713.77587437544605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C-F617-4ABC-832D-202BC580692A}"/>
            </c:ext>
          </c:extLst>
        </c:ser>
        <c:ser>
          <c:idx val="16"/>
          <c:order val="40"/>
          <c:tx>
            <c:v>OP Line</c:v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('Curves (Ops. conditions)'!$C$54,'Curves (Ops. conditions)'!$C$54)</c:f>
              <c:numCache>
                <c:formatCode>0</c:formatCode>
                <c:ptCount val="2"/>
                <c:pt idx="0">
                  <c:v>10000</c:v>
                </c:pt>
                <c:pt idx="1">
                  <c:v>10000</c:v>
                </c:pt>
              </c:numCache>
            </c:numRef>
          </c:xVal>
          <c:yVal>
            <c:numRef>
              <c:f>('Curves (Ops. conditions)'!$H$55,'Curves (Ops. conditions)'!$G$55)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F-F617-4ABC-832D-202BC580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89568"/>
        <c:axId val="48348996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4"/>
                <c:order val="33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'Curves (Ops. conditions)'!$B$56:$D$56</c15:sqref>
                        </c15:formulaRef>
                      </c:ext>
                    </c:extLst>
                    <c:strCache>
                      <c:ptCount val="1"/>
                      <c:pt idx="0">
                        <c:v>Density 1.205 kg/m3</c:v>
                      </c:pt>
                    </c:strCache>
                  </c:strRef>
                </c:tx>
                <c:spPr>
                  <a:ln w="2222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6"/>
                  <c:spPr>
                    <a:solidFill>
                      <a:schemeClr val="lt1"/>
                    </a:solidFill>
                    <a:ln w="15875">
                      <a:solidFill>
                        <a:schemeClr val="accent5"/>
                      </a:solidFill>
                      <a:round/>
                    </a:ln>
                    <a:effectLst/>
                  </c:spPr>
                </c:marker>
                <c:dLbls>
                  <c:dLbl>
                    <c:idx val="0"/>
                    <c:tx>
                      <c:rich>
                        <a:bodyPr/>
                        <a:lstStyle/>
                        <a:p>
                          <a:r>
                            <a:rPr lang="zh-CN" altLang="en-US"/>
                            <a:t>气体密度</a:t>
                          </a:r>
                          <a:r>
                            <a:rPr lang="en-US" altLang="zh-CN"/>
                            <a:t>/</a:t>
                          </a:r>
                          <a:fld id="{94091B8E-CE03-42C6-A4E6-857B02EA4696}" type="SERIESNAME">
                            <a:rPr lang="en-US" altLang="zh-CN"/>
                            <a:pPr/>
                            <a:t>[系列名称]</a:t>
                          </a:fld>
                          <a:endParaRPr lang="en-US" altLang="zh-CN"/>
                        </a:p>
                      </c:rich>
                    </c:tx>
                    <c:dLblPos val="l"/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6r2="http://schemas.microsoft.com/office/drawing/2015/06/chart">
                      <c:ext xmlns:c16="http://schemas.microsoft.com/office/drawing/2014/chart" uri="{C3380CC4-5D6E-409C-BE32-E72D297353CC}">
                        <c16:uniqueId val="{00000000-CE2B-457E-9AC0-8CFBE7501EB2}"/>
                      </c:ext>
                      <c:ext uri="{CE6537A1-D6FC-4f65-9D91-7224C49458BB}">
                        <c15:dlblFieldTable/>
                        <c15:showDataLabelsRange val="0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l"/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'Curves (Ops. conditions)'!$F$55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42515.344843366969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'Curves (Ops. conditions)'!$G$55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4201.0842524835207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18-F617-4ABC-832D-202BC580692A}"/>
                  </c:ext>
                </c:extLst>
              </c15:ser>
            </c15:filteredScatterSeries>
            <c15:filteredScatterSeries>
              <c15:ser>
                <c:idx val="15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'Curves (Ops. conditions)'!$T$7</c15:sqref>
                        </c15:formulaRef>
                      </c:ext>
                    </c:extLst>
                    <c:strCache>
                      <c:ptCount val="1"/>
                      <c:pt idx="0">
                        <c:v>Dyn Press, mmH2o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5"/>
                    <c:tx>
                      <c:rich>
                        <a:bodyPr/>
                        <a:lstStyle/>
                        <a:p>
                          <a:r>
                            <a:rPr lang="en-US" altLang="zh-CN"/>
                            <a:t>/</a:t>
                          </a:r>
                          <a:fld id="{AE2361F5-0F01-4A10-AF52-90C1370930CA}" type="SERIESNAME">
                            <a:rPr lang="en-US" altLang="zh-CN"/>
                            <a:pPr/>
                            <a:t>[系列名称]</a:t>
                          </a:fld>
                          <a:endParaRPr lang="en-US" altLang="zh-CN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6r2="http://schemas.microsoft.com/office/drawing/2015/06/chart" xmlns:c15="http://schemas.microsoft.com/office/drawing/2012/chart">
                      <c:ext xmlns:c16="http://schemas.microsoft.com/office/drawing/2014/chart" uri="{C3380CC4-5D6E-409C-BE32-E72D297353CC}">
                        <c16:uniqueId val="{0000001D-F617-4ABC-832D-202BC580692A}"/>
                      </c:ext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6r2="http://schemas.microsoft.com/office/drawing/2015/06/chart"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'Curves (Ops. conditions)'!$O$8:$O$17</c15:sqref>
                        </c15:formulaRef>
                      </c:ext>
                    </c:extLst>
                    <c:numCache>
                      <c:formatCode>0</c:formatCode>
                      <c:ptCount val="10"/>
                      <c:pt idx="0">
                        <c:v>4774.2507882755517</c:v>
                      </c:pt>
                      <c:pt idx="1">
                        <c:v>8230.0242143358737</c:v>
                      </c:pt>
                      <c:pt idx="2">
                        <c:v>11837.731690067933</c:v>
                      </c:pt>
                      <c:pt idx="3">
                        <c:v>14176.890069302517</c:v>
                      </c:pt>
                      <c:pt idx="4">
                        <c:v>15938.460009162362</c:v>
                      </c:pt>
                      <c:pt idx="5">
                        <c:v>17131.909385187471</c:v>
                      </c:pt>
                      <c:pt idx="6">
                        <c:v>17775.426409843509</c:v>
                      </c:pt>
                      <c:pt idx="7">
                        <c:v>17775.426409843509</c:v>
                      </c:pt>
                      <c:pt idx="8">
                        <c:v>17775.426409843509</c:v>
                      </c:pt>
                      <c:pt idx="9">
                        <c:v>17775.426409843509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'Curves (Ops. conditions)'!$T$8:$T$17</c15:sqref>
                        </c15:formulaRef>
                      </c:ext>
                    </c:extLst>
                    <c:numCache>
                      <c:formatCode>0</c:formatCode>
                      <c:ptCount val="10"/>
                      <c:pt idx="0">
                        <c:v>4.271658382199611</c:v>
                      </c:pt>
                      <c:pt idx="1">
                        <c:v>12.693701533964179</c:v>
                      </c:pt>
                      <c:pt idx="2">
                        <c:v>26.261712400271765</c:v>
                      </c:pt>
                      <c:pt idx="3">
                        <c:v>37.665869735483099</c:v>
                      </c:pt>
                      <c:pt idx="4">
                        <c:v>47.607872128177043</c:v>
                      </c:pt>
                      <c:pt idx="5">
                        <c:v>55.004420542951479</c:v>
                      </c:pt>
                      <c:pt idx="6">
                        <c:v>59.214233507890143</c:v>
                      </c:pt>
                      <c:pt idx="7">
                        <c:v>59.214233507890143</c:v>
                      </c:pt>
                      <c:pt idx="8">
                        <c:v>59.214233507890143</c:v>
                      </c:pt>
                      <c:pt idx="9">
                        <c:v>59.214233507890143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F617-4ABC-832D-202BC580692A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14"/>
          <c:order val="38"/>
          <c:tx>
            <c:strRef>
              <c:f>'Curves (Ops. conditions)'!$P$7</c:f>
              <c:strCache>
                <c:ptCount val="1"/>
                <c:pt idx="0">
                  <c:v>Shaft Power [kW]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zh-CN" altLang="en-US"/>
                      <a:t>电机功率</a:t>
                    </a:r>
                    <a:r>
                      <a:rPr lang="en-US" altLang="zh-CN"/>
                      <a:t>/</a:t>
                    </a:r>
                    <a:fld id="{9D25F048-C3A3-4B0B-A888-25184D8327BB}" type="SERIESNAME">
                      <a:rPr lang="en-US" altLang="zh-CN"/>
                      <a:pPr/>
                      <a:t>[系列名称]</a:t>
                    </a:fld>
                    <a:endParaRPr lang="en-US" altLang="zh-CN"/>
                  </a:p>
                </c:rich>
              </c:tx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0-F617-4ABC-832D-202BC580692A}"/>
                </c:ext>
                <c:ext xmlns:c15="http://schemas.microsoft.com/office/drawing/2012/chart" uri="{CE6537A1-D6FC-4f65-9D91-7224C49458BB}"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(Ops. conditions)'!$O$8:$O$17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(Ops. conditions)'!$P$8:$P$17</c:f>
              <c:numCache>
                <c:formatCode>0.0</c:formatCode>
                <c:ptCount val="10"/>
                <c:pt idx="0">
                  <c:v>14.274563137553155</c:v>
                </c:pt>
                <c:pt idx="1">
                  <c:v>19.03275085007088</c:v>
                </c:pt>
                <c:pt idx="2">
                  <c:v>24.232285134372773</c:v>
                </c:pt>
                <c:pt idx="3">
                  <c:v>27.282769632308188</c:v>
                </c:pt>
                <c:pt idx="4">
                  <c:v>27.106751763712655</c:v>
                </c:pt>
                <c:pt idx="5">
                  <c:v>25.874626683543898</c:v>
                </c:pt>
                <c:pt idx="6">
                  <c:v>25.843614349630325</c:v>
                </c:pt>
                <c:pt idx="7">
                  <c:v>25.336876813363066</c:v>
                </c:pt>
                <c:pt idx="8">
                  <c:v>25.336876813363066</c:v>
                </c:pt>
                <c:pt idx="9">
                  <c:v>25.336876813363066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1-F617-4ABC-832D-202BC580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2400"/>
        <c:axId val="487522008"/>
      </c:scatterChart>
      <c:valAx>
        <c:axId val="4834895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Q &lt;m3/hr&gt;</a:t>
                </a:r>
              </a:p>
            </c:rich>
          </c:tx>
          <c:layout>
            <c:manualLayout>
              <c:xMode val="edge"/>
              <c:yMode val="edge"/>
              <c:x val="0.45312520505249348"/>
              <c:y val="0.935144713245742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489960"/>
        <c:crosses val="autoZero"/>
        <c:crossBetween val="midCat"/>
      </c:valAx>
      <c:valAx>
        <c:axId val="4834899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 &lt;mmH20&gt;</a:t>
                </a:r>
              </a:p>
            </c:rich>
          </c:tx>
          <c:layout>
            <c:manualLayout>
              <c:xMode val="edge"/>
              <c:yMode val="edge"/>
              <c:x val="1.5625E-2"/>
              <c:y val="0.443439547432111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489568"/>
        <c:crosses val="autoZero"/>
        <c:crossBetween val="midCat"/>
      </c:valAx>
      <c:valAx>
        <c:axId val="487522008"/>
        <c:scaling>
          <c:orientation val="minMax"/>
        </c:scaling>
        <c:delete val="0"/>
        <c:axPos val="r"/>
        <c:title>
          <c:tx>
            <c:strRef>
              <c:f>'Curves (Ops. conditions)'!$P$7</c:f>
              <c:strCache>
                <c:ptCount val="1"/>
                <c:pt idx="0">
                  <c:v>Shaft Power [kW]</c:v>
                </c:pt>
              </c:strCache>
            </c:strRef>
          </c:tx>
          <c:layout>
            <c:manualLayout>
              <c:xMode val="edge"/>
              <c:yMode val="edge"/>
              <c:x val="0.86126999395710768"/>
              <c:y val="0.92393505177133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7522400"/>
        <c:crosses val="max"/>
        <c:crossBetween val="midCat"/>
      </c:valAx>
      <c:valAx>
        <c:axId val="4875224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7522008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 alignWithMargins="0"/>
    <c:pageMargins b="1" l="0.75000000000001465" r="0.75000000000001465" t="1" header="0.5" footer="0.5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'Fan Torque Curve'!$B$47</c:f>
          <c:strCache>
            <c:ptCount val="1"/>
            <c:pt idx="0">
              <c:v>XOE 166-45G REG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9548144717204523E-2"/>
          <c:y val="0.13969159118268121"/>
          <c:w val="0.784902777873004"/>
          <c:h val="0.74509913670575356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'Fan Torque Curve'!$Q$7</c:f>
              <c:strCache>
                <c:ptCount val="1"/>
                <c:pt idx="0">
                  <c:v>Fan Torque, Nm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'Fan Torque Curve'!$M$8:$M$13</c:f>
              <c:numCache>
                <c:formatCode>General</c:formatCode>
                <c:ptCount val="6"/>
                <c:pt idx="0" formatCode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</c:numCache>
            </c:numRef>
          </c:xVal>
          <c:yVal>
            <c:numRef>
              <c:f>'Fan Torque Curve'!$Q$8:$Q$13</c:f>
              <c:numCache>
                <c:formatCode>0.0</c:formatCode>
                <c:ptCount val="6"/>
                <c:pt idx="0">
                  <c:v>0</c:v>
                </c:pt>
                <c:pt idx="1">
                  <c:v>25.406448252454275</c:v>
                </c:pt>
                <c:pt idx="2">
                  <c:v>101.6257930098171</c:v>
                </c:pt>
                <c:pt idx="3">
                  <c:v>228.65803427208846</c:v>
                </c:pt>
                <c:pt idx="4">
                  <c:v>406.50317203926841</c:v>
                </c:pt>
                <c:pt idx="5">
                  <c:v>635.16120631135698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7CE-4FA4-903B-44F5F3291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89176"/>
        <c:axId val="487523184"/>
      </c:scatterChart>
      <c:valAx>
        <c:axId val="483489176"/>
        <c:scaling>
          <c:orientation val="minMax"/>
          <c:min val="0"/>
        </c:scaling>
        <c:delete val="0"/>
        <c:axPos val="b"/>
        <c:title>
          <c:tx>
            <c:strRef>
              <c:f>'Fan Torque Curve'!$M$7</c:f>
              <c:strCache>
                <c:ptCount val="1"/>
                <c:pt idx="0">
                  <c:v>Rev/min</c:v>
                </c:pt>
              </c:strCache>
            </c:strRef>
          </c:tx>
          <c:layout>
            <c:manualLayout>
              <c:xMode val="edge"/>
              <c:yMode val="edge"/>
              <c:x val="0.45312520505249348"/>
              <c:y val="0.93514471324574289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da-DK" sz="1200" b="1" i="0" u="none" strike="noStrike" baseline="0">
                  <a:solidFill>
                    <a:srgbClr val="000000"/>
                  </a:solidFill>
                  <a:latin typeface="+mn-lt"/>
                  <a:ea typeface="Arial"/>
                  <a:cs typeface="Arial"/>
                </a:defRPr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da-DK" sz="12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zh-CN"/>
          </a:p>
        </c:txPr>
        <c:crossAx val="487523184"/>
        <c:crosses val="autoZero"/>
        <c:crossBetween val="midCat"/>
      </c:valAx>
      <c:valAx>
        <c:axId val="4875231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strRef>
              <c:f>'Fan Torque Curve'!$Q$7</c:f>
              <c:strCache>
                <c:ptCount val="1"/>
                <c:pt idx="0">
                  <c:v>Fan Torque, Nm</c:v>
                </c:pt>
              </c:strCache>
            </c:strRef>
          </c:tx>
          <c:layout>
            <c:manualLayout>
              <c:xMode val="edge"/>
              <c:yMode val="edge"/>
              <c:x val="1.5625E-2"/>
              <c:y val="0.4434395474321112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da-DK" sz="1200" b="1" i="0" u="none" strike="noStrike" baseline="0">
                  <a:solidFill>
                    <a:srgbClr val="000000"/>
                  </a:solidFill>
                  <a:latin typeface="+mn-lt"/>
                  <a:ea typeface="Arial"/>
                  <a:cs typeface="Arial"/>
                </a:defRPr>
              </a:pPr>
              <a:endParaRPr lang="zh-CN"/>
            </a:p>
          </c:tx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da-DK" sz="12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zh-CN"/>
          </a:p>
        </c:txPr>
        <c:crossAx val="483489176"/>
        <c:crosses val="autoZero"/>
        <c:crossBetween val="midCat"/>
      </c:valAx>
      <c:spPr>
        <a:gradFill>
          <a:gsLst>
            <a:gs pos="0">
              <a:srgbClr val="4F81BD">
                <a:tint val="66000"/>
                <a:satMod val="160000"/>
              </a:srgbClr>
            </a:gs>
            <a:gs pos="50000">
              <a:srgbClr val="4F81BD">
                <a:tint val="44500"/>
                <a:satMod val="160000"/>
              </a:srgbClr>
            </a:gs>
            <a:gs pos="100000">
              <a:srgbClr val="4F81BD">
                <a:tint val="23500"/>
                <a:satMod val="160000"/>
              </a:srgbClr>
            </a:gs>
          </a:gsLst>
          <a:lin ang="5400000" scaled="0"/>
        </a:gradFill>
        <a:ln w="12700">
          <a:solidFill>
            <a:prstClr val="black">
              <a:lumMod val="95000"/>
              <a:lumOff val="5000"/>
            </a:prstClr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'Curves (Simulation) (a)'!$B$47</c:f>
          <c:strCache>
            <c:ptCount val="1"/>
            <c:pt idx="0">
              <c:v>XOE 166-45G REG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9548144717204523E-2"/>
          <c:y val="0.13969159118268121"/>
          <c:w val="0.784902777873004"/>
          <c:h val="0.745099136705753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'Curves (Simulation) (a)'!$M$18</c:f>
              <c:strCache>
                <c:ptCount val="1"/>
                <c:pt idx="0">
                  <c:v>4000</c:v>
                </c:pt>
              </c:strCache>
            </c:strRef>
          </c:tx>
          <c:spPr>
            <a:ln w="25400">
              <a:solidFill>
                <a:prstClr val="black">
                  <a:lumMod val="95000"/>
                  <a:lumOff val="5000"/>
                </a:prstClr>
              </a:solidFill>
              <a:prstDash val="solid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'Curves (Simulation) (a)'!$O$18:$O$27</c:f>
              <c:numCache>
                <c:formatCode>0</c:formatCode>
                <c:ptCount val="10"/>
                <c:pt idx="0">
                  <c:v>11419.074510631594</c:v>
                </c:pt>
                <c:pt idx="1">
                  <c:v>19684.60893562499</c:v>
                </c:pt>
                <c:pt idx="2">
                  <c:v>28313.53990404342</c:v>
                </c:pt>
                <c:pt idx="3">
                  <c:v>33908.349437351557</c:v>
                </c:pt>
                <c:pt idx="4">
                  <c:v>38121.680343291264</c:v>
                </c:pt>
                <c:pt idx="5">
                  <c:v>40976.177929166923</c:v>
                </c:pt>
                <c:pt idx="6">
                  <c:v>42515.344843366969</c:v>
                </c:pt>
                <c:pt idx="7">
                  <c:v>42515.344843366969</c:v>
                </c:pt>
                <c:pt idx="8">
                  <c:v>42515.344843366969</c:v>
                </c:pt>
                <c:pt idx="9">
                  <c:v>42515.344843366969</c:v>
                </c:pt>
              </c:numCache>
            </c:numRef>
          </c:xVal>
          <c:yVal>
            <c:numRef>
              <c:f>'Curves (Simulation) (a)'!$N$18:$N$27</c:f>
              <c:numCache>
                <c:formatCode>0</c:formatCode>
                <c:ptCount val="10"/>
                <c:pt idx="0">
                  <c:v>4085.7093182644171</c:v>
                </c:pt>
                <c:pt idx="1">
                  <c:v>4201.0842524835207</c:v>
                </c:pt>
                <c:pt idx="2">
                  <c:v>3659.2443409324669</c:v>
                </c:pt>
                <c:pt idx="3">
                  <c:v>2907.5930674773017</c:v>
                </c:pt>
                <c:pt idx="4">
                  <c:v>2061.3607689803757</c:v>
                </c:pt>
                <c:pt idx="5">
                  <c:v>1317.147430130804</c:v>
                </c:pt>
                <c:pt idx="6">
                  <c:v>884.94664999877875</c:v>
                </c:pt>
                <c:pt idx="7">
                  <c:v>884.94664999877875</c:v>
                </c:pt>
                <c:pt idx="8">
                  <c:v>884.94664999877875</c:v>
                </c:pt>
                <c:pt idx="9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E5-4C87-A3F4-62908714F420}"/>
            </c:ext>
          </c:extLst>
        </c:ser>
        <c:ser>
          <c:idx val="1"/>
          <c:order val="1"/>
          <c:tx>
            <c:strRef>
              <c:f>'Curves (Simulation) (a)'!$M$8</c:f>
              <c:strCache>
                <c:ptCount val="1"/>
                <c:pt idx="0">
                  <c:v>1672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'Curves (Simulation) (a)'!$O$8:$O$17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(Simulation) (a)'!$N$8:$N$17</c:f>
              <c:numCache>
                <c:formatCode>0</c:formatCode>
                <c:ptCount val="10"/>
                <c:pt idx="0">
                  <c:v>714.19385389401737</c:v>
                </c:pt>
                <c:pt idx="1">
                  <c:v>734.36172744888722</c:v>
                </c:pt>
                <c:pt idx="2">
                  <c:v>639.64653738523714</c:v>
                </c:pt>
                <c:pt idx="3">
                  <c:v>508.25571196025805</c:v>
                </c:pt>
                <c:pt idx="4">
                  <c:v>360.33184869094299</c:v>
                </c:pt>
                <c:pt idx="5">
                  <c:v>230.2411958350778</c:v>
                </c:pt>
                <c:pt idx="6">
                  <c:v>154.69124433984632</c:v>
                </c:pt>
                <c:pt idx="7">
                  <c:v>154.69124433984632</c:v>
                </c:pt>
                <c:pt idx="8">
                  <c:v>154.69124433984632</c:v>
                </c:pt>
                <c:pt idx="9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3E5-4C87-A3F4-62908714F420}"/>
            </c:ext>
          </c:extLst>
        </c:ser>
        <c:ser>
          <c:idx val="2"/>
          <c:order val="2"/>
          <c:tx>
            <c:strRef>
              <c:f>'Curves (Simulation) (a)'!$M$28</c:f>
              <c:strCache>
                <c:ptCount val="1"/>
                <c:pt idx="0">
                  <c:v>1000</c:v>
                </c:pt>
              </c:strCache>
            </c:strRef>
          </c:tx>
          <c:spPr>
            <a:ln w="25400">
              <a:solidFill>
                <a:prstClr val="black">
                  <a:lumMod val="95000"/>
                  <a:lumOff val="5000"/>
                </a:prstClr>
              </a:solidFill>
              <a:prstDash val="solid"/>
            </a:ln>
          </c:spPr>
          <c:marker>
            <c:symbol val="plus"/>
            <c:size val="5"/>
          </c:marker>
          <c:xVal>
            <c:numRef>
              <c:f>'Curves (Simulation) (a)'!$O$28:$O$37</c:f>
              <c:numCache>
                <c:formatCode>0</c:formatCode>
                <c:ptCount val="10"/>
                <c:pt idx="0">
                  <c:v>2854.7686276578984</c:v>
                </c:pt>
                <c:pt idx="1">
                  <c:v>4921.1522339062476</c:v>
                </c:pt>
                <c:pt idx="2">
                  <c:v>7078.3849760108551</c:v>
                </c:pt>
                <c:pt idx="3">
                  <c:v>8477.0873593378892</c:v>
                </c:pt>
                <c:pt idx="4">
                  <c:v>9530.420085822816</c:v>
                </c:pt>
                <c:pt idx="5">
                  <c:v>10244.044482291731</c:v>
                </c:pt>
                <c:pt idx="6">
                  <c:v>10628.836210841742</c:v>
                </c:pt>
                <c:pt idx="7">
                  <c:v>10628.836210841742</c:v>
                </c:pt>
                <c:pt idx="8">
                  <c:v>10628.836210841742</c:v>
                </c:pt>
                <c:pt idx="9">
                  <c:v>10628.836210841742</c:v>
                </c:pt>
              </c:numCache>
            </c:numRef>
          </c:xVal>
          <c:yVal>
            <c:numRef>
              <c:f>'Curves (Simulation) (a)'!$N$28:$N$37</c:f>
              <c:numCache>
                <c:formatCode>0</c:formatCode>
                <c:ptCount val="10"/>
                <c:pt idx="0">
                  <c:v>255.35683239152607</c:v>
                </c:pt>
                <c:pt idx="1">
                  <c:v>262.56776578022004</c:v>
                </c:pt>
                <c:pt idx="2">
                  <c:v>228.70277130827918</c:v>
                </c:pt>
                <c:pt idx="3">
                  <c:v>181.72456671733136</c:v>
                </c:pt>
                <c:pt idx="4">
                  <c:v>128.83504806127348</c:v>
                </c:pt>
                <c:pt idx="5">
                  <c:v>82.321714383175248</c:v>
                </c:pt>
                <c:pt idx="6">
                  <c:v>55.309165624923672</c:v>
                </c:pt>
                <c:pt idx="7">
                  <c:v>55.309165624923672</c:v>
                </c:pt>
                <c:pt idx="8">
                  <c:v>55.309165624923672</c:v>
                </c:pt>
                <c:pt idx="9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3E5-4C87-A3F4-62908714F420}"/>
            </c:ext>
          </c:extLst>
        </c:ser>
        <c:ser>
          <c:idx val="3"/>
          <c:order val="3"/>
          <c:tx>
            <c:strRef>
              <c:f>'Curves (Simulation) (a)'!$R$18</c:f>
              <c:strCache>
                <c:ptCount val="1"/>
                <c:pt idx="0">
                  <c:v>65%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('Curves (Simulation) (a)'!$O$18,'Curves (Simulation) (a)'!$O$8,'Curves (Simulation) (a)'!$O$28)</c:f>
              <c:numCache>
                <c:formatCode>0</c:formatCode>
                <c:ptCount val="3"/>
                <c:pt idx="0">
                  <c:v>11419.074510631594</c:v>
                </c:pt>
                <c:pt idx="1">
                  <c:v>4774.2507882755517</c:v>
                </c:pt>
                <c:pt idx="2">
                  <c:v>2854.7686276578984</c:v>
                </c:pt>
              </c:numCache>
            </c:numRef>
          </c:xVal>
          <c:yVal>
            <c:numRef>
              <c:f>('Curves (Simulation) (a)'!$N$18,'Curves (Simulation) (a)'!$N$8,'Curves (Simulation) (a)'!$N$28)</c:f>
              <c:numCache>
                <c:formatCode>0</c:formatCode>
                <c:ptCount val="3"/>
                <c:pt idx="0">
                  <c:v>4085.7093182644171</c:v>
                </c:pt>
                <c:pt idx="1">
                  <c:v>714.19385389401737</c:v>
                </c:pt>
                <c:pt idx="2">
                  <c:v>255.35683239152607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3E5-4C87-A3F4-62908714F420}"/>
            </c:ext>
          </c:extLst>
        </c:ser>
        <c:ser>
          <c:idx val="9"/>
          <c:order val="4"/>
          <c:tx>
            <c:strRef>
              <c:f>'Curves (Simulation) (a)'!$R$19</c:f>
              <c:strCache>
                <c:ptCount val="1"/>
                <c:pt idx="0">
                  <c:v>87%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('Curves (Simulation) (a)'!$O$19,'Curves (Simulation) (a)'!$O$9,'Curves (Simulation) (a)'!$O$29)</c:f>
              <c:numCache>
                <c:formatCode>0</c:formatCode>
                <c:ptCount val="3"/>
                <c:pt idx="0">
                  <c:v>19684.60893562499</c:v>
                </c:pt>
                <c:pt idx="1">
                  <c:v>8230.0242143358737</c:v>
                </c:pt>
                <c:pt idx="2">
                  <c:v>4921.1522339062476</c:v>
                </c:pt>
              </c:numCache>
            </c:numRef>
          </c:xVal>
          <c:yVal>
            <c:numRef>
              <c:f>('Curves (Simulation) (a)'!$N$19,'Curves (Simulation) (a)'!$N$9,'Curves (Simulation) (a)'!$N$29)</c:f>
              <c:numCache>
                <c:formatCode>0</c:formatCode>
                <c:ptCount val="3"/>
                <c:pt idx="0">
                  <c:v>4201.0842524835207</c:v>
                </c:pt>
                <c:pt idx="1">
                  <c:v>734.36172744888722</c:v>
                </c:pt>
                <c:pt idx="2">
                  <c:v>262.56776578022004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B3E5-4C87-A3F4-62908714F420}"/>
            </c:ext>
          </c:extLst>
        </c:ser>
        <c:ser>
          <c:idx val="17"/>
          <c:order val="5"/>
          <c:tx>
            <c:strRef>
              <c:f>'Curves (Simulation) (a)'!$R$20</c:f>
              <c:strCache>
                <c:ptCount val="1"/>
                <c:pt idx="0">
                  <c:v>85%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(a)'!$O$20,'Curves (Simulation) (a)'!$O$10,'Curves (Simulation) (a)'!$O$30)</c:f>
              <c:numCache>
                <c:formatCode>0</c:formatCode>
                <c:ptCount val="3"/>
                <c:pt idx="0">
                  <c:v>28313.53990404342</c:v>
                </c:pt>
                <c:pt idx="1">
                  <c:v>11837.731690067933</c:v>
                </c:pt>
                <c:pt idx="2">
                  <c:v>7078.3849760108551</c:v>
                </c:pt>
              </c:numCache>
            </c:numRef>
          </c:xVal>
          <c:yVal>
            <c:numRef>
              <c:f>('Curves (Simulation) (a)'!$N$20,'Curves (Simulation) (a)'!$N$10,'Curves (Simulation) (a)'!$N$30)</c:f>
              <c:numCache>
                <c:formatCode>0</c:formatCode>
                <c:ptCount val="3"/>
                <c:pt idx="0">
                  <c:v>3659.2443409324669</c:v>
                </c:pt>
                <c:pt idx="1">
                  <c:v>639.64653738523714</c:v>
                </c:pt>
                <c:pt idx="2">
                  <c:v>228.70277130827918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B3E5-4C87-A3F4-62908714F420}"/>
            </c:ext>
          </c:extLst>
        </c:ser>
        <c:ser>
          <c:idx val="18"/>
          <c:order val="6"/>
          <c:tx>
            <c:strRef>
              <c:f>'Curves (Simulation) (a)'!$R$21</c:f>
              <c:strCache>
                <c:ptCount val="1"/>
                <c:pt idx="0">
                  <c:v>72%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(a)'!$O$21,'Curves (Simulation) (a)'!$O$11,'Curves (Simulation) (a)'!$O$31)</c:f>
              <c:numCache>
                <c:formatCode>0</c:formatCode>
                <c:ptCount val="3"/>
                <c:pt idx="0">
                  <c:v>33908.349437351557</c:v>
                </c:pt>
                <c:pt idx="1">
                  <c:v>14176.890069302517</c:v>
                </c:pt>
                <c:pt idx="2">
                  <c:v>8477.0873593378892</c:v>
                </c:pt>
              </c:numCache>
            </c:numRef>
          </c:xVal>
          <c:yVal>
            <c:numRef>
              <c:f>('Curves (Simulation) (a)'!$N$21,'Curves (Simulation) (a)'!$N$11,'Curves (Simulation) (a)'!$N$31)</c:f>
              <c:numCache>
                <c:formatCode>0</c:formatCode>
                <c:ptCount val="3"/>
                <c:pt idx="0">
                  <c:v>2907.5930674773017</c:v>
                </c:pt>
                <c:pt idx="1">
                  <c:v>508.25571196025805</c:v>
                </c:pt>
                <c:pt idx="2">
                  <c:v>181.72456671733136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B3E5-4C87-A3F4-62908714F420}"/>
            </c:ext>
          </c:extLst>
        </c:ser>
        <c:ser>
          <c:idx val="21"/>
          <c:order val="7"/>
          <c:tx>
            <c:strRef>
              <c:f>'Curves (Simulation) (a)'!$R$22</c:f>
              <c:strCache>
                <c:ptCount val="1"/>
                <c:pt idx="0">
                  <c:v>58%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(a)'!$O$22,'Curves (Simulation) (a)'!$O$12,'Curves (Simulation) (a)'!$O$32)</c:f>
              <c:numCache>
                <c:formatCode>0</c:formatCode>
                <c:ptCount val="3"/>
                <c:pt idx="0">
                  <c:v>38121.680343291264</c:v>
                </c:pt>
                <c:pt idx="1">
                  <c:v>15938.460009162362</c:v>
                </c:pt>
                <c:pt idx="2">
                  <c:v>9530.420085822816</c:v>
                </c:pt>
              </c:numCache>
            </c:numRef>
          </c:xVal>
          <c:yVal>
            <c:numRef>
              <c:f>('Curves (Simulation) (a)'!$N$22,'Curves (Simulation) (a)'!$N$12,'Curves (Simulation) (a)'!$N$32)</c:f>
              <c:numCache>
                <c:formatCode>0</c:formatCode>
                <c:ptCount val="3"/>
                <c:pt idx="0">
                  <c:v>2061.3607689803757</c:v>
                </c:pt>
                <c:pt idx="1">
                  <c:v>360.33184869094299</c:v>
                </c:pt>
                <c:pt idx="2">
                  <c:v>128.83504806127348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B3E5-4C87-A3F4-62908714F420}"/>
            </c:ext>
          </c:extLst>
        </c:ser>
        <c:ser>
          <c:idx val="23"/>
          <c:order val="8"/>
          <c:tx>
            <c:strRef>
              <c:f>'Curves (Simulation) (a)'!$R$23</c:f>
              <c:strCache>
                <c:ptCount val="1"/>
                <c:pt idx="0">
                  <c:v>42%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(a)'!$O$23,'Curves (Simulation) (a)'!$O$13,'Curves (Simulation) (a)'!$O$33)</c:f>
              <c:numCache>
                <c:formatCode>0</c:formatCode>
                <c:ptCount val="3"/>
                <c:pt idx="0">
                  <c:v>40976.177929166923</c:v>
                </c:pt>
                <c:pt idx="1">
                  <c:v>17131.909385187471</c:v>
                </c:pt>
                <c:pt idx="2">
                  <c:v>10244.044482291731</c:v>
                </c:pt>
              </c:numCache>
            </c:numRef>
          </c:xVal>
          <c:yVal>
            <c:numRef>
              <c:f>('Curves (Simulation) (a)'!$N$23,'Curves (Simulation) (a)'!$N$13,'Curves (Simulation) (a)'!$N$33)</c:f>
              <c:numCache>
                <c:formatCode>0</c:formatCode>
                <c:ptCount val="3"/>
                <c:pt idx="0">
                  <c:v>1317.147430130804</c:v>
                </c:pt>
                <c:pt idx="1">
                  <c:v>230.2411958350778</c:v>
                </c:pt>
                <c:pt idx="2">
                  <c:v>82.321714383175248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B3E5-4C87-A3F4-62908714F420}"/>
            </c:ext>
          </c:extLst>
        </c:ser>
        <c:ser>
          <c:idx val="10"/>
          <c:order val="9"/>
          <c:tx>
            <c:strRef>
              <c:f>'Curves (Simulation) (a)'!$R$24</c:f>
              <c:strCache>
                <c:ptCount val="1"/>
                <c:pt idx="0">
                  <c:v>29%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('Curves (Simulation) (a)'!$O$24,'Curves (Simulation) (a)'!$O$14,'Curves (Simulation) (a)'!$O$34)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(Simulation) (a)'!$N$24,'Curves (Simulation) (a)'!$N$14,'Curves (Simulation) (a)'!$N$34)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B3E5-4C87-A3F4-62908714F420}"/>
            </c:ext>
          </c:extLst>
        </c:ser>
        <c:ser>
          <c:idx val="6"/>
          <c:order val="10"/>
          <c:tx>
            <c:strRef>
              <c:f>'Curves (Simulation) (a)'!$R$25</c:f>
              <c:strCache>
                <c:ptCount val="1"/>
                <c:pt idx="0">
                  <c:v>30%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('Curves (Simulation) (a)'!$O$25,'Curves (Simulation) (a)'!$O$15,'Curves (Simulation) (a)'!$O$35)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(Simulation) (a)'!$N$25,'Curves (Simulation) (a)'!$N$15,'Curves (Simulation) (a)'!$N$35)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B3E5-4C87-A3F4-62908714F420}"/>
            </c:ext>
          </c:extLst>
        </c:ser>
        <c:ser>
          <c:idx val="7"/>
          <c:order val="11"/>
          <c:tx>
            <c:strRef>
              <c:f>'Curves (Simulation) (a)'!$R$26</c:f>
              <c:strCache>
                <c:ptCount val="1"/>
                <c:pt idx="0">
                  <c:v>30%</c:v>
                </c:pt>
              </c:strCache>
            </c:strRef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('Curves (Simulation) (a)'!$O$26,'Curves (Simulation) (a)'!$O$16,'Curves (Simulation) (a)'!$O$36)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(Simulation) (a)'!$N$26,'Curves (Simulation) (a)'!$N$16,'Curves (Simulation) (a)'!$N$36)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B3E5-4C87-A3F4-62908714F420}"/>
            </c:ext>
          </c:extLst>
        </c:ser>
        <c:ser>
          <c:idx val="12"/>
          <c:order val="12"/>
          <c:tx>
            <c:strRef>
              <c:f>'Curves (Simulation) (a)'!$R$27</c:f>
              <c:strCache>
                <c:ptCount val="1"/>
                <c:pt idx="0">
                  <c:v>30%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('Curves (Simulation) (a)'!$O$27,'Curves (Simulation) (a)'!$O$17,'Curves (Simulation) (a)'!$O$37)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(Simulation) (a)'!$N$27,'Curves (Simulation) (a)'!$N$17,'Curves (Simulation) (a)'!$N$37)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B3E5-4C87-A3F4-62908714F420}"/>
            </c:ext>
          </c:extLst>
        </c:ser>
        <c:ser>
          <c:idx val="27"/>
          <c:order val="13"/>
          <c:tx>
            <c:strRef>
              <c:f>'Curves (Simulation) (a)'!$P$8</c:f>
              <c:strCache>
                <c:ptCount val="1"/>
                <c:pt idx="0">
                  <c:v>14.3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1.9765625000001726E-2"/>
                  <c:y val="-2.544875677522560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B3E5-4C87-A3F4-62908714F420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(a)'!$O$8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'Curves (Simulation) (a)'!$N$8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B3E5-4C87-A3F4-62908714F420}"/>
            </c:ext>
          </c:extLst>
        </c:ser>
        <c:ser>
          <c:idx val="26"/>
          <c:order val="14"/>
          <c:tx>
            <c:strRef>
              <c:f>'Curves (Simulation) (a)'!$P$9</c:f>
              <c:strCache>
                <c:ptCount val="1"/>
                <c:pt idx="0">
                  <c:v>19.0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B3E5-4C87-A3F4-62908714F420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(a)'!$O$9</c:f>
              <c:numCache>
                <c:formatCode>0</c:formatCode>
                <c:ptCount val="1"/>
                <c:pt idx="0">
                  <c:v>8230.0242143358737</c:v>
                </c:pt>
              </c:numCache>
            </c:numRef>
          </c:xVal>
          <c:yVal>
            <c:numRef>
              <c:f>'Curves (Simulation) (a)'!$N$9</c:f>
              <c:numCache>
                <c:formatCode>0</c:formatCode>
                <c:ptCount val="1"/>
                <c:pt idx="0">
                  <c:v>734.36172744888722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B3E5-4C87-A3F4-62908714F420}"/>
            </c:ext>
          </c:extLst>
        </c:ser>
        <c:ser>
          <c:idx val="28"/>
          <c:order val="15"/>
          <c:tx>
            <c:strRef>
              <c:f>'Curves (Simulation) (a)'!$P$10</c:f>
              <c:strCache>
                <c:ptCount val="1"/>
                <c:pt idx="0">
                  <c:v>24.2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B3E5-4C87-A3F4-62908714F420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(a)'!$O$10</c:f>
              <c:numCache>
                <c:formatCode>0</c:formatCode>
                <c:ptCount val="1"/>
                <c:pt idx="0">
                  <c:v>11837.731690067933</c:v>
                </c:pt>
              </c:numCache>
            </c:numRef>
          </c:xVal>
          <c:yVal>
            <c:numRef>
              <c:f>'Curves (Simulation) (a)'!$N$10</c:f>
              <c:numCache>
                <c:formatCode>0</c:formatCode>
                <c:ptCount val="1"/>
                <c:pt idx="0">
                  <c:v>639.64653738523714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B3E5-4C87-A3F4-62908714F420}"/>
            </c:ext>
          </c:extLst>
        </c:ser>
        <c:ser>
          <c:idx val="29"/>
          <c:order val="16"/>
          <c:tx>
            <c:strRef>
              <c:f>'Curves (Simulation) (a)'!$P$11</c:f>
              <c:strCache>
                <c:ptCount val="1"/>
                <c:pt idx="0">
                  <c:v>27.3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B3E5-4C87-A3F4-62908714F420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(a)'!$O$11</c:f>
              <c:numCache>
                <c:formatCode>0</c:formatCode>
                <c:ptCount val="1"/>
                <c:pt idx="0">
                  <c:v>14176.890069302517</c:v>
                </c:pt>
              </c:numCache>
            </c:numRef>
          </c:xVal>
          <c:yVal>
            <c:numRef>
              <c:f>'Curves (Simulation) (a)'!$N$11</c:f>
              <c:numCache>
                <c:formatCode>0</c:formatCode>
                <c:ptCount val="1"/>
                <c:pt idx="0">
                  <c:v>508.25571196025805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B3E5-4C87-A3F4-62908714F420}"/>
            </c:ext>
          </c:extLst>
        </c:ser>
        <c:ser>
          <c:idx val="32"/>
          <c:order val="17"/>
          <c:tx>
            <c:strRef>
              <c:f>'Curves (Simulation) (a)'!$P$12</c:f>
              <c:strCache>
                <c:ptCount val="1"/>
                <c:pt idx="0">
                  <c:v>27.1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B3E5-4C87-A3F4-62908714F420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(a)'!$O$12</c:f>
              <c:numCache>
                <c:formatCode>0</c:formatCode>
                <c:ptCount val="1"/>
                <c:pt idx="0">
                  <c:v>15938.460009162362</c:v>
                </c:pt>
              </c:numCache>
            </c:numRef>
          </c:xVal>
          <c:yVal>
            <c:numRef>
              <c:f>'Curves (Simulation) (a)'!$N$12</c:f>
              <c:numCache>
                <c:formatCode>0</c:formatCode>
                <c:ptCount val="1"/>
                <c:pt idx="0">
                  <c:v>360.33184869094299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B3E5-4C87-A3F4-62908714F420}"/>
            </c:ext>
          </c:extLst>
        </c:ser>
        <c:ser>
          <c:idx val="25"/>
          <c:order val="18"/>
          <c:tx>
            <c:strRef>
              <c:f>'Curves (Simulation) (a)'!$P$13</c:f>
              <c:strCache>
                <c:ptCount val="1"/>
                <c:pt idx="0">
                  <c:v>25.9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(a)'!$O$13</c:f>
              <c:numCache>
                <c:formatCode>0</c:formatCode>
                <c:ptCount val="1"/>
                <c:pt idx="0">
                  <c:v>17131.909385187471</c:v>
                </c:pt>
              </c:numCache>
            </c:numRef>
          </c:xVal>
          <c:yVal>
            <c:numRef>
              <c:f>'Curves (Simulation) (a)'!$N$13</c:f>
              <c:numCache>
                <c:formatCode>0</c:formatCode>
                <c:ptCount val="1"/>
                <c:pt idx="0">
                  <c:v>230.2411958350778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B3E5-4C87-A3F4-62908714F420}"/>
            </c:ext>
          </c:extLst>
        </c:ser>
        <c:ser>
          <c:idx val="24"/>
          <c:order val="19"/>
          <c:tx>
            <c:strRef>
              <c:f>'Curves (Simulation) (a)'!$P$14</c:f>
              <c:strCache>
                <c:ptCount val="1"/>
                <c:pt idx="0">
                  <c:v>25.8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(a)'!$O$14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(Simulation) (a)'!$N$14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8-B3E5-4C87-A3F4-62908714F420}"/>
            </c:ext>
          </c:extLst>
        </c:ser>
        <c:ser>
          <c:idx val="22"/>
          <c:order val="20"/>
          <c:tx>
            <c:strRef>
              <c:f>'Curves (Simulation) (a)'!$P$15</c:f>
              <c:strCache>
                <c:ptCount val="1"/>
                <c:pt idx="0">
                  <c:v>25.3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(a)'!$O$15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(Simulation) (a)'!$N$15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9-B3E5-4C87-A3F4-62908714F420}"/>
            </c:ext>
          </c:extLst>
        </c:ser>
        <c:ser>
          <c:idx val="20"/>
          <c:order val="21"/>
          <c:tx>
            <c:strRef>
              <c:f>'Curves (Simulation) (a)'!$P$16</c:f>
              <c:strCache>
                <c:ptCount val="1"/>
                <c:pt idx="0">
                  <c:v>25.3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(a)'!$O$16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(Simulation) (a)'!$N$16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A-B3E5-4C87-A3F4-62908714F420}"/>
            </c:ext>
          </c:extLst>
        </c:ser>
        <c:ser>
          <c:idx val="19"/>
          <c:order val="22"/>
          <c:tx>
            <c:strRef>
              <c:f>'Curves (Simulation) (a)'!$P$17</c:f>
              <c:strCache>
                <c:ptCount val="1"/>
                <c:pt idx="0">
                  <c:v>25.3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(a)'!$O$17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(Simulation) (a)'!$N$17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B-B3E5-4C87-A3F4-62908714F420}"/>
            </c:ext>
          </c:extLst>
        </c:ser>
        <c:ser>
          <c:idx val="38"/>
          <c:order val="23"/>
          <c:tx>
            <c:strRef>
              <c:f>'Curves (Simulation) (a)'!$R$18</c:f>
              <c:strCache>
                <c:ptCount val="1"/>
                <c:pt idx="0">
                  <c:v>65%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(a)'!$O$18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'Curves (Simulation) (a)'!$N$18</c:f>
              <c:numCache>
                <c:formatCode>0</c:formatCode>
                <c:ptCount val="1"/>
                <c:pt idx="0">
                  <c:v>4085.7093182644171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C-B3E5-4C87-A3F4-62908714F420}"/>
            </c:ext>
          </c:extLst>
        </c:ser>
        <c:ser>
          <c:idx val="37"/>
          <c:order val="24"/>
          <c:tx>
            <c:strRef>
              <c:f>'Curves (Simulation) (a)'!$R$19</c:f>
              <c:strCache>
                <c:ptCount val="1"/>
                <c:pt idx="0">
                  <c:v>87%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(a)'!$O$19</c:f>
              <c:numCache>
                <c:formatCode>0</c:formatCode>
                <c:ptCount val="1"/>
                <c:pt idx="0">
                  <c:v>19684.60893562499</c:v>
                </c:pt>
              </c:numCache>
            </c:numRef>
          </c:xVal>
          <c:yVal>
            <c:numRef>
              <c:f>'Curves (Simulation) (a)'!$N$19</c:f>
              <c:numCache>
                <c:formatCode>0</c:formatCode>
                <c:ptCount val="1"/>
                <c:pt idx="0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D-B3E5-4C87-A3F4-62908714F420}"/>
            </c:ext>
          </c:extLst>
        </c:ser>
        <c:ser>
          <c:idx val="34"/>
          <c:order val="25"/>
          <c:tx>
            <c:strRef>
              <c:f>'Curves (Simulation) (a)'!$R$20</c:f>
              <c:strCache>
                <c:ptCount val="1"/>
                <c:pt idx="0">
                  <c:v>85%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E-B3E5-4C87-A3F4-62908714F420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(a)'!$O$20</c:f>
              <c:numCache>
                <c:formatCode>0</c:formatCode>
                <c:ptCount val="1"/>
                <c:pt idx="0">
                  <c:v>28313.53990404342</c:v>
                </c:pt>
              </c:numCache>
            </c:numRef>
          </c:xVal>
          <c:yVal>
            <c:numRef>
              <c:f>'Curves (Simulation) (a)'!$N$20</c:f>
              <c:numCache>
                <c:formatCode>0</c:formatCode>
                <c:ptCount val="1"/>
                <c:pt idx="0">
                  <c:v>3659.2443409324669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F-B3E5-4C87-A3F4-62908714F420}"/>
            </c:ext>
          </c:extLst>
        </c:ser>
        <c:ser>
          <c:idx val="36"/>
          <c:order val="26"/>
          <c:tx>
            <c:strRef>
              <c:f>'Curves (Simulation) (a)'!$R$21</c:f>
              <c:strCache>
                <c:ptCount val="1"/>
                <c:pt idx="0">
                  <c:v>72%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(a)'!$O$21</c:f>
              <c:numCache>
                <c:formatCode>0</c:formatCode>
                <c:ptCount val="1"/>
                <c:pt idx="0">
                  <c:v>33908.349437351557</c:v>
                </c:pt>
              </c:numCache>
            </c:numRef>
          </c:xVal>
          <c:yVal>
            <c:numRef>
              <c:f>'Curves (Simulation) (a)'!$N$21</c:f>
              <c:numCache>
                <c:formatCode>0</c:formatCode>
                <c:ptCount val="1"/>
                <c:pt idx="0">
                  <c:v>2907.5930674773017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B3E5-4C87-A3F4-62908714F420}"/>
            </c:ext>
          </c:extLst>
        </c:ser>
        <c:ser>
          <c:idx val="39"/>
          <c:order val="27"/>
          <c:tx>
            <c:strRef>
              <c:f>'Curves (Simulation) (a)'!$R$22</c:f>
              <c:strCache>
                <c:ptCount val="1"/>
                <c:pt idx="0">
                  <c:v>58%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1-B3E5-4C87-A3F4-62908714F420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(a)'!$O$22</c:f>
              <c:numCache>
                <c:formatCode>0</c:formatCode>
                <c:ptCount val="1"/>
                <c:pt idx="0">
                  <c:v>38121.680343291264</c:v>
                </c:pt>
              </c:numCache>
            </c:numRef>
          </c:xVal>
          <c:yVal>
            <c:numRef>
              <c:f>'Curves (Simulation) (a)'!$N$22</c:f>
              <c:numCache>
                <c:formatCode>0</c:formatCode>
                <c:ptCount val="1"/>
                <c:pt idx="0">
                  <c:v>2061.3607689803757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2-B3E5-4C87-A3F4-62908714F420}"/>
            </c:ext>
          </c:extLst>
        </c:ser>
        <c:ser>
          <c:idx val="40"/>
          <c:order val="28"/>
          <c:tx>
            <c:strRef>
              <c:f>'Curves (Simulation) (a)'!$R$23</c:f>
              <c:strCache>
                <c:ptCount val="1"/>
                <c:pt idx="0">
                  <c:v>42%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(a)'!$O$23</c:f>
              <c:numCache>
                <c:formatCode>0</c:formatCode>
                <c:ptCount val="1"/>
                <c:pt idx="0">
                  <c:v>40976.177929166923</c:v>
                </c:pt>
              </c:numCache>
            </c:numRef>
          </c:xVal>
          <c:yVal>
            <c:numRef>
              <c:f>'Curves (Simulation) (a)'!$N$23</c:f>
              <c:numCache>
                <c:formatCode>0</c:formatCode>
                <c:ptCount val="1"/>
                <c:pt idx="0">
                  <c:v>1317.147430130804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3-B3E5-4C87-A3F4-62908714F420}"/>
            </c:ext>
          </c:extLst>
        </c:ser>
        <c:ser>
          <c:idx val="35"/>
          <c:order val="29"/>
          <c:tx>
            <c:strRef>
              <c:f>'Curves (Simulation) (a)'!$R$24</c:f>
              <c:strCache>
                <c:ptCount val="1"/>
                <c:pt idx="0">
                  <c:v>29%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(a)'!$O$24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(a)'!$N$24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4-B3E5-4C87-A3F4-62908714F420}"/>
            </c:ext>
          </c:extLst>
        </c:ser>
        <c:ser>
          <c:idx val="33"/>
          <c:order val="30"/>
          <c:tx>
            <c:strRef>
              <c:f>'Curves (Simulation) (a)'!$R$25</c:f>
              <c:strCache>
                <c:ptCount val="1"/>
                <c:pt idx="0">
                  <c:v>30%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(a)'!$O$25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(a)'!$N$25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5-B3E5-4C87-A3F4-62908714F420}"/>
            </c:ext>
          </c:extLst>
        </c:ser>
        <c:ser>
          <c:idx val="31"/>
          <c:order val="31"/>
          <c:tx>
            <c:strRef>
              <c:f>'Curves (Simulation) (a)'!$R$26</c:f>
              <c:strCache>
                <c:ptCount val="1"/>
                <c:pt idx="0">
                  <c:v>30%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6-B3E5-4C87-A3F4-62908714F420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(a)'!$O$26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(a)'!$N$26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7-B3E5-4C87-A3F4-62908714F420}"/>
            </c:ext>
          </c:extLst>
        </c:ser>
        <c:ser>
          <c:idx val="30"/>
          <c:order val="32"/>
          <c:tx>
            <c:strRef>
              <c:f>'Curves (Simulation) (a)'!$R$27</c:f>
              <c:strCache>
                <c:ptCount val="1"/>
                <c:pt idx="0">
                  <c:v>30%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(a)'!$O$27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(a)'!$N$27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8-B3E5-4C87-A3F4-62908714F420}"/>
            </c:ext>
          </c:extLst>
        </c:ser>
        <c:ser>
          <c:idx val="4"/>
          <c:order val="33"/>
          <c:tx>
            <c:strRef>
              <c:f>'Curves (Simulation) (a)'!$B$55:$D$55</c:f>
              <c:strCache>
                <c:ptCount val="1"/>
                <c:pt idx="0">
                  <c:v>Density 1.205 kg/m3</c:v>
                </c:pt>
              </c:strCache>
            </c:strRef>
          </c:tx>
          <c:marker>
            <c:symbol val="circle"/>
            <c:size val="4"/>
            <c:spPr>
              <a:solidFill>
                <a:srgbClr val="00B0F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(a)'!$F$54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(a)'!$G$54</c:f>
              <c:numCache>
                <c:formatCode>0</c:formatCode>
                <c:ptCount val="1"/>
                <c:pt idx="0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9-B3E5-4C87-A3F4-62908714F420}"/>
            </c:ext>
          </c:extLst>
        </c:ser>
        <c:ser>
          <c:idx val="8"/>
          <c:order val="34"/>
          <c:tx>
            <c:strRef>
              <c:f>'Curves (Simulation) (a)'!$M$18</c:f>
              <c:strCache>
                <c:ptCount val="1"/>
                <c:pt idx="0">
                  <c:v>4000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(a)'!$O$18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'Curves (Simulation) (a)'!$N$18</c:f>
              <c:numCache>
                <c:formatCode>0</c:formatCode>
                <c:ptCount val="1"/>
                <c:pt idx="0">
                  <c:v>4085.7093182644171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A-B3E5-4C87-A3F4-62908714F420}"/>
            </c:ext>
          </c:extLst>
        </c:ser>
        <c:ser>
          <c:idx val="5"/>
          <c:order val="35"/>
          <c:tx>
            <c:strRef>
              <c:f>'Curves (Simulation) (a)'!$M$8</c:f>
              <c:strCache>
                <c:ptCount val="1"/>
                <c:pt idx="0">
                  <c:v>1672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(a)'!$O$8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'Curves (Simulation) (a)'!$N$8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B-B3E5-4C87-A3F4-62908714F420}"/>
            </c:ext>
          </c:extLst>
        </c:ser>
        <c:ser>
          <c:idx val="11"/>
          <c:order val="36"/>
          <c:tx>
            <c:strRef>
              <c:f>'Curves (Simulation) (a)'!$M$28</c:f>
              <c:strCache>
                <c:ptCount val="1"/>
                <c:pt idx="0">
                  <c:v>1000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(a)'!$O$28</c:f>
              <c:numCache>
                <c:formatCode>0</c:formatCode>
                <c:ptCount val="1"/>
                <c:pt idx="0">
                  <c:v>2854.7686276578984</c:v>
                </c:pt>
              </c:numCache>
            </c:numRef>
          </c:xVal>
          <c:yVal>
            <c:numRef>
              <c:f>'Curves (Simulation) (a)'!$N$28</c:f>
              <c:numCache>
                <c:formatCode>0</c:formatCode>
                <c:ptCount val="1"/>
                <c:pt idx="0">
                  <c:v>255.35683239152607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C-B3E5-4C87-A3F4-62908714F420}"/>
            </c:ext>
          </c:extLst>
        </c:ser>
        <c:ser>
          <c:idx val="13"/>
          <c:order val="37"/>
          <c:tx>
            <c:strRef>
              <c:f>'Curves (Simulation) (a)'!$A$50</c:f>
              <c:strCache>
                <c:ptCount val="1"/>
                <c:pt idx="0">
                  <c:v>Op. point</c:v>
                </c:pt>
              </c:strCache>
            </c:strRef>
          </c:tx>
          <c:spPr>
            <a:ln w="95250">
              <a:solidFill>
                <a:schemeClr val="tx1"/>
              </a:solidFill>
            </a:ln>
          </c:spPr>
          <c:marker>
            <c:symbol val="diamond"/>
            <c:size val="10"/>
            <c:spPr>
              <a:solidFill>
                <a:schemeClr val="tx1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(a)'!$C$53</c:f>
              <c:numCache>
                <c:formatCode>0</c:formatCode>
                <c:ptCount val="1"/>
                <c:pt idx="0">
                  <c:v>10000</c:v>
                </c:pt>
              </c:numCache>
            </c:numRef>
          </c:xVal>
          <c:yVal>
            <c:numRef>
              <c:f>'Curves (Simulation) (a)'!$C$51</c:f>
              <c:numCache>
                <c:formatCode>0</c:formatCode>
                <c:ptCount val="1"/>
                <c:pt idx="0">
                  <c:v>713.77587437544605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D-B3E5-4C87-A3F4-62908714F420}"/>
            </c:ext>
          </c:extLst>
        </c:ser>
        <c:ser>
          <c:idx val="15"/>
          <c:order val="39"/>
          <c:tx>
            <c:strRef>
              <c:f>'Curves (Simulation) (a)'!$T$7</c:f>
              <c:strCache>
                <c:ptCount val="1"/>
                <c:pt idx="0">
                  <c:v>Dyn Press, mmH2o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dLbls>
            <c:dLbl>
              <c:idx val="5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E-B3E5-4C87-A3F4-62908714F420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(a)'!$O$8:$O$17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(Simulation) (a)'!$T$8:$T$17</c:f>
              <c:numCache>
                <c:formatCode>0</c:formatCode>
                <c:ptCount val="10"/>
                <c:pt idx="0">
                  <c:v>4.271658382199611</c:v>
                </c:pt>
                <c:pt idx="1">
                  <c:v>12.693701533964179</c:v>
                </c:pt>
                <c:pt idx="2">
                  <c:v>26.261712400271765</c:v>
                </c:pt>
                <c:pt idx="3">
                  <c:v>37.665869735483099</c:v>
                </c:pt>
                <c:pt idx="4">
                  <c:v>47.607872128177043</c:v>
                </c:pt>
                <c:pt idx="5">
                  <c:v>55.004420542951479</c:v>
                </c:pt>
                <c:pt idx="6">
                  <c:v>59.214233507890143</c:v>
                </c:pt>
                <c:pt idx="7">
                  <c:v>59.214233507890143</c:v>
                </c:pt>
                <c:pt idx="8">
                  <c:v>59.214233507890143</c:v>
                </c:pt>
                <c:pt idx="9">
                  <c:v>59.214233507890143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F-B3E5-4C87-A3F4-62908714F420}"/>
            </c:ext>
          </c:extLst>
        </c:ser>
        <c:ser>
          <c:idx val="16"/>
          <c:order val="40"/>
          <c:tx>
            <c:v>OP Line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('Curves (Simulation) (a)'!$C$53,'Curves (Simulation) (a)'!$C$53)</c:f>
              <c:numCache>
                <c:formatCode>0</c:formatCode>
                <c:ptCount val="2"/>
                <c:pt idx="0">
                  <c:v>10000</c:v>
                </c:pt>
                <c:pt idx="1">
                  <c:v>10000</c:v>
                </c:pt>
              </c:numCache>
            </c:numRef>
          </c:xVal>
          <c:yVal>
            <c:numRef>
              <c:f>('Curves (Simulation) (a)'!$H$54,'Curves (Simulation) (a)'!$G$54)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0-B3E5-4C87-A3F4-62908714F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86824"/>
        <c:axId val="483486432"/>
      </c:scatterChart>
      <c:scatterChart>
        <c:scatterStyle val="smoothMarker"/>
        <c:varyColors val="0"/>
        <c:ser>
          <c:idx val="14"/>
          <c:order val="38"/>
          <c:tx>
            <c:strRef>
              <c:f>'Curves (Simulation) (a)'!$P$7</c:f>
              <c:strCache>
                <c:ptCount val="1"/>
                <c:pt idx="0">
                  <c:v>req. Motor kW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1-B3E5-4C87-A3F4-62908714F420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(a)'!$O$8:$O$17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(Simulation) (a)'!$P$8:$P$17</c:f>
              <c:numCache>
                <c:formatCode>0.0</c:formatCode>
                <c:ptCount val="10"/>
                <c:pt idx="0">
                  <c:v>14.274563137553161</c:v>
                </c:pt>
                <c:pt idx="1">
                  <c:v>19.032750850070883</c:v>
                </c:pt>
                <c:pt idx="2">
                  <c:v>24.232285134372773</c:v>
                </c:pt>
                <c:pt idx="3">
                  <c:v>27.282769632308192</c:v>
                </c:pt>
                <c:pt idx="4">
                  <c:v>27.106751763712655</c:v>
                </c:pt>
                <c:pt idx="5">
                  <c:v>25.874626683543898</c:v>
                </c:pt>
                <c:pt idx="6">
                  <c:v>25.843614349630329</c:v>
                </c:pt>
                <c:pt idx="7">
                  <c:v>25.336876813363066</c:v>
                </c:pt>
                <c:pt idx="8">
                  <c:v>25.336876813363066</c:v>
                </c:pt>
                <c:pt idx="9">
                  <c:v>25.336876813363066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2-B3E5-4C87-A3F4-62908714F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85648"/>
        <c:axId val="483486040"/>
      </c:scatterChart>
      <c:valAx>
        <c:axId val="48348682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da-DK"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da-DK" sz="1200">
                    <a:latin typeface="+mn-lt"/>
                  </a:rPr>
                  <a:t>Q &lt;m3/hr&gt;</a:t>
                </a:r>
              </a:p>
            </c:rich>
          </c:tx>
          <c:layout>
            <c:manualLayout>
              <c:xMode val="edge"/>
              <c:yMode val="edge"/>
              <c:x val="0.45312520505249348"/>
              <c:y val="0.935144713245742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da-DK" sz="12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zh-CN"/>
          </a:p>
        </c:txPr>
        <c:crossAx val="483486432"/>
        <c:crosses val="autoZero"/>
        <c:crossBetween val="midCat"/>
      </c:valAx>
      <c:valAx>
        <c:axId val="48348643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da-DK"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da-DK" sz="1200">
                    <a:latin typeface="+mn-lt"/>
                  </a:rPr>
                  <a:t>P &lt;mmH20&gt;</a:t>
                </a:r>
              </a:p>
            </c:rich>
          </c:tx>
          <c:layout>
            <c:manualLayout>
              <c:xMode val="edge"/>
              <c:yMode val="edge"/>
              <c:x val="1.5625E-2"/>
              <c:y val="0.443439547432111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da-DK" sz="12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zh-CN"/>
          </a:p>
        </c:txPr>
        <c:crossAx val="483486824"/>
        <c:crosses val="autoZero"/>
        <c:crossBetween val="midCat"/>
      </c:valAx>
      <c:valAx>
        <c:axId val="483486040"/>
        <c:scaling>
          <c:orientation val="minMax"/>
        </c:scaling>
        <c:delete val="0"/>
        <c:axPos val="r"/>
        <c:title>
          <c:tx>
            <c:strRef>
              <c:f>'Curves (Simulation) (a)'!$P$7</c:f>
              <c:strCache>
                <c:ptCount val="1"/>
                <c:pt idx="0">
                  <c:v>req. Motor kW</c:v>
                </c:pt>
              </c:strCache>
            </c:strRef>
          </c:tx>
          <c:overlay val="0"/>
          <c:txPr>
            <a:bodyPr rot="0" vert="horz"/>
            <a:lstStyle/>
            <a:p>
              <a:pPr>
                <a:defRPr b="1">
                  <a:latin typeface="+mn-lt"/>
                </a:defRPr>
              </a:pPr>
              <a:endParaRPr lang="zh-CN"/>
            </a:p>
          </c:txPr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+mn-lt"/>
              </a:defRPr>
            </a:pPr>
            <a:endParaRPr lang="zh-CN"/>
          </a:p>
        </c:txPr>
        <c:crossAx val="483485648"/>
        <c:crosses val="max"/>
        <c:crossBetween val="midCat"/>
      </c:valAx>
      <c:valAx>
        <c:axId val="48348564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one"/>
        <c:crossAx val="483486040"/>
        <c:crosses val="autoZero"/>
        <c:crossBetween val="midCat"/>
      </c:valAx>
      <c:spPr>
        <a:gradFill>
          <a:gsLst>
            <a:gs pos="0">
              <a:srgbClr val="4F81BD">
                <a:tint val="66000"/>
                <a:satMod val="160000"/>
              </a:srgbClr>
            </a:gs>
            <a:gs pos="50000">
              <a:srgbClr val="4F81BD">
                <a:tint val="44500"/>
                <a:satMod val="160000"/>
              </a:srgbClr>
            </a:gs>
            <a:gs pos="100000">
              <a:srgbClr val="4F81BD">
                <a:tint val="23500"/>
                <a:satMod val="160000"/>
              </a:srgbClr>
            </a:gs>
          </a:gsLst>
          <a:lin ang="5400000" scaled="0"/>
        </a:gradFill>
        <a:ln w="12700">
          <a:solidFill>
            <a:prstClr val="black">
              <a:lumMod val="95000"/>
              <a:lumOff val="5000"/>
            </a:prstClr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'Curves (Simulation) (b)'!$B$47</c:f>
          <c:strCache>
            <c:ptCount val="1"/>
            <c:pt idx="0">
              <c:v>XOE 166-45G REG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9548144717204523E-2"/>
          <c:y val="0.13969159118268121"/>
          <c:w val="0.784902777873004"/>
          <c:h val="0.745099136705753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'Curves (Simulation) (b)'!$M$18</c:f>
              <c:strCache>
                <c:ptCount val="1"/>
                <c:pt idx="0">
                  <c:v>4000</c:v>
                </c:pt>
              </c:strCache>
            </c:strRef>
          </c:tx>
          <c:spPr>
            <a:ln w="25400">
              <a:solidFill>
                <a:prstClr val="black">
                  <a:lumMod val="95000"/>
                  <a:lumOff val="5000"/>
                </a:prstClr>
              </a:solidFill>
              <a:prstDash val="solid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'Curves (Simulation) (b)'!$O$18:$O$27</c:f>
              <c:numCache>
                <c:formatCode>0</c:formatCode>
                <c:ptCount val="10"/>
                <c:pt idx="0">
                  <c:v>11419.074510631594</c:v>
                </c:pt>
                <c:pt idx="1">
                  <c:v>19684.60893562499</c:v>
                </c:pt>
                <c:pt idx="2">
                  <c:v>28313.53990404342</c:v>
                </c:pt>
                <c:pt idx="3">
                  <c:v>33908.349437351557</c:v>
                </c:pt>
                <c:pt idx="4">
                  <c:v>38121.680343291264</c:v>
                </c:pt>
                <c:pt idx="5">
                  <c:v>40976.177929166923</c:v>
                </c:pt>
                <c:pt idx="6">
                  <c:v>42515.344843366969</c:v>
                </c:pt>
                <c:pt idx="7">
                  <c:v>42515.344843366969</c:v>
                </c:pt>
                <c:pt idx="8">
                  <c:v>42515.344843366969</c:v>
                </c:pt>
                <c:pt idx="9">
                  <c:v>42515.344843366969</c:v>
                </c:pt>
              </c:numCache>
            </c:numRef>
          </c:xVal>
          <c:yVal>
            <c:numRef>
              <c:f>'Curves (Simulation) (b)'!$N$18:$N$27</c:f>
              <c:numCache>
                <c:formatCode>0</c:formatCode>
                <c:ptCount val="10"/>
                <c:pt idx="0">
                  <c:v>4085.7093182644171</c:v>
                </c:pt>
                <c:pt idx="1">
                  <c:v>4201.0842524835207</c:v>
                </c:pt>
                <c:pt idx="2">
                  <c:v>3659.2443409324669</c:v>
                </c:pt>
                <c:pt idx="3">
                  <c:v>2907.5930674773017</c:v>
                </c:pt>
                <c:pt idx="4">
                  <c:v>2061.3607689803757</c:v>
                </c:pt>
                <c:pt idx="5">
                  <c:v>1317.147430130804</c:v>
                </c:pt>
                <c:pt idx="6">
                  <c:v>884.94664999877875</c:v>
                </c:pt>
                <c:pt idx="7">
                  <c:v>884.94664999877875</c:v>
                </c:pt>
                <c:pt idx="8">
                  <c:v>884.94664999877875</c:v>
                </c:pt>
                <c:pt idx="9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F98-4EE9-9B1A-43006EDFDB81}"/>
            </c:ext>
          </c:extLst>
        </c:ser>
        <c:ser>
          <c:idx val="1"/>
          <c:order val="1"/>
          <c:tx>
            <c:strRef>
              <c:f>'Curves (Simulation) (b)'!$M$8</c:f>
              <c:strCache>
                <c:ptCount val="1"/>
                <c:pt idx="0">
                  <c:v>1672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'Curves (Simulation) (b)'!$O$8:$O$17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(Simulation) (b)'!$N$8:$N$17</c:f>
              <c:numCache>
                <c:formatCode>0</c:formatCode>
                <c:ptCount val="10"/>
                <c:pt idx="0">
                  <c:v>714.19385389401737</c:v>
                </c:pt>
                <c:pt idx="1">
                  <c:v>734.36172744888722</c:v>
                </c:pt>
                <c:pt idx="2">
                  <c:v>639.64653738523714</c:v>
                </c:pt>
                <c:pt idx="3">
                  <c:v>508.25571196025805</c:v>
                </c:pt>
                <c:pt idx="4">
                  <c:v>360.33184869094299</c:v>
                </c:pt>
                <c:pt idx="5">
                  <c:v>230.2411958350778</c:v>
                </c:pt>
                <c:pt idx="6">
                  <c:v>154.69124433984632</c:v>
                </c:pt>
                <c:pt idx="7">
                  <c:v>154.69124433984632</c:v>
                </c:pt>
                <c:pt idx="8">
                  <c:v>154.69124433984632</c:v>
                </c:pt>
                <c:pt idx="9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F98-4EE9-9B1A-43006EDFDB81}"/>
            </c:ext>
          </c:extLst>
        </c:ser>
        <c:ser>
          <c:idx val="2"/>
          <c:order val="2"/>
          <c:tx>
            <c:strRef>
              <c:f>'Curves (Simulation) (b)'!$M$28</c:f>
              <c:strCache>
                <c:ptCount val="1"/>
                <c:pt idx="0">
                  <c:v>1000</c:v>
                </c:pt>
              </c:strCache>
            </c:strRef>
          </c:tx>
          <c:spPr>
            <a:ln w="25400">
              <a:solidFill>
                <a:prstClr val="black">
                  <a:lumMod val="95000"/>
                  <a:lumOff val="5000"/>
                </a:prstClr>
              </a:solidFill>
              <a:prstDash val="solid"/>
            </a:ln>
          </c:spPr>
          <c:marker>
            <c:symbol val="plus"/>
            <c:size val="5"/>
          </c:marker>
          <c:xVal>
            <c:numRef>
              <c:f>'Curves (Simulation) (b)'!$O$28:$O$37</c:f>
              <c:numCache>
                <c:formatCode>0</c:formatCode>
                <c:ptCount val="10"/>
                <c:pt idx="0">
                  <c:v>2854.7686276578984</c:v>
                </c:pt>
                <c:pt idx="1">
                  <c:v>4921.1522339062476</c:v>
                </c:pt>
                <c:pt idx="2">
                  <c:v>7078.3849760108551</c:v>
                </c:pt>
                <c:pt idx="3">
                  <c:v>8477.0873593378892</c:v>
                </c:pt>
                <c:pt idx="4">
                  <c:v>9530.420085822816</c:v>
                </c:pt>
                <c:pt idx="5">
                  <c:v>10244.044482291731</c:v>
                </c:pt>
                <c:pt idx="6">
                  <c:v>10628.836210841742</c:v>
                </c:pt>
                <c:pt idx="7">
                  <c:v>10628.836210841742</c:v>
                </c:pt>
                <c:pt idx="8">
                  <c:v>10628.836210841742</c:v>
                </c:pt>
                <c:pt idx="9">
                  <c:v>10628.836210841742</c:v>
                </c:pt>
              </c:numCache>
            </c:numRef>
          </c:xVal>
          <c:yVal>
            <c:numRef>
              <c:f>'Curves (Simulation) (b)'!$N$28:$N$37</c:f>
              <c:numCache>
                <c:formatCode>0</c:formatCode>
                <c:ptCount val="10"/>
                <c:pt idx="0">
                  <c:v>255.35683239152607</c:v>
                </c:pt>
                <c:pt idx="1">
                  <c:v>262.56776578022004</c:v>
                </c:pt>
                <c:pt idx="2">
                  <c:v>228.70277130827918</c:v>
                </c:pt>
                <c:pt idx="3">
                  <c:v>181.72456671733136</c:v>
                </c:pt>
                <c:pt idx="4">
                  <c:v>128.83504806127348</c:v>
                </c:pt>
                <c:pt idx="5">
                  <c:v>82.321714383175248</c:v>
                </c:pt>
                <c:pt idx="6">
                  <c:v>55.309165624923672</c:v>
                </c:pt>
                <c:pt idx="7">
                  <c:v>55.309165624923672</c:v>
                </c:pt>
                <c:pt idx="8">
                  <c:v>55.309165624923672</c:v>
                </c:pt>
                <c:pt idx="9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F98-4EE9-9B1A-43006EDFDB81}"/>
            </c:ext>
          </c:extLst>
        </c:ser>
        <c:ser>
          <c:idx val="3"/>
          <c:order val="3"/>
          <c:tx>
            <c:strRef>
              <c:f>'Curves (Simulation) (b)'!$R$18</c:f>
              <c:strCache>
                <c:ptCount val="1"/>
                <c:pt idx="0">
                  <c:v>65%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('Curves (Simulation) (b)'!$O$18,'Curves (Simulation) (b)'!$O$8,'Curves (Simulation) (b)'!$O$28)</c:f>
              <c:numCache>
                <c:formatCode>0</c:formatCode>
                <c:ptCount val="3"/>
                <c:pt idx="0">
                  <c:v>11419.074510631594</c:v>
                </c:pt>
                <c:pt idx="1">
                  <c:v>4774.2507882755517</c:v>
                </c:pt>
                <c:pt idx="2">
                  <c:v>2854.7686276578984</c:v>
                </c:pt>
              </c:numCache>
            </c:numRef>
          </c:xVal>
          <c:yVal>
            <c:numRef>
              <c:f>('Curves (Simulation) (b)'!$N$18,'Curves (Simulation) (b)'!$N$8,'Curves (Simulation) (b)'!$N$28)</c:f>
              <c:numCache>
                <c:formatCode>0</c:formatCode>
                <c:ptCount val="3"/>
                <c:pt idx="0">
                  <c:v>4085.7093182644171</c:v>
                </c:pt>
                <c:pt idx="1">
                  <c:v>714.19385389401737</c:v>
                </c:pt>
                <c:pt idx="2">
                  <c:v>255.35683239152607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F98-4EE9-9B1A-43006EDFDB81}"/>
            </c:ext>
          </c:extLst>
        </c:ser>
        <c:ser>
          <c:idx val="9"/>
          <c:order val="4"/>
          <c:tx>
            <c:strRef>
              <c:f>'Curves (Simulation) (b)'!$R$19</c:f>
              <c:strCache>
                <c:ptCount val="1"/>
                <c:pt idx="0">
                  <c:v>87%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('Curves (Simulation) (b)'!$O$19,'Curves (Simulation) (b)'!$O$9,'Curves (Simulation) (b)'!$O$29)</c:f>
              <c:numCache>
                <c:formatCode>0</c:formatCode>
                <c:ptCount val="3"/>
                <c:pt idx="0">
                  <c:v>19684.60893562499</c:v>
                </c:pt>
                <c:pt idx="1">
                  <c:v>8230.0242143358737</c:v>
                </c:pt>
                <c:pt idx="2">
                  <c:v>4921.1522339062476</c:v>
                </c:pt>
              </c:numCache>
            </c:numRef>
          </c:xVal>
          <c:yVal>
            <c:numRef>
              <c:f>('Curves (Simulation) (b)'!$N$19,'Curves (Simulation) (b)'!$N$9,'Curves (Simulation) (b)'!$N$29)</c:f>
              <c:numCache>
                <c:formatCode>0</c:formatCode>
                <c:ptCount val="3"/>
                <c:pt idx="0">
                  <c:v>4201.0842524835207</c:v>
                </c:pt>
                <c:pt idx="1">
                  <c:v>734.36172744888722</c:v>
                </c:pt>
                <c:pt idx="2">
                  <c:v>262.56776578022004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F98-4EE9-9B1A-43006EDFDB81}"/>
            </c:ext>
          </c:extLst>
        </c:ser>
        <c:ser>
          <c:idx val="17"/>
          <c:order val="5"/>
          <c:tx>
            <c:strRef>
              <c:f>'Curves (Simulation) (b)'!$R$20</c:f>
              <c:strCache>
                <c:ptCount val="1"/>
                <c:pt idx="0">
                  <c:v>85%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(b)'!$O$20,'Curves (Simulation) (b)'!$O$10,'Curves (Simulation) (b)'!$O$30)</c:f>
              <c:numCache>
                <c:formatCode>0</c:formatCode>
                <c:ptCount val="3"/>
                <c:pt idx="0">
                  <c:v>28313.53990404342</c:v>
                </c:pt>
                <c:pt idx="1">
                  <c:v>11837.731690067933</c:v>
                </c:pt>
                <c:pt idx="2">
                  <c:v>7078.3849760108551</c:v>
                </c:pt>
              </c:numCache>
            </c:numRef>
          </c:xVal>
          <c:yVal>
            <c:numRef>
              <c:f>('Curves (Simulation) (b)'!$N$20,'Curves (Simulation) (b)'!$N$10,'Curves (Simulation) (b)'!$N$30)</c:f>
              <c:numCache>
                <c:formatCode>0</c:formatCode>
                <c:ptCount val="3"/>
                <c:pt idx="0">
                  <c:v>3659.2443409324669</c:v>
                </c:pt>
                <c:pt idx="1">
                  <c:v>639.64653738523714</c:v>
                </c:pt>
                <c:pt idx="2">
                  <c:v>228.70277130827918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AF98-4EE9-9B1A-43006EDFDB81}"/>
            </c:ext>
          </c:extLst>
        </c:ser>
        <c:ser>
          <c:idx val="18"/>
          <c:order val="6"/>
          <c:tx>
            <c:strRef>
              <c:f>'Curves (Simulation) (b)'!$R$21</c:f>
              <c:strCache>
                <c:ptCount val="1"/>
                <c:pt idx="0">
                  <c:v>72%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(b)'!$O$21,'Curves (Simulation) (b)'!$O$11,'Curves (Simulation) (b)'!$O$31)</c:f>
              <c:numCache>
                <c:formatCode>0</c:formatCode>
                <c:ptCount val="3"/>
                <c:pt idx="0">
                  <c:v>33908.349437351557</c:v>
                </c:pt>
                <c:pt idx="1">
                  <c:v>14176.890069302517</c:v>
                </c:pt>
                <c:pt idx="2">
                  <c:v>8477.0873593378892</c:v>
                </c:pt>
              </c:numCache>
            </c:numRef>
          </c:xVal>
          <c:yVal>
            <c:numRef>
              <c:f>('Curves (Simulation) (b)'!$N$21,'Curves (Simulation) (b)'!$N$11,'Curves (Simulation) (b)'!$N$31)</c:f>
              <c:numCache>
                <c:formatCode>0</c:formatCode>
                <c:ptCount val="3"/>
                <c:pt idx="0">
                  <c:v>2907.5930674773017</c:v>
                </c:pt>
                <c:pt idx="1">
                  <c:v>508.25571196025805</c:v>
                </c:pt>
                <c:pt idx="2">
                  <c:v>181.72456671733136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AF98-4EE9-9B1A-43006EDFDB81}"/>
            </c:ext>
          </c:extLst>
        </c:ser>
        <c:ser>
          <c:idx val="21"/>
          <c:order val="7"/>
          <c:tx>
            <c:strRef>
              <c:f>'Curves (Simulation) (b)'!$R$22</c:f>
              <c:strCache>
                <c:ptCount val="1"/>
                <c:pt idx="0">
                  <c:v>58%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(b)'!$O$22,'Curves (Simulation) (b)'!$O$12,'Curves (Simulation) (b)'!$O$32)</c:f>
              <c:numCache>
                <c:formatCode>0</c:formatCode>
                <c:ptCount val="3"/>
                <c:pt idx="0">
                  <c:v>38121.680343291264</c:v>
                </c:pt>
                <c:pt idx="1">
                  <c:v>15938.460009162362</c:v>
                </c:pt>
                <c:pt idx="2">
                  <c:v>9530.420085822816</c:v>
                </c:pt>
              </c:numCache>
            </c:numRef>
          </c:xVal>
          <c:yVal>
            <c:numRef>
              <c:f>('Curves (Simulation) (b)'!$N$22,'Curves (Simulation) (b)'!$N$12,'Curves (Simulation) (b)'!$N$32)</c:f>
              <c:numCache>
                <c:formatCode>0</c:formatCode>
                <c:ptCount val="3"/>
                <c:pt idx="0">
                  <c:v>2061.3607689803757</c:v>
                </c:pt>
                <c:pt idx="1">
                  <c:v>360.33184869094299</c:v>
                </c:pt>
                <c:pt idx="2">
                  <c:v>128.83504806127348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AF98-4EE9-9B1A-43006EDFDB81}"/>
            </c:ext>
          </c:extLst>
        </c:ser>
        <c:ser>
          <c:idx val="23"/>
          <c:order val="8"/>
          <c:tx>
            <c:strRef>
              <c:f>'Curves (Simulation) (b)'!$R$23</c:f>
              <c:strCache>
                <c:ptCount val="1"/>
                <c:pt idx="0">
                  <c:v>42%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(b)'!$O$23,'Curves (Simulation) (b)'!$O$13,'Curves (Simulation) (b)'!$O$33)</c:f>
              <c:numCache>
                <c:formatCode>0</c:formatCode>
                <c:ptCount val="3"/>
                <c:pt idx="0">
                  <c:v>40976.177929166923</c:v>
                </c:pt>
                <c:pt idx="1">
                  <c:v>17131.909385187471</c:v>
                </c:pt>
                <c:pt idx="2">
                  <c:v>10244.044482291731</c:v>
                </c:pt>
              </c:numCache>
            </c:numRef>
          </c:xVal>
          <c:yVal>
            <c:numRef>
              <c:f>('Curves (Simulation) (b)'!$N$23,'Curves (Simulation) (b)'!$N$13,'Curves (Simulation) (b)'!$N$33)</c:f>
              <c:numCache>
                <c:formatCode>0</c:formatCode>
                <c:ptCount val="3"/>
                <c:pt idx="0">
                  <c:v>1317.147430130804</c:v>
                </c:pt>
                <c:pt idx="1">
                  <c:v>230.2411958350778</c:v>
                </c:pt>
                <c:pt idx="2">
                  <c:v>82.321714383175248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AF98-4EE9-9B1A-43006EDFDB81}"/>
            </c:ext>
          </c:extLst>
        </c:ser>
        <c:ser>
          <c:idx val="10"/>
          <c:order val="9"/>
          <c:tx>
            <c:strRef>
              <c:f>'Curves (Simulation) (b)'!$R$24</c:f>
              <c:strCache>
                <c:ptCount val="1"/>
                <c:pt idx="0">
                  <c:v>29%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('Curves (Simulation) (b)'!$O$24,'Curves (Simulation) (b)'!$O$14,'Curves (Simulation) (b)'!$O$34)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(Simulation) (b)'!$N$24,'Curves (Simulation) (b)'!$N$14,'Curves (Simulation) (b)'!$N$34)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AF98-4EE9-9B1A-43006EDFDB81}"/>
            </c:ext>
          </c:extLst>
        </c:ser>
        <c:ser>
          <c:idx val="6"/>
          <c:order val="10"/>
          <c:tx>
            <c:strRef>
              <c:f>'Curves (Simulation) (b)'!$R$25</c:f>
              <c:strCache>
                <c:ptCount val="1"/>
                <c:pt idx="0">
                  <c:v>30%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('Curves (Simulation) (b)'!$O$25,'Curves (Simulation) (b)'!$O$15,'Curves (Simulation) (b)'!$O$35)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(Simulation) (b)'!$N$25,'Curves (Simulation) (b)'!$N$15,'Curves (Simulation) (b)'!$N$35)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AF98-4EE9-9B1A-43006EDFDB81}"/>
            </c:ext>
          </c:extLst>
        </c:ser>
        <c:ser>
          <c:idx val="7"/>
          <c:order val="11"/>
          <c:tx>
            <c:strRef>
              <c:f>'Curves (Simulation) (b)'!$R$26</c:f>
              <c:strCache>
                <c:ptCount val="1"/>
                <c:pt idx="0">
                  <c:v>30%</c:v>
                </c:pt>
              </c:strCache>
            </c:strRef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('Curves (Simulation) (b)'!$O$26,'Curves (Simulation) (b)'!$O$16,'Curves (Simulation) (b)'!$O$36)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(Simulation) (b)'!$N$26,'Curves (Simulation) (b)'!$N$16,'Curves (Simulation) (b)'!$N$36)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AF98-4EE9-9B1A-43006EDFDB81}"/>
            </c:ext>
          </c:extLst>
        </c:ser>
        <c:ser>
          <c:idx val="12"/>
          <c:order val="12"/>
          <c:tx>
            <c:strRef>
              <c:f>'Curves (Simulation) (b)'!$R$27</c:f>
              <c:strCache>
                <c:ptCount val="1"/>
                <c:pt idx="0">
                  <c:v>30%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('Curves (Simulation) (b)'!$O$27,'Curves (Simulation) (b)'!$O$17,'Curves (Simulation) (b)'!$O$37)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(Simulation) (b)'!$N$27,'Curves (Simulation) (b)'!$N$17,'Curves (Simulation) (b)'!$N$37)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AF98-4EE9-9B1A-43006EDFDB81}"/>
            </c:ext>
          </c:extLst>
        </c:ser>
        <c:ser>
          <c:idx val="27"/>
          <c:order val="13"/>
          <c:tx>
            <c:strRef>
              <c:f>'Curves (Simulation) (b)'!$P$8</c:f>
              <c:strCache>
                <c:ptCount val="1"/>
                <c:pt idx="0">
                  <c:v>14.3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1.9765625000001726E-2"/>
                  <c:y val="-2.544875677522560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AF98-4EE9-9B1A-43006EDFDB8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(b)'!$O$8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'Curves (Simulation) (b)'!$N$8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AF98-4EE9-9B1A-43006EDFDB81}"/>
            </c:ext>
          </c:extLst>
        </c:ser>
        <c:ser>
          <c:idx val="26"/>
          <c:order val="14"/>
          <c:tx>
            <c:strRef>
              <c:f>'Curves (Simulation) (b)'!$P$9</c:f>
              <c:strCache>
                <c:ptCount val="1"/>
                <c:pt idx="0">
                  <c:v>19.0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AF98-4EE9-9B1A-43006EDFDB8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(b)'!$O$9</c:f>
              <c:numCache>
                <c:formatCode>0</c:formatCode>
                <c:ptCount val="1"/>
                <c:pt idx="0">
                  <c:v>8230.0242143358737</c:v>
                </c:pt>
              </c:numCache>
            </c:numRef>
          </c:xVal>
          <c:yVal>
            <c:numRef>
              <c:f>'Curves (Simulation) (b)'!$N$9</c:f>
              <c:numCache>
                <c:formatCode>0</c:formatCode>
                <c:ptCount val="1"/>
                <c:pt idx="0">
                  <c:v>734.36172744888722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AF98-4EE9-9B1A-43006EDFDB81}"/>
            </c:ext>
          </c:extLst>
        </c:ser>
        <c:ser>
          <c:idx val="28"/>
          <c:order val="15"/>
          <c:tx>
            <c:strRef>
              <c:f>'Curves (Simulation) (b)'!$P$10</c:f>
              <c:strCache>
                <c:ptCount val="1"/>
                <c:pt idx="0">
                  <c:v>24.2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AF98-4EE9-9B1A-43006EDFDB8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(b)'!$O$10</c:f>
              <c:numCache>
                <c:formatCode>0</c:formatCode>
                <c:ptCount val="1"/>
                <c:pt idx="0">
                  <c:v>11837.731690067933</c:v>
                </c:pt>
              </c:numCache>
            </c:numRef>
          </c:xVal>
          <c:yVal>
            <c:numRef>
              <c:f>'Curves (Simulation) (b)'!$N$10</c:f>
              <c:numCache>
                <c:formatCode>0</c:formatCode>
                <c:ptCount val="1"/>
                <c:pt idx="0">
                  <c:v>639.64653738523714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AF98-4EE9-9B1A-43006EDFDB81}"/>
            </c:ext>
          </c:extLst>
        </c:ser>
        <c:ser>
          <c:idx val="29"/>
          <c:order val="16"/>
          <c:tx>
            <c:strRef>
              <c:f>'Curves (Simulation) (b)'!$P$11</c:f>
              <c:strCache>
                <c:ptCount val="1"/>
                <c:pt idx="0">
                  <c:v>27.3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AF98-4EE9-9B1A-43006EDFDB8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(b)'!$O$11</c:f>
              <c:numCache>
                <c:formatCode>0</c:formatCode>
                <c:ptCount val="1"/>
                <c:pt idx="0">
                  <c:v>14176.890069302517</c:v>
                </c:pt>
              </c:numCache>
            </c:numRef>
          </c:xVal>
          <c:yVal>
            <c:numRef>
              <c:f>'Curves (Simulation) (b)'!$N$11</c:f>
              <c:numCache>
                <c:formatCode>0</c:formatCode>
                <c:ptCount val="1"/>
                <c:pt idx="0">
                  <c:v>508.25571196025805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AF98-4EE9-9B1A-43006EDFDB81}"/>
            </c:ext>
          </c:extLst>
        </c:ser>
        <c:ser>
          <c:idx val="32"/>
          <c:order val="17"/>
          <c:tx>
            <c:strRef>
              <c:f>'Curves (Simulation) (b)'!$P$12</c:f>
              <c:strCache>
                <c:ptCount val="1"/>
                <c:pt idx="0">
                  <c:v>27.1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AF98-4EE9-9B1A-43006EDFDB8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(b)'!$O$12</c:f>
              <c:numCache>
                <c:formatCode>0</c:formatCode>
                <c:ptCount val="1"/>
                <c:pt idx="0">
                  <c:v>15938.460009162362</c:v>
                </c:pt>
              </c:numCache>
            </c:numRef>
          </c:xVal>
          <c:yVal>
            <c:numRef>
              <c:f>'Curves (Simulation) (b)'!$N$12</c:f>
              <c:numCache>
                <c:formatCode>0</c:formatCode>
                <c:ptCount val="1"/>
                <c:pt idx="0">
                  <c:v>360.33184869094299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AF98-4EE9-9B1A-43006EDFDB81}"/>
            </c:ext>
          </c:extLst>
        </c:ser>
        <c:ser>
          <c:idx val="25"/>
          <c:order val="18"/>
          <c:tx>
            <c:strRef>
              <c:f>'Curves (Simulation) (b)'!$P$13</c:f>
              <c:strCache>
                <c:ptCount val="1"/>
                <c:pt idx="0">
                  <c:v>25.9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(b)'!$O$13</c:f>
              <c:numCache>
                <c:formatCode>0</c:formatCode>
                <c:ptCount val="1"/>
                <c:pt idx="0">
                  <c:v>17131.909385187471</c:v>
                </c:pt>
              </c:numCache>
            </c:numRef>
          </c:xVal>
          <c:yVal>
            <c:numRef>
              <c:f>'Curves (Simulation) (b)'!$N$13</c:f>
              <c:numCache>
                <c:formatCode>0</c:formatCode>
                <c:ptCount val="1"/>
                <c:pt idx="0">
                  <c:v>230.2411958350778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AF98-4EE9-9B1A-43006EDFDB81}"/>
            </c:ext>
          </c:extLst>
        </c:ser>
        <c:ser>
          <c:idx val="24"/>
          <c:order val="19"/>
          <c:tx>
            <c:strRef>
              <c:f>'Curves (Simulation) (b)'!$P$14</c:f>
              <c:strCache>
                <c:ptCount val="1"/>
                <c:pt idx="0">
                  <c:v>25.8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(b)'!$O$14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(Simulation) (b)'!$N$14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8-AF98-4EE9-9B1A-43006EDFDB81}"/>
            </c:ext>
          </c:extLst>
        </c:ser>
        <c:ser>
          <c:idx val="22"/>
          <c:order val="20"/>
          <c:tx>
            <c:strRef>
              <c:f>'Curves (Simulation) (b)'!$P$15</c:f>
              <c:strCache>
                <c:ptCount val="1"/>
                <c:pt idx="0">
                  <c:v>25.3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(b)'!$O$15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(Simulation) (b)'!$N$15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9-AF98-4EE9-9B1A-43006EDFDB81}"/>
            </c:ext>
          </c:extLst>
        </c:ser>
        <c:ser>
          <c:idx val="20"/>
          <c:order val="21"/>
          <c:tx>
            <c:strRef>
              <c:f>'Curves (Simulation) (b)'!$P$16</c:f>
              <c:strCache>
                <c:ptCount val="1"/>
                <c:pt idx="0">
                  <c:v>25.3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(b)'!$O$16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(Simulation) (b)'!$N$16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A-AF98-4EE9-9B1A-43006EDFDB81}"/>
            </c:ext>
          </c:extLst>
        </c:ser>
        <c:ser>
          <c:idx val="19"/>
          <c:order val="22"/>
          <c:tx>
            <c:strRef>
              <c:f>'Curves (Simulation) (b)'!$P$17</c:f>
              <c:strCache>
                <c:ptCount val="1"/>
                <c:pt idx="0">
                  <c:v>25.3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(b)'!$O$17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(Simulation) (b)'!$N$17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B-AF98-4EE9-9B1A-43006EDFDB81}"/>
            </c:ext>
          </c:extLst>
        </c:ser>
        <c:ser>
          <c:idx val="38"/>
          <c:order val="23"/>
          <c:tx>
            <c:strRef>
              <c:f>'Curves (Simulation) (b)'!$R$18</c:f>
              <c:strCache>
                <c:ptCount val="1"/>
                <c:pt idx="0">
                  <c:v>65%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(b)'!$O$18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'Curves (Simulation) (b)'!$N$18</c:f>
              <c:numCache>
                <c:formatCode>0</c:formatCode>
                <c:ptCount val="1"/>
                <c:pt idx="0">
                  <c:v>4085.7093182644171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C-AF98-4EE9-9B1A-43006EDFDB81}"/>
            </c:ext>
          </c:extLst>
        </c:ser>
        <c:ser>
          <c:idx val="37"/>
          <c:order val="24"/>
          <c:tx>
            <c:strRef>
              <c:f>'Curves (Simulation) (b)'!$R$19</c:f>
              <c:strCache>
                <c:ptCount val="1"/>
                <c:pt idx="0">
                  <c:v>87%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(b)'!$O$19</c:f>
              <c:numCache>
                <c:formatCode>0</c:formatCode>
                <c:ptCount val="1"/>
                <c:pt idx="0">
                  <c:v>19684.60893562499</c:v>
                </c:pt>
              </c:numCache>
            </c:numRef>
          </c:xVal>
          <c:yVal>
            <c:numRef>
              <c:f>'Curves (Simulation) (b)'!$N$19</c:f>
              <c:numCache>
                <c:formatCode>0</c:formatCode>
                <c:ptCount val="1"/>
                <c:pt idx="0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D-AF98-4EE9-9B1A-43006EDFDB81}"/>
            </c:ext>
          </c:extLst>
        </c:ser>
        <c:ser>
          <c:idx val="34"/>
          <c:order val="25"/>
          <c:tx>
            <c:strRef>
              <c:f>'Curves (Simulation) (b)'!$R$20</c:f>
              <c:strCache>
                <c:ptCount val="1"/>
                <c:pt idx="0">
                  <c:v>85%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E-AF98-4EE9-9B1A-43006EDFDB8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(b)'!$O$20</c:f>
              <c:numCache>
                <c:formatCode>0</c:formatCode>
                <c:ptCount val="1"/>
                <c:pt idx="0">
                  <c:v>28313.53990404342</c:v>
                </c:pt>
              </c:numCache>
            </c:numRef>
          </c:xVal>
          <c:yVal>
            <c:numRef>
              <c:f>'Curves (Simulation) (b)'!$N$20</c:f>
              <c:numCache>
                <c:formatCode>0</c:formatCode>
                <c:ptCount val="1"/>
                <c:pt idx="0">
                  <c:v>3659.2443409324669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F-AF98-4EE9-9B1A-43006EDFDB81}"/>
            </c:ext>
          </c:extLst>
        </c:ser>
        <c:ser>
          <c:idx val="36"/>
          <c:order val="26"/>
          <c:tx>
            <c:strRef>
              <c:f>'Curves (Simulation) (b)'!$R$21</c:f>
              <c:strCache>
                <c:ptCount val="1"/>
                <c:pt idx="0">
                  <c:v>72%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(b)'!$O$21</c:f>
              <c:numCache>
                <c:formatCode>0</c:formatCode>
                <c:ptCount val="1"/>
                <c:pt idx="0">
                  <c:v>33908.349437351557</c:v>
                </c:pt>
              </c:numCache>
            </c:numRef>
          </c:xVal>
          <c:yVal>
            <c:numRef>
              <c:f>'Curves (Simulation) (b)'!$N$21</c:f>
              <c:numCache>
                <c:formatCode>0</c:formatCode>
                <c:ptCount val="1"/>
                <c:pt idx="0">
                  <c:v>2907.5930674773017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AF98-4EE9-9B1A-43006EDFDB81}"/>
            </c:ext>
          </c:extLst>
        </c:ser>
        <c:ser>
          <c:idx val="39"/>
          <c:order val="27"/>
          <c:tx>
            <c:strRef>
              <c:f>'Curves (Simulation) (b)'!$R$22</c:f>
              <c:strCache>
                <c:ptCount val="1"/>
                <c:pt idx="0">
                  <c:v>58%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1-AF98-4EE9-9B1A-43006EDFDB8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(b)'!$O$22</c:f>
              <c:numCache>
                <c:formatCode>0</c:formatCode>
                <c:ptCount val="1"/>
                <c:pt idx="0">
                  <c:v>38121.680343291264</c:v>
                </c:pt>
              </c:numCache>
            </c:numRef>
          </c:xVal>
          <c:yVal>
            <c:numRef>
              <c:f>'Curves (Simulation) (b)'!$N$22</c:f>
              <c:numCache>
                <c:formatCode>0</c:formatCode>
                <c:ptCount val="1"/>
                <c:pt idx="0">
                  <c:v>2061.3607689803757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2-AF98-4EE9-9B1A-43006EDFDB81}"/>
            </c:ext>
          </c:extLst>
        </c:ser>
        <c:ser>
          <c:idx val="40"/>
          <c:order val="28"/>
          <c:tx>
            <c:strRef>
              <c:f>'Curves (Simulation) (b)'!$R$23</c:f>
              <c:strCache>
                <c:ptCount val="1"/>
                <c:pt idx="0">
                  <c:v>42%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(b)'!$O$23</c:f>
              <c:numCache>
                <c:formatCode>0</c:formatCode>
                <c:ptCount val="1"/>
                <c:pt idx="0">
                  <c:v>40976.177929166923</c:v>
                </c:pt>
              </c:numCache>
            </c:numRef>
          </c:xVal>
          <c:yVal>
            <c:numRef>
              <c:f>'Curves (Simulation) (b)'!$N$23</c:f>
              <c:numCache>
                <c:formatCode>0</c:formatCode>
                <c:ptCount val="1"/>
                <c:pt idx="0">
                  <c:v>1317.147430130804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3-AF98-4EE9-9B1A-43006EDFDB81}"/>
            </c:ext>
          </c:extLst>
        </c:ser>
        <c:ser>
          <c:idx val="35"/>
          <c:order val="29"/>
          <c:tx>
            <c:strRef>
              <c:f>'Curves (Simulation) (b)'!$R$24</c:f>
              <c:strCache>
                <c:ptCount val="1"/>
                <c:pt idx="0">
                  <c:v>29%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(b)'!$O$24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(b)'!$N$24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4-AF98-4EE9-9B1A-43006EDFDB81}"/>
            </c:ext>
          </c:extLst>
        </c:ser>
        <c:ser>
          <c:idx val="33"/>
          <c:order val="30"/>
          <c:tx>
            <c:strRef>
              <c:f>'Curves (Simulation) (b)'!$R$25</c:f>
              <c:strCache>
                <c:ptCount val="1"/>
                <c:pt idx="0">
                  <c:v>30%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(b)'!$O$25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(b)'!$N$25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5-AF98-4EE9-9B1A-43006EDFDB81}"/>
            </c:ext>
          </c:extLst>
        </c:ser>
        <c:ser>
          <c:idx val="31"/>
          <c:order val="31"/>
          <c:tx>
            <c:strRef>
              <c:f>'Curves (Simulation) (b)'!$R$26</c:f>
              <c:strCache>
                <c:ptCount val="1"/>
                <c:pt idx="0">
                  <c:v>30%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6-AF98-4EE9-9B1A-43006EDFDB8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(b)'!$O$26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(b)'!$N$26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7-AF98-4EE9-9B1A-43006EDFDB81}"/>
            </c:ext>
          </c:extLst>
        </c:ser>
        <c:ser>
          <c:idx val="30"/>
          <c:order val="32"/>
          <c:tx>
            <c:strRef>
              <c:f>'Curves (Simulation) (b)'!$R$27</c:f>
              <c:strCache>
                <c:ptCount val="1"/>
                <c:pt idx="0">
                  <c:v>30%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(b)'!$O$27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(b)'!$N$27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8-AF98-4EE9-9B1A-43006EDFDB81}"/>
            </c:ext>
          </c:extLst>
        </c:ser>
        <c:ser>
          <c:idx val="4"/>
          <c:order val="33"/>
          <c:tx>
            <c:strRef>
              <c:f>'Curves (Simulation) (b)'!$B$55:$D$55</c:f>
              <c:strCache>
                <c:ptCount val="1"/>
                <c:pt idx="0">
                  <c:v>Density 1.205 kg/m3</c:v>
                </c:pt>
              </c:strCache>
            </c:strRef>
          </c:tx>
          <c:marker>
            <c:symbol val="circle"/>
            <c:size val="4"/>
            <c:spPr>
              <a:solidFill>
                <a:srgbClr val="00B0F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(b)'!$F$54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(b)'!$G$54</c:f>
              <c:numCache>
                <c:formatCode>0</c:formatCode>
                <c:ptCount val="1"/>
                <c:pt idx="0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9-AF98-4EE9-9B1A-43006EDFDB81}"/>
            </c:ext>
          </c:extLst>
        </c:ser>
        <c:ser>
          <c:idx val="8"/>
          <c:order val="34"/>
          <c:tx>
            <c:strRef>
              <c:f>'Curves (Simulation) (b)'!$M$18</c:f>
              <c:strCache>
                <c:ptCount val="1"/>
                <c:pt idx="0">
                  <c:v>4000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(b)'!$O$18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'Curves (Simulation) (b)'!$N$18</c:f>
              <c:numCache>
                <c:formatCode>0</c:formatCode>
                <c:ptCount val="1"/>
                <c:pt idx="0">
                  <c:v>4085.7093182644171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A-AF98-4EE9-9B1A-43006EDFDB81}"/>
            </c:ext>
          </c:extLst>
        </c:ser>
        <c:ser>
          <c:idx val="5"/>
          <c:order val="35"/>
          <c:tx>
            <c:strRef>
              <c:f>'Curves (Simulation) (b)'!$M$8</c:f>
              <c:strCache>
                <c:ptCount val="1"/>
                <c:pt idx="0">
                  <c:v>1672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(b)'!$O$8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'Curves (Simulation) (b)'!$N$8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B-AF98-4EE9-9B1A-43006EDFDB81}"/>
            </c:ext>
          </c:extLst>
        </c:ser>
        <c:ser>
          <c:idx val="11"/>
          <c:order val="36"/>
          <c:tx>
            <c:strRef>
              <c:f>'Curves (Simulation) (b)'!$M$28</c:f>
              <c:strCache>
                <c:ptCount val="1"/>
                <c:pt idx="0">
                  <c:v>1000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(b)'!$O$28</c:f>
              <c:numCache>
                <c:formatCode>0</c:formatCode>
                <c:ptCount val="1"/>
                <c:pt idx="0">
                  <c:v>2854.7686276578984</c:v>
                </c:pt>
              </c:numCache>
            </c:numRef>
          </c:xVal>
          <c:yVal>
            <c:numRef>
              <c:f>'Curves (Simulation) (b)'!$N$28</c:f>
              <c:numCache>
                <c:formatCode>0</c:formatCode>
                <c:ptCount val="1"/>
                <c:pt idx="0">
                  <c:v>255.35683239152607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C-AF98-4EE9-9B1A-43006EDFDB81}"/>
            </c:ext>
          </c:extLst>
        </c:ser>
        <c:ser>
          <c:idx val="13"/>
          <c:order val="37"/>
          <c:tx>
            <c:strRef>
              <c:f>'Curves (Simulation) (b)'!$A$50</c:f>
              <c:strCache>
                <c:ptCount val="1"/>
                <c:pt idx="0">
                  <c:v>Op. point</c:v>
                </c:pt>
              </c:strCache>
            </c:strRef>
          </c:tx>
          <c:spPr>
            <a:ln w="95250">
              <a:solidFill>
                <a:schemeClr val="tx1"/>
              </a:solidFill>
            </a:ln>
          </c:spPr>
          <c:marker>
            <c:symbol val="diamond"/>
            <c:size val="10"/>
            <c:spPr>
              <a:solidFill>
                <a:schemeClr val="tx1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(b)'!$C$53</c:f>
              <c:numCache>
                <c:formatCode>0</c:formatCode>
                <c:ptCount val="1"/>
                <c:pt idx="0">
                  <c:v>10000</c:v>
                </c:pt>
              </c:numCache>
            </c:numRef>
          </c:xVal>
          <c:yVal>
            <c:numRef>
              <c:f>'Curves (Simulation) (b)'!$C$51</c:f>
              <c:numCache>
                <c:formatCode>0</c:formatCode>
                <c:ptCount val="1"/>
                <c:pt idx="0">
                  <c:v>713.77587437544605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D-AF98-4EE9-9B1A-43006EDFDB81}"/>
            </c:ext>
          </c:extLst>
        </c:ser>
        <c:ser>
          <c:idx val="15"/>
          <c:order val="39"/>
          <c:tx>
            <c:strRef>
              <c:f>'Curves (Simulation) (b)'!$T$7</c:f>
              <c:strCache>
                <c:ptCount val="1"/>
                <c:pt idx="0">
                  <c:v>Dyn Press, mmH2o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dLbls>
            <c:dLbl>
              <c:idx val="5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E-AF98-4EE9-9B1A-43006EDFDB8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(b)'!$O$8:$O$17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(Simulation) (b)'!$T$8:$T$17</c:f>
              <c:numCache>
                <c:formatCode>0</c:formatCode>
                <c:ptCount val="10"/>
                <c:pt idx="0">
                  <c:v>4.271658382199611</c:v>
                </c:pt>
                <c:pt idx="1">
                  <c:v>12.693701533964179</c:v>
                </c:pt>
                <c:pt idx="2">
                  <c:v>26.261712400271765</c:v>
                </c:pt>
                <c:pt idx="3">
                  <c:v>37.665869735483099</c:v>
                </c:pt>
                <c:pt idx="4">
                  <c:v>47.607872128177043</c:v>
                </c:pt>
                <c:pt idx="5">
                  <c:v>55.004420542951479</c:v>
                </c:pt>
                <c:pt idx="6">
                  <c:v>59.214233507890143</c:v>
                </c:pt>
                <c:pt idx="7">
                  <c:v>59.214233507890143</c:v>
                </c:pt>
                <c:pt idx="8">
                  <c:v>59.214233507890143</c:v>
                </c:pt>
                <c:pt idx="9">
                  <c:v>59.214233507890143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F-AF98-4EE9-9B1A-43006EDFDB81}"/>
            </c:ext>
          </c:extLst>
        </c:ser>
        <c:ser>
          <c:idx val="16"/>
          <c:order val="40"/>
          <c:tx>
            <c:v>OP Line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('Curves (Simulation) (b)'!$C$53,'Curves (Simulation) (b)'!$C$53)</c:f>
              <c:numCache>
                <c:formatCode>0</c:formatCode>
                <c:ptCount val="2"/>
                <c:pt idx="0">
                  <c:v>10000</c:v>
                </c:pt>
                <c:pt idx="1">
                  <c:v>10000</c:v>
                </c:pt>
              </c:numCache>
            </c:numRef>
          </c:xVal>
          <c:yVal>
            <c:numRef>
              <c:f>('Curves (Simulation) (b)'!$H$54,'Curves (Simulation) (b)'!$G$54)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0-AF98-4EE9-9B1A-43006EDFD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4360"/>
        <c:axId val="487524752"/>
      </c:scatterChart>
      <c:scatterChart>
        <c:scatterStyle val="smoothMarker"/>
        <c:varyColors val="0"/>
        <c:ser>
          <c:idx val="14"/>
          <c:order val="38"/>
          <c:tx>
            <c:strRef>
              <c:f>'Curves (Simulation) (b)'!$P$7</c:f>
              <c:strCache>
                <c:ptCount val="1"/>
                <c:pt idx="0">
                  <c:v>req. Motor kW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2-AF98-4EE9-9B1A-43006EDFDB8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(b)'!$O$8:$O$17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(Simulation) (b)'!$P$8:$P$17</c:f>
              <c:numCache>
                <c:formatCode>0.0</c:formatCode>
                <c:ptCount val="10"/>
                <c:pt idx="0">
                  <c:v>14.274563137553161</c:v>
                </c:pt>
                <c:pt idx="1">
                  <c:v>19.032750850070883</c:v>
                </c:pt>
                <c:pt idx="2">
                  <c:v>24.232285134372773</c:v>
                </c:pt>
                <c:pt idx="3">
                  <c:v>27.282769632308192</c:v>
                </c:pt>
                <c:pt idx="4">
                  <c:v>27.106751763712655</c:v>
                </c:pt>
                <c:pt idx="5">
                  <c:v>25.874626683543898</c:v>
                </c:pt>
                <c:pt idx="6">
                  <c:v>25.843614349630329</c:v>
                </c:pt>
                <c:pt idx="7">
                  <c:v>25.336876813363066</c:v>
                </c:pt>
                <c:pt idx="8">
                  <c:v>25.336876813363066</c:v>
                </c:pt>
                <c:pt idx="9">
                  <c:v>25.336876813363066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1-AF98-4EE9-9B1A-43006EDFD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5536"/>
        <c:axId val="487525144"/>
      </c:scatterChart>
      <c:valAx>
        <c:axId val="4875243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da-DK"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da-DK" sz="1200">
                    <a:latin typeface="+mn-lt"/>
                  </a:rPr>
                  <a:t>Q &lt;m3/hr&gt;</a:t>
                </a:r>
              </a:p>
            </c:rich>
          </c:tx>
          <c:layout>
            <c:manualLayout>
              <c:xMode val="edge"/>
              <c:yMode val="edge"/>
              <c:x val="0.45312520505249348"/>
              <c:y val="0.935144713245742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da-DK" sz="12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zh-CN"/>
          </a:p>
        </c:txPr>
        <c:crossAx val="487524752"/>
        <c:crosses val="autoZero"/>
        <c:crossBetween val="midCat"/>
      </c:valAx>
      <c:valAx>
        <c:axId val="4875247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da-DK"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da-DK" sz="1200">
                    <a:latin typeface="+mn-lt"/>
                  </a:rPr>
                  <a:t>P &lt;mmH20&gt;</a:t>
                </a:r>
              </a:p>
            </c:rich>
          </c:tx>
          <c:layout>
            <c:manualLayout>
              <c:xMode val="edge"/>
              <c:yMode val="edge"/>
              <c:x val="1.5625E-2"/>
              <c:y val="0.443439547432111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da-DK" sz="12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zh-CN"/>
          </a:p>
        </c:txPr>
        <c:crossAx val="487524360"/>
        <c:crosses val="autoZero"/>
        <c:crossBetween val="midCat"/>
      </c:valAx>
      <c:valAx>
        <c:axId val="487525144"/>
        <c:scaling>
          <c:orientation val="minMax"/>
        </c:scaling>
        <c:delete val="0"/>
        <c:axPos val="r"/>
        <c:title>
          <c:tx>
            <c:strRef>
              <c:f>'Curves (Simulation) (b)'!$P$7</c:f>
              <c:strCache>
                <c:ptCount val="1"/>
                <c:pt idx="0">
                  <c:v>req. Motor kW</c:v>
                </c:pt>
              </c:strCache>
            </c:strRef>
          </c:tx>
          <c:overlay val="0"/>
          <c:txPr>
            <a:bodyPr rot="0" vert="horz"/>
            <a:lstStyle/>
            <a:p>
              <a:pPr>
                <a:defRPr b="1">
                  <a:latin typeface="+mn-lt"/>
                </a:defRPr>
              </a:pPr>
              <a:endParaRPr lang="zh-CN"/>
            </a:p>
          </c:txPr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+mn-lt"/>
              </a:defRPr>
            </a:pPr>
            <a:endParaRPr lang="zh-CN"/>
          </a:p>
        </c:txPr>
        <c:crossAx val="487525536"/>
        <c:crosses val="max"/>
        <c:crossBetween val="midCat"/>
      </c:valAx>
      <c:valAx>
        <c:axId val="48752553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one"/>
        <c:crossAx val="487525144"/>
        <c:crosses val="autoZero"/>
        <c:crossBetween val="midCat"/>
      </c:valAx>
      <c:spPr>
        <a:gradFill>
          <a:gsLst>
            <a:gs pos="0">
              <a:srgbClr val="4F81BD">
                <a:tint val="66000"/>
                <a:satMod val="160000"/>
              </a:srgbClr>
            </a:gs>
            <a:gs pos="50000">
              <a:srgbClr val="4F81BD">
                <a:tint val="44500"/>
                <a:satMod val="160000"/>
              </a:srgbClr>
            </a:gs>
            <a:gs pos="100000">
              <a:srgbClr val="4F81BD">
                <a:tint val="23500"/>
                <a:satMod val="160000"/>
              </a:srgbClr>
            </a:gs>
          </a:gsLst>
          <a:lin ang="5400000" scaled="0"/>
        </a:gradFill>
        <a:ln w="12700">
          <a:solidFill>
            <a:prstClr val="black">
              <a:lumMod val="95000"/>
              <a:lumOff val="5000"/>
            </a:prstClr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'Curves (Simulation) (1)'!$B$62</c:f>
          <c:strCache>
            <c:ptCount val="1"/>
            <c:pt idx="0">
              <c:v>XOE 166-45G REG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9.9548144717204523E-2"/>
          <c:y val="9.1543404296685144E-2"/>
          <c:w val="0.784902777873004"/>
          <c:h val="0.79324730242053065"/>
        </c:manualLayout>
      </c:layout>
      <c:scatterChart>
        <c:scatterStyle val="smoothMarker"/>
        <c:varyColors val="0"/>
        <c:ser>
          <c:idx val="13"/>
          <c:order val="0"/>
          <c:tx>
            <c:strRef>
              <c:f>'Curves (Simulation) (1)'!$B$65:$C$65</c:f>
              <c:strCache>
                <c:ptCount val="1"/>
                <c:pt idx="0">
                  <c:v>D(ny)/D(gl): 1.00</c:v>
                </c:pt>
              </c:strCache>
            </c:strRef>
          </c:tx>
          <c:marker>
            <c:symbol val="circle"/>
            <c:size val="4"/>
            <c:spPr>
              <a:solidFill>
                <a:schemeClr val="accent1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(1)'!$W$10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(1)'!$X$10</c:f>
              <c:numCache>
                <c:formatCode>0</c:formatCode>
                <c:ptCount val="1"/>
                <c:pt idx="0">
                  <c:v>5041.3011029802246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F-394B-4E13-9E00-DBBDAEA88B93}"/>
            </c:ext>
          </c:extLst>
        </c:ser>
        <c:ser>
          <c:idx val="58"/>
          <c:order val="1"/>
          <c:tx>
            <c:strRef>
              <c:f>'Curves (Simulation) (1)'!$B$70:$D$70</c:f>
              <c:strCache>
                <c:ptCount val="1"/>
                <c:pt idx="0">
                  <c:v>Op. temp. 20 C</c:v>
                </c:pt>
              </c:strCache>
            </c:strRef>
          </c:tx>
          <c:marker>
            <c:symbol val="circle"/>
            <c:size val="6"/>
            <c:spPr>
              <a:solidFill>
                <a:schemeClr val="accent1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(1)'!$W$12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(1)'!$X$12</c:f>
              <c:numCache>
                <c:formatCode>0</c:formatCode>
                <c:ptCount val="1"/>
                <c:pt idx="0">
                  <c:v>4621.1926777318731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4-394B-4E13-9E00-DBBDAEA88B93}"/>
            </c:ext>
          </c:extLst>
        </c:ser>
        <c:ser>
          <c:idx val="4"/>
          <c:order val="2"/>
          <c:tx>
            <c:strRef>
              <c:f>'Curves (Simulation) (1)'!$B$73:$D$73</c:f>
              <c:strCache>
                <c:ptCount val="1"/>
                <c:pt idx="0">
                  <c:v>rho(inlet) 1.205 kg/m3</c:v>
                </c:pt>
              </c:strCache>
            </c:strRef>
          </c:tx>
          <c:marker>
            <c:symbol val="circle"/>
            <c:size val="4"/>
            <c:spPr>
              <a:solidFill>
                <a:schemeClr val="accent1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(1)'!$W$14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(1)'!$X$14</c:f>
              <c:numCache>
                <c:formatCode>0</c:formatCode>
                <c:ptCount val="1"/>
                <c:pt idx="0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A-394B-4E13-9E00-DBBDAEA88B93}"/>
            </c:ext>
          </c:extLst>
        </c:ser>
        <c:ser>
          <c:idx val="0"/>
          <c:order val="3"/>
          <c:tx>
            <c:strRef>
              <c:f>'Curves (Simulation) (1)'!$N$17</c:f>
              <c:strCache>
                <c:ptCount val="1"/>
                <c:pt idx="0">
                  <c:v>4000</c:v>
                </c:pt>
              </c:strCache>
            </c:strRef>
          </c:tx>
          <c:spPr>
            <a:ln w="25400">
              <a:solidFill>
                <a:prstClr val="black">
                  <a:lumMod val="95000"/>
                  <a:lumOff val="5000"/>
                </a:prstClr>
              </a:solidFill>
              <a:prstDash val="solid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'Curves (Simulation) (1)'!$P$17:$P$26</c:f>
              <c:numCache>
                <c:formatCode>0</c:formatCode>
                <c:ptCount val="10"/>
                <c:pt idx="0">
                  <c:v>11419.074510631594</c:v>
                </c:pt>
                <c:pt idx="1">
                  <c:v>19684.60893562499</c:v>
                </c:pt>
                <c:pt idx="2">
                  <c:v>28313.53990404342</c:v>
                </c:pt>
                <c:pt idx="3">
                  <c:v>33908.349437351557</c:v>
                </c:pt>
                <c:pt idx="4">
                  <c:v>38121.680343291264</c:v>
                </c:pt>
                <c:pt idx="5">
                  <c:v>40976.177929166923</c:v>
                </c:pt>
                <c:pt idx="6">
                  <c:v>42515.344843366969</c:v>
                </c:pt>
                <c:pt idx="7">
                  <c:v>42515.344843366969</c:v>
                </c:pt>
                <c:pt idx="8">
                  <c:v>42515.344843366969</c:v>
                </c:pt>
                <c:pt idx="9">
                  <c:v>42515.344843366969</c:v>
                </c:pt>
              </c:numCache>
            </c:numRef>
          </c:xVal>
          <c:yVal>
            <c:numRef>
              <c:f>'Curves (Simulation) (1)'!$O$17:$O$26</c:f>
              <c:numCache>
                <c:formatCode>0</c:formatCode>
                <c:ptCount val="10"/>
                <c:pt idx="0">
                  <c:v>4085.7093182644171</c:v>
                </c:pt>
                <c:pt idx="1">
                  <c:v>4201.0842524835207</c:v>
                </c:pt>
                <c:pt idx="2">
                  <c:v>3659.2443409324669</c:v>
                </c:pt>
                <c:pt idx="3">
                  <c:v>2907.5930674773017</c:v>
                </c:pt>
                <c:pt idx="4">
                  <c:v>2061.3607689803757</c:v>
                </c:pt>
                <c:pt idx="5">
                  <c:v>1317.147430130804</c:v>
                </c:pt>
                <c:pt idx="6">
                  <c:v>884.94664999877875</c:v>
                </c:pt>
                <c:pt idx="7">
                  <c:v>884.94664999877875</c:v>
                </c:pt>
                <c:pt idx="8">
                  <c:v>884.94664999877875</c:v>
                </c:pt>
                <c:pt idx="9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4B-4E13-9E00-DBBDAEA88B93}"/>
            </c:ext>
          </c:extLst>
        </c:ser>
        <c:ser>
          <c:idx val="8"/>
          <c:order val="4"/>
          <c:tx>
            <c:strRef>
              <c:f>'Curves (Simulation) (1)'!$N$17</c:f>
              <c:strCache>
                <c:ptCount val="1"/>
                <c:pt idx="0">
                  <c:v>4000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C-394B-4E13-9E00-DBBDAEA88B9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(1)'!$P$17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'Curves (Simulation) (1)'!$O$17</c:f>
              <c:numCache>
                <c:formatCode>0</c:formatCode>
                <c:ptCount val="1"/>
                <c:pt idx="0">
                  <c:v>4085.7093182644171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D-394B-4E13-9E00-DBBDAEA88B93}"/>
            </c:ext>
          </c:extLst>
        </c:ser>
        <c:ser>
          <c:idx val="2"/>
          <c:order val="5"/>
          <c:tx>
            <c:strRef>
              <c:f>'Curves (Simulation) (1)'!$N$27</c:f>
              <c:strCache>
                <c:ptCount val="1"/>
                <c:pt idx="0">
                  <c:v>1000</c:v>
                </c:pt>
              </c:strCache>
            </c:strRef>
          </c:tx>
          <c:spPr>
            <a:ln w="25400">
              <a:solidFill>
                <a:prstClr val="black">
                  <a:lumMod val="95000"/>
                  <a:lumOff val="5000"/>
                </a:prstClr>
              </a:solidFill>
              <a:prstDash val="solid"/>
            </a:ln>
          </c:spPr>
          <c:marker>
            <c:symbol val="plus"/>
            <c:size val="5"/>
          </c:marker>
          <c:xVal>
            <c:numRef>
              <c:f>'Curves (Simulation) (1)'!$P$27:$P$36</c:f>
              <c:numCache>
                <c:formatCode>0</c:formatCode>
                <c:ptCount val="10"/>
                <c:pt idx="0">
                  <c:v>2854.7686276578984</c:v>
                </c:pt>
                <c:pt idx="1">
                  <c:v>4921.1522339062476</c:v>
                </c:pt>
                <c:pt idx="2">
                  <c:v>7078.3849760108551</c:v>
                </c:pt>
                <c:pt idx="3">
                  <c:v>8477.0873593378892</c:v>
                </c:pt>
                <c:pt idx="4">
                  <c:v>9530.420085822816</c:v>
                </c:pt>
                <c:pt idx="5">
                  <c:v>10244.044482291731</c:v>
                </c:pt>
                <c:pt idx="6">
                  <c:v>10628.836210841742</c:v>
                </c:pt>
                <c:pt idx="7">
                  <c:v>10628.836210841742</c:v>
                </c:pt>
                <c:pt idx="8">
                  <c:v>10628.836210841742</c:v>
                </c:pt>
                <c:pt idx="9">
                  <c:v>10628.836210841742</c:v>
                </c:pt>
              </c:numCache>
            </c:numRef>
          </c:xVal>
          <c:yVal>
            <c:numRef>
              <c:f>'Curves (Simulation) (1)'!$O$27:$O$36</c:f>
              <c:numCache>
                <c:formatCode>0</c:formatCode>
                <c:ptCount val="10"/>
                <c:pt idx="0">
                  <c:v>255.35683239152607</c:v>
                </c:pt>
                <c:pt idx="1">
                  <c:v>262.56776578022004</c:v>
                </c:pt>
                <c:pt idx="2">
                  <c:v>228.70277130827918</c:v>
                </c:pt>
                <c:pt idx="3">
                  <c:v>181.72456671733136</c:v>
                </c:pt>
                <c:pt idx="4">
                  <c:v>128.83504806127348</c:v>
                </c:pt>
                <c:pt idx="5">
                  <c:v>82.321714383175248</c:v>
                </c:pt>
                <c:pt idx="6">
                  <c:v>55.309165624923672</c:v>
                </c:pt>
                <c:pt idx="7">
                  <c:v>55.309165624923672</c:v>
                </c:pt>
                <c:pt idx="8">
                  <c:v>55.309165624923672</c:v>
                </c:pt>
                <c:pt idx="9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394B-4E13-9E00-DBBDAEA88B93}"/>
            </c:ext>
          </c:extLst>
        </c:ser>
        <c:ser>
          <c:idx val="11"/>
          <c:order val="6"/>
          <c:tx>
            <c:strRef>
              <c:f>'Curves (Simulation) (1)'!$N$27</c:f>
              <c:strCache>
                <c:ptCount val="1"/>
                <c:pt idx="0">
                  <c:v>1000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(1)'!$P$27</c:f>
              <c:numCache>
                <c:formatCode>0</c:formatCode>
                <c:ptCount val="1"/>
                <c:pt idx="0">
                  <c:v>2854.7686276578984</c:v>
                </c:pt>
              </c:numCache>
            </c:numRef>
          </c:xVal>
          <c:yVal>
            <c:numRef>
              <c:f>'Curves (Simulation) (1)'!$O$27</c:f>
              <c:numCache>
                <c:formatCode>0</c:formatCode>
                <c:ptCount val="1"/>
                <c:pt idx="0">
                  <c:v>255.35683239152607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E-394B-4E13-9E00-DBBDAEA88B93}"/>
            </c:ext>
          </c:extLst>
        </c:ser>
        <c:ser>
          <c:idx val="3"/>
          <c:order val="7"/>
          <c:tx>
            <c:strRef>
              <c:f>'Curves (Simulation) (1)'!$S$17</c:f>
              <c:strCache>
                <c:ptCount val="1"/>
                <c:pt idx="0">
                  <c:v>65%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(1)'!$P$17,'Curves (Simulation) (1)'!$P$37,'Curves (Simulation) (1)'!$P$27)</c:f>
              <c:numCache>
                <c:formatCode>0</c:formatCode>
                <c:ptCount val="3"/>
                <c:pt idx="0">
                  <c:v>11419.074510631594</c:v>
                </c:pt>
                <c:pt idx="1">
                  <c:v>4774.2507882755517</c:v>
                </c:pt>
                <c:pt idx="2">
                  <c:v>2854.7686276578984</c:v>
                </c:pt>
              </c:numCache>
            </c:numRef>
          </c:xVal>
          <c:yVal>
            <c:numRef>
              <c:f>('Curves (Simulation) (1)'!$O$17,'Curves (Simulation) (1)'!$O$37,'Curves (Simulation) (1)'!$O$27)</c:f>
              <c:numCache>
                <c:formatCode>0</c:formatCode>
                <c:ptCount val="3"/>
                <c:pt idx="0">
                  <c:v>4085.7093182644171</c:v>
                </c:pt>
                <c:pt idx="1">
                  <c:v>714.19385389401737</c:v>
                </c:pt>
                <c:pt idx="2">
                  <c:v>255.35683239152607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94B-4E13-9E00-DBBDAEA88B93}"/>
            </c:ext>
          </c:extLst>
        </c:ser>
        <c:ser>
          <c:idx val="9"/>
          <c:order val="8"/>
          <c:tx>
            <c:strRef>
              <c:f>'Curves (Simulation) (1)'!$S$18</c:f>
              <c:strCache>
                <c:ptCount val="1"/>
                <c:pt idx="0">
                  <c:v>87%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(1)'!$P$18,'Curves (Simulation) (1)'!$P$38,'Curves (Simulation) (1)'!$P$28)</c:f>
              <c:numCache>
                <c:formatCode>0</c:formatCode>
                <c:ptCount val="3"/>
                <c:pt idx="0">
                  <c:v>19684.60893562499</c:v>
                </c:pt>
                <c:pt idx="1">
                  <c:v>8230.0242143358737</c:v>
                </c:pt>
                <c:pt idx="2">
                  <c:v>4921.1522339062476</c:v>
                </c:pt>
              </c:numCache>
            </c:numRef>
          </c:xVal>
          <c:yVal>
            <c:numRef>
              <c:f>('Curves (Simulation) (1)'!$O$18,'Curves (Simulation) (1)'!$O$38,'Curves (Simulation) (1)'!$O$28)</c:f>
              <c:numCache>
                <c:formatCode>0</c:formatCode>
                <c:ptCount val="3"/>
                <c:pt idx="0">
                  <c:v>4201.0842524835207</c:v>
                </c:pt>
                <c:pt idx="1">
                  <c:v>734.36172744888722</c:v>
                </c:pt>
                <c:pt idx="2">
                  <c:v>262.56776578022004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394B-4E13-9E00-DBBDAEA88B93}"/>
            </c:ext>
          </c:extLst>
        </c:ser>
        <c:ser>
          <c:idx val="59"/>
          <c:order val="9"/>
          <c:tx>
            <c:strRef>
              <c:f>'Curves (Simulation) (1)'!$S$19</c:f>
              <c:strCache>
                <c:ptCount val="1"/>
                <c:pt idx="0">
                  <c:v>85%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(1)'!$P$19,'Curves (Simulation) (1)'!$P$39,'Curves (Simulation) (1)'!$P$29)</c:f>
              <c:numCache>
                <c:formatCode>0</c:formatCode>
                <c:ptCount val="3"/>
                <c:pt idx="0">
                  <c:v>28313.53990404342</c:v>
                </c:pt>
                <c:pt idx="1">
                  <c:v>11837.731690067933</c:v>
                </c:pt>
                <c:pt idx="2">
                  <c:v>7078.3849760108551</c:v>
                </c:pt>
              </c:numCache>
            </c:numRef>
          </c:xVal>
          <c:yVal>
            <c:numRef>
              <c:f>('Curves (Simulation) (1)'!$O$19,'Curves (Simulation) (1)'!$O$39,'Curves (Simulation) (1)'!$O$29)</c:f>
              <c:numCache>
                <c:formatCode>0</c:formatCode>
                <c:ptCount val="3"/>
                <c:pt idx="0">
                  <c:v>3659.2443409324669</c:v>
                </c:pt>
                <c:pt idx="1">
                  <c:v>639.64653738523714</c:v>
                </c:pt>
                <c:pt idx="2">
                  <c:v>228.70277130827918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06E-435C-A0DC-040973BD3B5F}"/>
            </c:ext>
          </c:extLst>
        </c:ser>
        <c:ser>
          <c:idx val="60"/>
          <c:order val="10"/>
          <c:tx>
            <c:strRef>
              <c:f>'Curves (Simulation) (1)'!$S$20</c:f>
              <c:strCache>
                <c:ptCount val="1"/>
                <c:pt idx="0">
                  <c:v>72%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(1)'!$P$20,'Curves (Simulation) (1)'!$P$40,'Curves (Simulation) (1)'!$P$30)</c:f>
              <c:numCache>
                <c:formatCode>0</c:formatCode>
                <c:ptCount val="3"/>
                <c:pt idx="0">
                  <c:v>33908.349437351557</c:v>
                </c:pt>
                <c:pt idx="1">
                  <c:v>14176.890069302517</c:v>
                </c:pt>
                <c:pt idx="2">
                  <c:v>8477.0873593378892</c:v>
                </c:pt>
              </c:numCache>
            </c:numRef>
          </c:xVal>
          <c:yVal>
            <c:numRef>
              <c:f>('Curves (Simulation) (1)'!$O$20,'Curves (Simulation) (1)'!$O$40,'Curves (Simulation) (1)'!$O$30)</c:f>
              <c:numCache>
                <c:formatCode>0</c:formatCode>
                <c:ptCount val="3"/>
                <c:pt idx="0">
                  <c:v>2907.5930674773017</c:v>
                </c:pt>
                <c:pt idx="1">
                  <c:v>508.25571196025805</c:v>
                </c:pt>
                <c:pt idx="2">
                  <c:v>181.72456671733136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06E-435C-A0DC-040973BD3B5F}"/>
            </c:ext>
          </c:extLst>
        </c:ser>
        <c:ser>
          <c:idx val="61"/>
          <c:order val="11"/>
          <c:tx>
            <c:strRef>
              <c:f>'Curves (Simulation) (1)'!$S$21</c:f>
              <c:strCache>
                <c:ptCount val="1"/>
                <c:pt idx="0">
                  <c:v>58%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(1)'!$P$21,'Curves (Simulation) (1)'!$P$41,'Curves (Simulation) (1)'!$P$31)</c:f>
              <c:numCache>
                <c:formatCode>0</c:formatCode>
                <c:ptCount val="3"/>
                <c:pt idx="0">
                  <c:v>38121.680343291264</c:v>
                </c:pt>
                <c:pt idx="1">
                  <c:v>15938.460009162362</c:v>
                </c:pt>
                <c:pt idx="2">
                  <c:v>9530.420085822816</c:v>
                </c:pt>
              </c:numCache>
            </c:numRef>
          </c:xVal>
          <c:yVal>
            <c:numRef>
              <c:f>('Curves (Simulation) (1)'!$O$21,'Curves (Simulation) (1)'!$O$41,'Curves (Simulation) (1)'!$O$31)</c:f>
              <c:numCache>
                <c:formatCode>0</c:formatCode>
                <c:ptCount val="3"/>
                <c:pt idx="0">
                  <c:v>2061.3607689803757</c:v>
                </c:pt>
                <c:pt idx="1">
                  <c:v>360.33184869094299</c:v>
                </c:pt>
                <c:pt idx="2">
                  <c:v>128.83504806127348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06E-435C-A0DC-040973BD3B5F}"/>
            </c:ext>
          </c:extLst>
        </c:ser>
        <c:ser>
          <c:idx val="62"/>
          <c:order val="12"/>
          <c:tx>
            <c:strRef>
              <c:f>'Curves (Simulation) (1)'!$S$22</c:f>
              <c:strCache>
                <c:ptCount val="1"/>
                <c:pt idx="0">
                  <c:v>42%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(1)'!$P$22,'Curves (Simulation) (1)'!$P$42,'Curves (Simulation) (1)'!$P$32)</c:f>
              <c:numCache>
                <c:formatCode>0</c:formatCode>
                <c:ptCount val="3"/>
                <c:pt idx="0">
                  <c:v>40976.177929166923</c:v>
                </c:pt>
                <c:pt idx="1">
                  <c:v>17131.909385187471</c:v>
                </c:pt>
                <c:pt idx="2">
                  <c:v>10244.044482291731</c:v>
                </c:pt>
              </c:numCache>
            </c:numRef>
          </c:xVal>
          <c:yVal>
            <c:numRef>
              <c:f>('Curves (Simulation) (1)'!$O$22,'Curves (Simulation) (1)'!$O$42,'Curves (Simulation) (1)'!$O$32)</c:f>
              <c:numCache>
                <c:formatCode>0</c:formatCode>
                <c:ptCount val="3"/>
                <c:pt idx="0">
                  <c:v>1317.147430130804</c:v>
                </c:pt>
                <c:pt idx="1">
                  <c:v>230.2411958350778</c:v>
                </c:pt>
                <c:pt idx="2">
                  <c:v>82.321714383175248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406E-435C-A0DC-040973BD3B5F}"/>
            </c:ext>
          </c:extLst>
        </c:ser>
        <c:ser>
          <c:idx val="10"/>
          <c:order val="13"/>
          <c:tx>
            <c:strRef>
              <c:f>'Curves (Simulation) (1)'!$S$23</c:f>
              <c:strCache>
                <c:ptCount val="1"/>
                <c:pt idx="0">
                  <c:v>29%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(1)'!$P$23,'Curves (Simulation) (1)'!$P$43,'Curves (Simulation) (1)'!$P$33)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(Simulation) (1)'!$O$23,'Curves (Simulation) (1)'!$O$43,'Curves (Simulation) (1)'!$O$33)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394B-4E13-9E00-DBBDAEA88B93}"/>
            </c:ext>
          </c:extLst>
        </c:ser>
        <c:ser>
          <c:idx val="6"/>
          <c:order val="14"/>
          <c:tx>
            <c:strRef>
              <c:f>'Curves (Simulation) (1)'!$S$24</c:f>
              <c:strCache>
                <c:ptCount val="1"/>
                <c:pt idx="0">
                  <c:v>30%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(1)'!$P$24,'Curves (Simulation) (1)'!$P$44,'Curves (Simulation) (1)'!$P$34)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(Simulation) (1)'!$O$24,'Curves (Simulation) (1)'!$O$44,'Curves (Simulation) (1)'!$O$34)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394B-4E13-9E00-DBBDAEA88B93}"/>
            </c:ext>
          </c:extLst>
        </c:ser>
        <c:ser>
          <c:idx val="7"/>
          <c:order val="15"/>
          <c:tx>
            <c:strRef>
              <c:f>'Curves (Simulation) (1)'!$S$25</c:f>
              <c:strCache>
                <c:ptCount val="1"/>
                <c:pt idx="0">
                  <c:v>30%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(1)'!$P$25,'Curves (Simulation) (1)'!$P$45,'Curves (Simulation) (1)'!$P$35)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(Simulation) (1)'!$O$25,'Curves (Simulation) (1)'!$O$45,'Curves (Simulation) (1)'!$O$35)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394B-4E13-9E00-DBBDAEA88B93}"/>
            </c:ext>
          </c:extLst>
        </c:ser>
        <c:ser>
          <c:idx val="12"/>
          <c:order val="16"/>
          <c:tx>
            <c:strRef>
              <c:f>'Curves (Simulation) (1)'!$S$26</c:f>
              <c:strCache>
                <c:ptCount val="1"/>
                <c:pt idx="0">
                  <c:v>30%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(1)'!$P$26,'Curves (Simulation) (1)'!$P$46,'Curves (Simulation) (1)'!$P$36)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(Simulation) (1)'!$O$26,'Curves (Simulation) (1)'!$O$46,'Curves (Simulation) (1)'!$O$36)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394B-4E13-9E00-DBBDAEA88B93}"/>
            </c:ext>
          </c:extLst>
        </c:ser>
        <c:ser>
          <c:idx val="1"/>
          <c:order val="17"/>
          <c:tx>
            <c:strRef>
              <c:f>'Curves (Simulation) (1)'!$M$37:$N$37</c:f>
              <c:strCache>
                <c:ptCount val="1"/>
                <c:pt idx="0">
                  <c:v>OP 1, OP conditions 1672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'Curves (Simulation) (1)'!$P$37:$P$46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(Simulation) (1)'!$O$37:$O$46</c:f>
              <c:numCache>
                <c:formatCode>0</c:formatCode>
                <c:ptCount val="10"/>
                <c:pt idx="0">
                  <c:v>714.19385389401737</c:v>
                </c:pt>
                <c:pt idx="1">
                  <c:v>734.36172744888722</c:v>
                </c:pt>
                <c:pt idx="2">
                  <c:v>639.64653738523714</c:v>
                </c:pt>
                <c:pt idx="3">
                  <c:v>508.25571196025805</c:v>
                </c:pt>
                <c:pt idx="4">
                  <c:v>360.33184869094299</c:v>
                </c:pt>
                <c:pt idx="5">
                  <c:v>230.2411958350778</c:v>
                </c:pt>
                <c:pt idx="6">
                  <c:v>154.69124433984632</c:v>
                </c:pt>
                <c:pt idx="7">
                  <c:v>154.69124433984632</c:v>
                </c:pt>
                <c:pt idx="8">
                  <c:v>154.69124433984632</c:v>
                </c:pt>
                <c:pt idx="9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94B-4E13-9E00-DBBDAEA88B93}"/>
            </c:ext>
          </c:extLst>
        </c:ser>
        <c:ser>
          <c:idx val="5"/>
          <c:order val="18"/>
          <c:tx>
            <c:strRef>
              <c:f>'Curves (Simulation) (1)'!$M$37:$N$37</c:f>
              <c:strCache>
                <c:ptCount val="1"/>
                <c:pt idx="0">
                  <c:v>OP 1, OP conditions 1672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(1)'!$P$37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'Curves (Simulation) (1)'!$O$37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B-394B-4E13-9E00-DBBDAEA88B93}"/>
            </c:ext>
          </c:extLst>
        </c:ser>
        <c:ser>
          <c:idx val="14"/>
          <c:order val="19"/>
          <c:tx>
            <c:strRef>
              <c:f>'Curves (Simulation) (1)'!$B$64:$C$64</c:f>
              <c:strCache>
                <c:ptCount val="1"/>
                <c:pt idx="0">
                  <c:v>OP 1, OP conditions</c:v>
                </c:pt>
              </c:strCache>
            </c:strRef>
          </c:tx>
          <c:spPr>
            <a:ln w="381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FF00"/>
              </a:solidFill>
              <a:ln w="38100">
                <a:solidFill>
                  <a:srgbClr val="FF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(1)'!$C$71</c:f>
              <c:numCache>
                <c:formatCode>0</c:formatCode>
                <c:ptCount val="1"/>
                <c:pt idx="0">
                  <c:v>10000</c:v>
                </c:pt>
              </c:numCache>
            </c:numRef>
          </c:xVal>
          <c:yVal>
            <c:numRef>
              <c:f>'Curves (Simulation) (1)'!$C$67</c:f>
              <c:numCache>
                <c:formatCode>0</c:formatCode>
                <c:ptCount val="1"/>
                <c:pt idx="0">
                  <c:v>713.77587437544605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0-394B-4E13-9E00-DBBDAEA88B93}"/>
            </c:ext>
          </c:extLst>
        </c:ser>
        <c:ser>
          <c:idx val="27"/>
          <c:order val="20"/>
          <c:tx>
            <c:strRef>
              <c:f>'Curves (Simulation) (1)'!$Q$37</c:f>
              <c:strCache>
                <c:ptCount val="1"/>
                <c:pt idx="0">
                  <c:v>14.3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1.9765625000001726E-2"/>
                  <c:y val="-2.544875677522560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394B-4E13-9E00-DBBDAEA88B9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(1)'!$P$37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'Curves (Simulation) (1)'!$O$37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394B-4E13-9E00-DBBDAEA88B93}"/>
            </c:ext>
          </c:extLst>
        </c:ser>
        <c:ser>
          <c:idx val="26"/>
          <c:order val="21"/>
          <c:tx>
            <c:strRef>
              <c:f>'Curves (Simulation) (1)'!$Q$38</c:f>
              <c:strCache>
                <c:ptCount val="1"/>
                <c:pt idx="0">
                  <c:v>19.0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394B-4E13-9E00-DBBDAEA88B9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(1)'!$P$38</c:f>
              <c:numCache>
                <c:formatCode>0</c:formatCode>
                <c:ptCount val="1"/>
                <c:pt idx="0">
                  <c:v>8230.0242143358737</c:v>
                </c:pt>
              </c:numCache>
            </c:numRef>
          </c:xVal>
          <c:yVal>
            <c:numRef>
              <c:f>'Curves (Simulation) (1)'!$O$38</c:f>
              <c:numCache>
                <c:formatCode>0</c:formatCode>
                <c:ptCount val="1"/>
                <c:pt idx="0">
                  <c:v>734.36172744888722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394B-4E13-9E00-DBBDAEA88B93}"/>
            </c:ext>
          </c:extLst>
        </c:ser>
        <c:ser>
          <c:idx val="66"/>
          <c:order val="22"/>
          <c:tx>
            <c:strRef>
              <c:f>'Curves (Simulation) (1)'!$Q$39</c:f>
              <c:strCache>
                <c:ptCount val="1"/>
                <c:pt idx="0">
                  <c:v>24.2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8F39-42AE-95AC-BE6F9097BDF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(1)'!$P$39</c:f>
              <c:numCache>
                <c:formatCode>0</c:formatCode>
                <c:ptCount val="1"/>
                <c:pt idx="0">
                  <c:v>11837.731690067933</c:v>
                </c:pt>
              </c:numCache>
            </c:numRef>
          </c:xVal>
          <c:yVal>
            <c:numRef>
              <c:f>'Curves (Simulation) (1)'!$O$39</c:f>
              <c:numCache>
                <c:formatCode>0</c:formatCode>
                <c:ptCount val="1"/>
                <c:pt idx="0">
                  <c:v>639.64653738523714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406E-435C-A0DC-040973BD3B5F}"/>
            </c:ext>
          </c:extLst>
        </c:ser>
        <c:ser>
          <c:idx val="65"/>
          <c:order val="23"/>
          <c:tx>
            <c:strRef>
              <c:f>'Curves (Simulation) (1)'!$Q$40</c:f>
              <c:strCache>
                <c:ptCount val="1"/>
                <c:pt idx="0">
                  <c:v>27.3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8F39-42AE-95AC-BE6F9097BDF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(1)'!$P$40</c:f>
              <c:numCache>
                <c:formatCode>0</c:formatCode>
                <c:ptCount val="1"/>
                <c:pt idx="0">
                  <c:v>14176.890069302517</c:v>
                </c:pt>
              </c:numCache>
            </c:numRef>
          </c:xVal>
          <c:yVal>
            <c:numRef>
              <c:f>'Curves (Simulation) (1)'!$O$40</c:f>
              <c:numCache>
                <c:formatCode>0</c:formatCode>
                <c:ptCount val="1"/>
                <c:pt idx="0">
                  <c:v>508.25571196025805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406E-435C-A0DC-040973BD3B5F}"/>
            </c:ext>
          </c:extLst>
        </c:ser>
        <c:ser>
          <c:idx val="64"/>
          <c:order val="24"/>
          <c:tx>
            <c:strRef>
              <c:f>'Curves (Simulation) (1)'!$Q$41</c:f>
              <c:strCache>
                <c:ptCount val="1"/>
                <c:pt idx="0">
                  <c:v>27.1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8F39-42AE-95AC-BE6F9097BDF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(1)'!$P$41</c:f>
              <c:numCache>
                <c:formatCode>0</c:formatCode>
                <c:ptCount val="1"/>
                <c:pt idx="0">
                  <c:v>15938.460009162362</c:v>
                </c:pt>
              </c:numCache>
            </c:numRef>
          </c:xVal>
          <c:yVal>
            <c:numRef>
              <c:f>'Curves (Simulation) (1)'!$O$41</c:f>
              <c:numCache>
                <c:formatCode>0</c:formatCode>
                <c:ptCount val="1"/>
                <c:pt idx="0">
                  <c:v>360.33184869094299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406E-435C-A0DC-040973BD3B5F}"/>
            </c:ext>
          </c:extLst>
        </c:ser>
        <c:ser>
          <c:idx val="63"/>
          <c:order val="25"/>
          <c:tx>
            <c:strRef>
              <c:f>'Curves (Simulation) (1)'!$Q$42</c:f>
              <c:strCache>
                <c:ptCount val="1"/>
                <c:pt idx="0">
                  <c:v>25.9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8F39-42AE-95AC-BE6F9097BDF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(1)'!$P$42</c:f>
              <c:numCache>
                <c:formatCode>0</c:formatCode>
                <c:ptCount val="1"/>
                <c:pt idx="0">
                  <c:v>17131.909385187471</c:v>
                </c:pt>
              </c:numCache>
            </c:numRef>
          </c:xVal>
          <c:yVal>
            <c:numRef>
              <c:f>'Curves (Simulation) (1)'!$O$42</c:f>
              <c:numCache>
                <c:formatCode>0</c:formatCode>
                <c:ptCount val="1"/>
                <c:pt idx="0">
                  <c:v>230.2411958350778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406E-435C-A0DC-040973BD3B5F}"/>
            </c:ext>
          </c:extLst>
        </c:ser>
        <c:ser>
          <c:idx val="24"/>
          <c:order val="26"/>
          <c:tx>
            <c:strRef>
              <c:f>'Curves (Simulation) (1)'!$Q$43</c:f>
              <c:strCache>
                <c:ptCount val="1"/>
                <c:pt idx="0">
                  <c:v>25.8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(1)'!$P$43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(Simulation) (1)'!$O$43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394B-4E13-9E00-DBBDAEA88B93}"/>
            </c:ext>
          </c:extLst>
        </c:ser>
        <c:ser>
          <c:idx val="22"/>
          <c:order val="27"/>
          <c:tx>
            <c:strRef>
              <c:f>'Curves (Simulation) (1)'!$Q$44</c:f>
              <c:strCache>
                <c:ptCount val="1"/>
                <c:pt idx="0">
                  <c:v>25.3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(1)'!$P$44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(Simulation) (1)'!$O$44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394B-4E13-9E00-DBBDAEA88B93}"/>
            </c:ext>
          </c:extLst>
        </c:ser>
        <c:ser>
          <c:idx val="20"/>
          <c:order val="28"/>
          <c:tx>
            <c:strRef>
              <c:f>'Curves (Simulation) (1)'!$Q$45</c:f>
              <c:strCache>
                <c:ptCount val="1"/>
                <c:pt idx="0">
                  <c:v>25.3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(1)'!$P$45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(Simulation) (1)'!$O$45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394B-4E13-9E00-DBBDAEA88B93}"/>
            </c:ext>
          </c:extLst>
        </c:ser>
        <c:ser>
          <c:idx val="19"/>
          <c:order val="29"/>
          <c:tx>
            <c:strRef>
              <c:f>'Curves (Simulation) (1)'!$Q$46</c:f>
              <c:strCache>
                <c:ptCount val="1"/>
                <c:pt idx="0">
                  <c:v>25.3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(1)'!$P$46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(Simulation) (1)'!$O$46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394B-4E13-9E00-DBBDAEA88B93}"/>
            </c:ext>
          </c:extLst>
        </c:ser>
        <c:ser>
          <c:idx val="38"/>
          <c:order val="30"/>
          <c:tx>
            <c:strRef>
              <c:f>'Curves (Simulation) (1)'!$S$17</c:f>
              <c:strCache>
                <c:ptCount val="1"/>
                <c:pt idx="0">
                  <c:v>65%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(1)'!$P$17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'Curves (Simulation) (1)'!$O$17</c:f>
              <c:numCache>
                <c:formatCode>0</c:formatCode>
                <c:ptCount val="1"/>
                <c:pt idx="0">
                  <c:v>4085.7093182644171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9-394B-4E13-9E00-DBBDAEA88B93}"/>
            </c:ext>
          </c:extLst>
        </c:ser>
        <c:ser>
          <c:idx val="37"/>
          <c:order val="31"/>
          <c:tx>
            <c:strRef>
              <c:f>'Curves (Simulation) (1)'!$S$18</c:f>
              <c:strCache>
                <c:ptCount val="1"/>
                <c:pt idx="0">
                  <c:v>87%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(1)'!$P$18</c:f>
              <c:numCache>
                <c:formatCode>0</c:formatCode>
                <c:ptCount val="1"/>
                <c:pt idx="0">
                  <c:v>19684.60893562499</c:v>
                </c:pt>
              </c:numCache>
            </c:numRef>
          </c:xVal>
          <c:yVal>
            <c:numRef>
              <c:f>'Curves (Simulation) (1)'!$O$18</c:f>
              <c:numCache>
                <c:formatCode>0</c:formatCode>
                <c:ptCount val="1"/>
                <c:pt idx="0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8-394B-4E13-9E00-DBBDAEA88B93}"/>
            </c:ext>
          </c:extLst>
        </c:ser>
        <c:ser>
          <c:idx val="67"/>
          <c:order val="32"/>
          <c:tx>
            <c:strRef>
              <c:f>'Curves (Simulation) (1)'!$S$19</c:f>
              <c:strCache>
                <c:ptCount val="1"/>
                <c:pt idx="0">
                  <c:v>85%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8F39-42AE-95AC-BE6F9097BDF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(1)'!$P$19</c:f>
              <c:numCache>
                <c:formatCode>0</c:formatCode>
                <c:ptCount val="1"/>
                <c:pt idx="0">
                  <c:v>28313.53990404342</c:v>
                </c:pt>
              </c:numCache>
            </c:numRef>
          </c:xVal>
          <c:yVal>
            <c:numRef>
              <c:f>'Curves (Simulation) (1)'!$O$19</c:f>
              <c:numCache>
                <c:formatCode>0</c:formatCode>
                <c:ptCount val="1"/>
                <c:pt idx="0">
                  <c:v>3659.2443409324669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406E-435C-A0DC-040973BD3B5F}"/>
            </c:ext>
          </c:extLst>
        </c:ser>
        <c:ser>
          <c:idx val="68"/>
          <c:order val="33"/>
          <c:tx>
            <c:strRef>
              <c:f>'Curves (Simulation) (1)'!$S$20</c:f>
              <c:strCache>
                <c:ptCount val="1"/>
                <c:pt idx="0">
                  <c:v>72%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8F39-42AE-95AC-BE6F9097BDF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(1)'!$P$20</c:f>
              <c:numCache>
                <c:formatCode>0</c:formatCode>
                <c:ptCount val="1"/>
                <c:pt idx="0">
                  <c:v>33908.349437351557</c:v>
                </c:pt>
              </c:numCache>
            </c:numRef>
          </c:xVal>
          <c:yVal>
            <c:numRef>
              <c:f>'Curves (Simulation) (1)'!$O$20</c:f>
              <c:numCache>
                <c:formatCode>0</c:formatCode>
                <c:ptCount val="1"/>
                <c:pt idx="0">
                  <c:v>2907.5930674773017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406E-435C-A0DC-040973BD3B5F}"/>
            </c:ext>
          </c:extLst>
        </c:ser>
        <c:ser>
          <c:idx val="69"/>
          <c:order val="34"/>
          <c:tx>
            <c:strRef>
              <c:f>'Curves (Simulation) (1)'!$S$21</c:f>
              <c:strCache>
                <c:ptCount val="1"/>
                <c:pt idx="0">
                  <c:v>58%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(1)'!$P$21</c:f>
              <c:numCache>
                <c:formatCode>0</c:formatCode>
                <c:ptCount val="1"/>
                <c:pt idx="0">
                  <c:v>38121.680343291264</c:v>
                </c:pt>
              </c:numCache>
            </c:numRef>
          </c:xVal>
          <c:yVal>
            <c:numRef>
              <c:f>'Curves (Simulation) (1)'!$O$21</c:f>
              <c:numCache>
                <c:formatCode>0</c:formatCode>
                <c:ptCount val="1"/>
                <c:pt idx="0">
                  <c:v>2061.3607689803757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406E-435C-A0DC-040973BD3B5F}"/>
            </c:ext>
          </c:extLst>
        </c:ser>
        <c:ser>
          <c:idx val="70"/>
          <c:order val="35"/>
          <c:tx>
            <c:strRef>
              <c:f>'Curves (Simulation) (1)'!$S$22</c:f>
              <c:strCache>
                <c:ptCount val="1"/>
                <c:pt idx="0">
                  <c:v>42%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(1)'!$P$22</c:f>
              <c:numCache>
                <c:formatCode>0</c:formatCode>
                <c:ptCount val="1"/>
                <c:pt idx="0">
                  <c:v>40976.177929166923</c:v>
                </c:pt>
              </c:numCache>
            </c:numRef>
          </c:xVal>
          <c:yVal>
            <c:numRef>
              <c:f>'Curves (Simulation) (1)'!$O$22</c:f>
              <c:numCache>
                <c:formatCode>0</c:formatCode>
                <c:ptCount val="1"/>
                <c:pt idx="0">
                  <c:v>1317.147430130804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406E-435C-A0DC-040973BD3B5F}"/>
            </c:ext>
          </c:extLst>
        </c:ser>
        <c:ser>
          <c:idx val="35"/>
          <c:order val="36"/>
          <c:tx>
            <c:strRef>
              <c:f>'Curves (Simulation) (1)'!$S$23</c:f>
              <c:strCache>
                <c:ptCount val="1"/>
                <c:pt idx="0">
                  <c:v>29%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(1)'!$P$23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(1)'!$O$23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394B-4E13-9E00-DBBDAEA88B93}"/>
            </c:ext>
          </c:extLst>
        </c:ser>
        <c:ser>
          <c:idx val="33"/>
          <c:order val="37"/>
          <c:tx>
            <c:strRef>
              <c:f>'Curves (Simulation) (1)'!$S$24</c:f>
              <c:strCache>
                <c:ptCount val="1"/>
                <c:pt idx="0">
                  <c:v>30%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(1)'!$P$24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(1)'!$O$24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394B-4E13-9E00-DBBDAEA88B93}"/>
            </c:ext>
          </c:extLst>
        </c:ser>
        <c:ser>
          <c:idx val="31"/>
          <c:order val="38"/>
          <c:tx>
            <c:strRef>
              <c:f>'Curves (Simulation) (1)'!$S$25</c:f>
              <c:strCache>
                <c:ptCount val="1"/>
                <c:pt idx="0">
                  <c:v>30%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394B-4E13-9E00-DBBDAEA88B9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(1)'!$P$25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(1)'!$O$25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5-394B-4E13-9E00-DBBDAEA88B93}"/>
            </c:ext>
          </c:extLst>
        </c:ser>
        <c:ser>
          <c:idx val="30"/>
          <c:order val="39"/>
          <c:tx>
            <c:strRef>
              <c:f>'Curves (Simulation) (1)'!$S$26</c:f>
              <c:strCache>
                <c:ptCount val="1"/>
                <c:pt idx="0">
                  <c:v>30%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(1)'!$P$26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(1)'!$O$26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394B-4E13-9E00-DBBDAEA88B93}"/>
            </c:ext>
          </c:extLst>
        </c:ser>
        <c:ser>
          <c:idx val="16"/>
          <c:order val="41"/>
          <c:tx>
            <c:strRef>
              <c:f>'Curves (Simulation) (1)'!$U$36</c:f>
              <c:strCache>
                <c:ptCount val="1"/>
                <c:pt idx="0">
                  <c:v>Dyn Press, mmH2o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dLbls>
            <c:dLbl>
              <c:idx val="5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0-394B-4E13-9E00-DBBDAEA88B9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(1)'!$P$7:$P$16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(Simulation) (1)'!$U$37:$U$46</c:f>
              <c:numCache>
                <c:formatCode>0</c:formatCode>
                <c:ptCount val="10"/>
                <c:pt idx="0">
                  <c:v>4.271658382199611</c:v>
                </c:pt>
                <c:pt idx="1">
                  <c:v>12.693701533964179</c:v>
                </c:pt>
                <c:pt idx="2">
                  <c:v>26.261712400271765</c:v>
                </c:pt>
                <c:pt idx="3">
                  <c:v>37.665869735483099</c:v>
                </c:pt>
                <c:pt idx="4">
                  <c:v>47.607872128177043</c:v>
                </c:pt>
                <c:pt idx="5">
                  <c:v>55.004420542951479</c:v>
                </c:pt>
                <c:pt idx="6">
                  <c:v>59.214233507890143</c:v>
                </c:pt>
                <c:pt idx="7">
                  <c:v>59.214233507890143</c:v>
                </c:pt>
                <c:pt idx="8">
                  <c:v>59.214233507890143</c:v>
                </c:pt>
                <c:pt idx="9">
                  <c:v>59.214233507890143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1-394B-4E13-9E00-DBBDAEA88B93}"/>
            </c:ext>
          </c:extLst>
        </c:ser>
        <c:ser>
          <c:idx val="17"/>
          <c:order val="42"/>
          <c:tx>
            <c:strRef>
              <c:f>'Curves (Simulation) (1)'!$M$47:$N$47</c:f>
              <c:strCache>
                <c:ptCount val="1"/>
                <c:pt idx="0">
                  <c:v>OP 2 0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'Curves (Simulation) (1)'!$P$47:$P$56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'Curves (Simulation) (1)'!$O$47:$O$56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94B-4E13-9E00-DBBDAEA88B93}"/>
            </c:ext>
          </c:extLst>
        </c:ser>
        <c:ser>
          <c:idx val="43"/>
          <c:order val="43"/>
          <c:tx>
            <c:strRef>
              <c:f>'Curves (Simulation) (1)'!$M$47:$N$47</c:f>
              <c:strCache>
                <c:ptCount val="1"/>
                <c:pt idx="0">
                  <c:v>OP 2 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(1)'!$P$47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(1)'!$O$47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E-394B-4E13-9E00-DBBDAEA88B93}"/>
            </c:ext>
          </c:extLst>
        </c:ser>
        <c:ser>
          <c:idx val="47"/>
          <c:order val="44"/>
          <c:tx>
            <c:strRef>
              <c:f>'Curves (Simulation) (1)'!$F$64:$G$64</c:f>
              <c:strCache>
                <c:ptCount val="1"/>
                <c:pt idx="0">
                  <c:v>OP 2</c:v>
                </c:pt>
              </c:strCache>
            </c:strRef>
          </c:tx>
          <c:spPr>
            <a:ln w="381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FF00"/>
              </a:solidFill>
              <a:ln w="38100">
                <a:solidFill>
                  <a:srgbClr val="FF0000"/>
                </a:solidFill>
              </a:ln>
            </c:spPr>
          </c:marker>
          <c:dLbls>
            <c:dLbl>
              <c:idx val="0"/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1-394B-4E13-9E00-DBBDAEA88B9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aseline="0"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(1)'!$G$71</c:f>
              <c:numCache>
                <c:formatCode>0</c:formatCode>
                <c:ptCount val="1"/>
              </c:numCache>
            </c:numRef>
          </c:xVal>
          <c:yVal>
            <c:numRef>
              <c:f>'Curves (Simulation) (1)'!$G$67</c:f>
              <c:numCache>
                <c:formatCode>0</c:formatCode>
                <c:ptCount val="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2-394B-4E13-9E00-DBBDAEA88B93}"/>
            </c:ext>
          </c:extLst>
        </c:ser>
        <c:ser>
          <c:idx val="21"/>
          <c:order val="45"/>
          <c:tx>
            <c:strRef>
              <c:f>'Curves (Simulation) (1)'!$Q$47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(1)'!$P$47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(1)'!$O$47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2-394B-4E13-9E00-DBBDAEA88B93}"/>
            </c:ext>
          </c:extLst>
        </c:ser>
        <c:ser>
          <c:idx val="23"/>
          <c:order val="46"/>
          <c:tx>
            <c:strRef>
              <c:f>'Curves (Simulation) (1)'!$Q$48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(1)'!$P$48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(1)'!$O$48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3-394B-4E13-9E00-DBBDAEA88B93}"/>
            </c:ext>
          </c:extLst>
        </c:ser>
        <c:ser>
          <c:idx val="49"/>
          <c:order val="47"/>
          <c:tx>
            <c:strRef>
              <c:f>'Curves (Simulation) (1)'!$Q$49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+mn-lt"/>
                    </a:defRPr>
                  </a:pPr>
                  <a:endParaRPr lang="zh-CN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8F39-42AE-95AC-BE6F9097BDF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(1)'!$P$49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(1)'!$O$49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406E-435C-A0DC-040973BD3B5F}"/>
            </c:ext>
          </c:extLst>
        </c:ser>
        <c:ser>
          <c:idx val="50"/>
          <c:order val="48"/>
          <c:tx>
            <c:strRef>
              <c:f>'Curves (Simulation) (1)'!$Q$50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(1)'!$P$50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(1)'!$O$50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406E-435C-A0DC-040973BD3B5F}"/>
            </c:ext>
          </c:extLst>
        </c:ser>
        <c:ser>
          <c:idx val="51"/>
          <c:order val="49"/>
          <c:tx>
            <c:strRef>
              <c:f>'Curves (Simulation) (1)'!$Q$51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(1)'!$P$51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(1)'!$O$51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406E-435C-A0DC-040973BD3B5F}"/>
            </c:ext>
          </c:extLst>
        </c:ser>
        <c:ser>
          <c:idx val="52"/>
          <c:order val="50"/>
          <c:tx>
            <c:strRef>
              <c:f>'Curves (Simulation) (1)'!$Q$52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+mn-lt"/>
                    </a:defRPr>
                  </a:pPr>
                  <a:endParaRPr lang="zh-CN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8F39-42AE-95AC-BE6F9097BDF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(1)'!$P$52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(1)'!$O$52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406E-435C-A0DC-040973BD3B5F}"/>
            </c:ext>
          </c:extLst>
        </c:ser>
        <c:ser>
          <c:idx val="25"/>
          <c:order val="51"/>
          <c:tx>
            <c:strRef>
              <c:f>'Curves (Simulation) (1)'!$Q$53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(1)'!$P$53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(1)'!$O$53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4-394B-4E13-9E00-DBBDAEA88B93}"/>
            </c:ext>
          </c:extLst>
        </c:ser>
        <c:ser>
          <c:idx val="28"/>
          <c:order val="52"/>
          <c:tx>
            <c:strRef>
              <c:f>'Curves (Simulation) (1)'!$Q$54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(1)'!$P$54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(1)'!$O$54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5-394B-4E13-9E00-DBBDAEA88B93}"/>
            </c:ext>
          </c:extLst>
        </c:ser>
        <c:ser>
          <c:idx val="29"/>
          <c:order val="53"/>
          <c:tx>
            <c:strRef>
              <c:f>'Curves (Simulation) (1)'!$Q$55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(1)'!$P$55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(1)'!$O$55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6-394B-4E13-9E00-DBBDAEA88B93}"/>
            </c:ext>
          </c:extLst>
        </c:ser>
        <c:ser>
          <c:idx val="32"/>
          <c:order val="54"/>
          <c:tx>
            <c:strRef>
              <c:f>'Curves (Simulation) (1)'!$Q$56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(1)'!$P$56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(1)'!$O$56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7-394B-4E13-9E00-DBBDAEA88B93}"/>
            </c:ext>
          </c:extLst>
        </c:ser>
        <c:ser>
          <c:idx val="18"/>
          <c:order val="56"/>
          <c:tx>
            <c:strRef>
              <c:f>'Curves (Simulation) (1)'!$M$57:$N$57</c:f>
              <c:strCache>
                <c:ptCount val="1"/>
                <c:pt idx="0">
                  <c:v>OP 3 0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'Curves (Simulation) (1)'!$P$57:$P$66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'Curves (Simulation) (1)'!$O$57:$O$66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94B-4E13-9E00-DBBDAEA88B93}"/>
            </c:ext>
          </c:extLst>
        </c:ser>
        <c:ser>
          <c:idx val="44"/>
          <c:order val="57"/>
          <c:tx>
            <c:strRef>
              <c:f>'Curves (Simulation) (1)'!$M$57:$N$57</c:f>
              <c:strCache>
                <c:ptCount val="1"/>
                <c:pt idx="0">
                  <c:v>OP 3 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(1)'!$P$57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(1)'!$O$57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F-394B-4E13-9E00-DBBDAEA88B93}"/>
            </c:ext>
          </c:extLst>
        </c:ser>
        <c:ser>
          <c:idx val="48"/>
          <c:order val="58"/>
          <c:tx>
            <c:strRef>
              <c:f>'Curves (Simulation) (1)'!$J$64:$K$64</c:f>
              <c:strCache>
                <c:ptCount val="1"/>
                <c:pt idx="0">
                  <c:v>OP 3</c:v>
                </c:pt>
              </c:strCache>
            </c:strRef>
          </c:tx>
          <c:spPr>
            <a:ln w="381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FF00"/>
              </a:solidFill>
              <a:ln w="38100">
                <a:solidFill>
                  <a:srgbClr val="FF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(1)'!$K$71</c:f>
              <c:numCache>
                <c:formatCode>0</c:formatCode>
                <c:ptCount val="1"/>
              </c:numCache>
            </c:numRef>
          </c:xVal>
          <c:yVal>
            <c:numRef>
              <c:f>'Curves (Simulation) (1)'!$K$67</c:f>
              <c:numCache>
                <c:formatCode>0</c:formatCode>
                <c:ptCount val="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3-394B-4E13-9E00-DBBDAEA88B93}"/>
            </c:ext>
          </c:extLst>
        </c:ser>
        <c:ser>
          <c:idx val="34"/>
          <c:order val="59"/>
          <c:tx>
            <c:strRef>
              <c:f>'Curves (Simulation) (1)'!$Q$57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(1)'!$P$57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(1)'!$O$57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8-394B-4E13-9E00-DBBDAEA88B93}"/>
            </c:ext>
          </c:extLst>
        </c:ser>
        <c:ser>
          <c:idx val="36"/>
          <c:order val="60"/>
          <c:tx>
            <c:strRef>
              <c:f>'Curves (Simulation) (1)'!$Q$58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(1)'!$P$58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(1)'!$O$58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9-394B-4E13-9E00-DBBDAEA88B93}"/>
            </c:ext>
          </c:extLst>
        </c:ser>
        <c:ser>
          <c:idx val="53"/>
          <c:order val="61"/>
          <c:tx>
            <c:strRef>
              <c:f>'Curves (Simulation) (1)'!$Q$59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'Curves (Simulation) (1)'!$P$59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(1)'!$O$59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EA5-4E12-B8D4-8D18E19E288B}"/>
            </c:ext>
          </c:extLst>
        </c:ser>
        <c:ser>
          <c:idx val="54"/>
          <c:order val="62"/>
          <c:tx>
            <c:strRef>
              <c:f>'Curves (Simulation) (1)'!$Q$60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(1)'!$P$60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(1)'!$O$60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7EA5-4E12-B8D4-8D18E19E288B}"/>
            </c:ext>
          </c:extLst>
        </c:ser>
        <c:ser>
          <c:idx val="55"/>
          <c:order val="63"/>
          <c:tx>
            <c:strRef>
              <c:f>'Curves (Simulation) (1)'!$Q$61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(1)'!$P$61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(1)'!$O$61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7EA5-4E12-B8D4-8D18E19E288B}"/>
            </c:ext>
          </c:extLst>
        </c:ser>
        <c:ser>
          <c:idx val="56"/>
          <c:order val="64"/>
          <c:tx>
            <c:strRef>
              <c:f>'Curves (Simulation) (1)'!$Q$62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(1)'!$P$62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(1)'!$O$62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7EA5-4E12-B8D4-8D18E19E288B}"/>
            </c:ext>
          </c:extLst>
        </c:ser>
        <c:ser>
          <c:idx val="39"/>
          <c:order val="65"/>
          <c:tx>
            <c:strRef>
              <c:f>'Curves (Simulation) (1)'!$Q$63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(1)'!$P$63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(1)'!$O$63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A-394B-4E13-9E00-DBBDAEA88B93}"/>
            </c:ext>
          </c:extLst>
        </c:ser>
        <c:ser>
          <c:idx val="40"/>
          <c:order val="66"/>
          <c:tx>
            <c:strRef>
              <c:f>'Curves (Simulation) (1)'!$Q$64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(1)'!$P$64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(1)'!$O$64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B-394B-4E13-9E00-DBBDAEA88B93}"/>
            </c:ext>
          </c:extLst>
        </c:ser>
        <c:ser>
          <c:idx val="41"/>
          <c:order val="67"/>
          <c:tx>
            <c:strRef>
              <c:f>'Curves (Simulation) (1)'!$Q$65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(1)'!$P$65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(1)'!$O$65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C-394B-4E13-9E00-DBBDAEA88B93}"/>
            </c:ext>
          </c:extLst>
        </c:ser>
        <c:ser>
          <c:idx val="42"/>
          <c:order val="68"/>
          <c:tx>
            <c:strRef>
              <c:f>'Curves (Simulation) (1)'!$Q$66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(1)'!$P$66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(1)'!$O$66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D-394B-4E13-9E00-DBBDAEA88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320"/>
        <c:axId val="487526712"/>
      </c:scatterChart>
      <c:scatterChart>
        <c:scatterStyle val="smoothMarker"/>
        <c:varyColors val="0"/>
        <c:ser>
          <c:idx val="15"/>
          <c:order val="40"/>
          <c:tx>
            <c:strRef>
              <c:f>'Curves (Simulation) (1)'!$M$37:$N$37</c:f>
              <c:strCache>
                <c:ptCount val="1"/>
                <c:pt idx="0">
                  <c:v>OP 1, OP conditions 1672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5-394B-4E13-9E00-DBBDAEA88B9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(1)'!$P$37:$P$46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(Simulation) (1)'!$Q$37:$Q$46</c:f>
              <c:numCache>
                <c:formatCode>0.0</c:formatCode>
                <c:ptCount val="10"/>
                <c:pt idx="0">
                  <c:v>14.274563137553161</c:v>
                </c:pt>
                <c:pt idx="1">
                  <c:v>19.032750850070883</c:v>
                </c:pt>
                <c:pt idx="2">
                  <c:v>24.232285134372773</c:v>
                </c:pt>
                <c:pt idx="3">
                  <c:v>27.282769632308192</c:v>
                </c:pt>
                <c:pt idx="4">
                  <c:v>27.106751763712655</c:v>
                </c:pt>
                <c:pt idx="5">
                  <c:v>25.874626683543898</c:v>
                </c:pt>
                <c:pt idx="6">
                  <c:v>25.843614349630329</c:v>
                </c:pt>
                <c:pt idx="7">
                  <c:v>25.336876813363066</c:v>
                </c:pt>
                <c:pt idx="8">
                  <c:v>25.336876813363066</c:v>
                </c:pt>
                <c:pt idx="9">
                  <c:v>25.336876813363066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6-394B-4E13-9E00-DBBDAEA88B93}"/>
            </c:ext>
          </c:extLst>
        </c:ser>
        <c:ser>
          <c:idx val="45"/>
          <c:order val="55"/>
          <c:tx>
            <c:strRef>
              <c:f>'Curves (Simulation) (1)'!$M$47:$N$47</c:f>
              <c:strCache>
                <c:ptCount val="1"/>
                <c:pt idx="0">
                  <c:v>OP 2 0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8F39-42AE-95AC-BE6F9097BDF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(1)'!$P$47:$P$56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'Curves (Simulation) (1)'!$Q$47:$Q$56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C-394B-4E13-9E00-DBBDAEA88B93}"/>
            </c:ext>
          </c:extLst>
        </c:ser>
        <c:ser>
          <c:idx val="46"/>
          <c:order val="69"/>
          <c:tx>
            <c:strRef>
              <c:f>'Curves (Simulation) (1)'!$M$57:$N$57</c:f>
              <c:strCache>
                <c:ptCount val="1"/>
                <c:pt idx="0">
                  <c:v>OP 3 0</c:v>
                </c:pt>
              </c:strCache>
            </c:strRef>
          </c:tx>
          <c:spPr>
            <a:ln>
              <a:solidFill>
                <a:srgbClr val="FFFF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+mn-lt"/>
                    </a:defRPr>
                  </a:pPr>
                  <a:endParaRPr lang="zh-CN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8F39-42AE-95AC-BE6F9097BDF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(1)'!$P$57:$P$66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'Curves (Simulation) (1)'!$Q$57:$Q$66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2-394B-4E13-9E00-DBBDAEA88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7496"/>
        <c:axId val="487527104"/>
      </c:scatterChart>
      <c:valAx>
        <c:axId val="48752632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da-DK"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da-DK" sz="1200">
                    <a:latin typeface="+mn-lt"/>
                  </a:rPr>
                  <a:t>Q &lt;m3/hr&gt;</a:t>
                </a:r>
              </a:p>
            </c:rich>
          </c:tx>
          <c:layout>
            <c:manualLayout>
              <c:xMode val="edge"/>
              <c:yMode val="edge"/>
              <c:x val="0.45312520505249348"/>
              <c:y val="0.935144713245742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da-DK" sz="12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zh-CN"/>
          </a:p>
        </c:txPr>
        <c:crossAx val="487526712"/>
        <c:crosses val="autoZero"/>
        <c:crossBetween val="midCat"/>
      </c:valAx>
      <c:valAx>
        <c:axId val="4875267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da-DK"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da-DK" sz="1200">
                    <a:latin typeface="+mn-lt"/>
                  </a:rPr>
                  <a:t>P &lt;mmH20&gt;</a:t>
                </a:r>
              </a:p>
            </c:rich>
          </c:tx>
          <c:layout>
            <c:manualLayout>
              <c:xMode val="edge"/>
              <c:yMode val="edge"/>
              <c:x val="1.5625E-2"/>
              <c:y val="0.443439547432111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da-DK" sz="12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zh-CN"/>
          </a:p>
        </c:txPr>
        <c:crossAx val="487526320"/>
        <c:crosses val="autoZero"/>
        <c:crossBetween val="midCat"/>
      </c:valAx>
      <c:valAx>
        <c:axId val="487527104"/>
        <c:scaling>
          <c:orientation val="minMax"/>
        </c:scaling>
        <c:delete val="0"/>
        <c:axPos val="r"/>
        <c:title>
          <c:tx>
            <c:strRef>
              <c:f>'Curves (Simulation) (1)'!$Q$6</c:f>
              <c:strCache>
                <c:ptCount val="1"/>
                <c:pt idx="0">
                  <c:v>req. Motor kW</c:v>
                </c:pt>
              </c:strCache>
            </c:strRef>
          </c:tx>
          <c:layout>
            <c:manualLayout>
              <c:xMode val="edge"/>
              <c:yMode val="edge"/>
              <c:x val="0.93004605464856394"/>
              <c:y val="0.49009062544595638"/>
            </c:manualLayout>
          </c:layout>
          <c:overlay val="0"/>
          <c:txPr>
            <a:bodyPr rot="0" vert="horz"/>
            <a:lstStyle/>
            <a:p>
              <a:pPr>
                <a:defRPr/>
              </a:pPr>
              <a:endParaRPr lang="zh-CN"/>
            </a:p>
          </c:txPr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+mn-lt"/>
              </a:defRPr>
            </a:pPr>
            <a:endParaRPr lang="zh-CN"/>
          </a:p>
        </c:txPr>
        <c:crossAx val="487527496"/>
        <c:crosses val="max"/>
        <c:crossBetween val="midCat"/>
      </c:valAx>
      <c:valAx>
        <c:axId val="48752749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one"/>
        <c:crossAx val="487527104"/>
        <c:crosses val="autoZero"/>
        <c:crossBetween val="midCat"/>
      </c:valAx>
      <c:spPr>
        <a:gradFill>
          <a:gsLst>
            <a:gs pos="0">
              <a:srgbClr val="4F81BD">
                <a:tint val="66000"/>
                <a:satMod val="160000"/>
              </a:srgbClr>
            </a:gs>
            <a:gs pos="50000">
              <a:srgbClr val="4F81BD">
                <a:tint val="44500"/>
                <a:satMod val="160000"/>
              </a:srgbClr>
            </a:gs>
            <a:gs pos="100000">
              <a:srgbClr val="4F81BD">
                <a:tint val="23500"/>
                <a:satMod val="160000"/>
              </a:srgbClr>
            </a:gs>
          </a:gsLst>
          <a:lin ang="5400000" scaled="0"/>
        </a:gradFill>
        <a:ln w="12700">
          <a:solidFill>
            <a:prstClr val="black">
              <a:lumMod val="95000"/>
              <a:lumOff val="5000"/>
            </a:prstClr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'Curves (Simulation) (2)'!$B$62</c:f>
          <c:strCache>
            <c:ptCount val="1"/>
            <c:pt idx="0">
              <c:v>XOE 166-45G REG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9.9548144717204523E-2"/>
          <c:y val="9.1543404296685144E-2"/>
          <c:w val="0.784902777873004"/>
          <c:h val="0.79324730242053065"/>
        </c:manualLayout>
      </c:layout>
      <c:scatterChart>
        <c:scatterStyle val="smoothMarker"/>
        <c:varyColors val="0"/>
        <c:ser>
          <c:idx val="13"/>
          <c:order val="0"/>
          <c:tx>
            <c:strRef>
              <c:f>'Curves (Simulation) (2)'!$B$65:$C$65</c:f>
              <c:strCache>
                <c:ptCount val="1"/>
                <c:pt idx="0">
                  <c:v>D(ny)/D(gl): 1.00</c:v>
                </c:pt>
              </c:strCache>
            </c:strRef>
          </c:tx>
          <c:marker>
            <c:symbol val="circle"/>
            <c:size val="4"/>
            <c:spPr>
              <a:solidFill>
                <a:schemeClr val="accent1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(2)'!$W$10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(2)'!$X$10</c:f>
              <c:numCache>
                <c:formatCode>0</c:formatCode>
                <c:ptCount val="1"/>
                <c:pt idx="0">
                  <c:v>5041.3011029802246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6CC-4E81-ABCE-61B0F5B7C24E}"/>
            </c:ext>
          </c:extLst>
        </c:ser>
        <c:ser>
          <c:idx val="58"/>
          <c:order val="1"/>
          <c:tx>
            <c:strRef>
              <c:f>'Curves (Simulation) (2)'!$B$70:$D$70</c:f>
              <c:strCache>
                <c:ptCount val="1"/>
                <c:pt idx="0">
                  <c:v>Op. temp. 20 C</c:v>
                </c:pt>
              </c:strCache>
            </c:strRef>
          </c:tx>
          <c:marker>
            <c:symbol val="circle"/>
            <c:size val="6"/>
            <c:spPr>
              <a:solidFill>
                <a:schemeClr val="accent1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(2)'!$W$12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(2)'!$X$12</c:f>
              <c:numCache>
                <c:formatCode>0</c:formatCode>
                <c:ptCount val="1"/>
                <c:pt idx="0">
                  <c:v>4621.1926777318731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6CC-4E81-ABCE-61B0F5B7C24E}"/>
            </c:ext>
          </c:extLst>
        </c:ser>
        <c:ser>
          <c:idx val="4"/>
          <c:order val="2"/>
          <c:tx>
            <c:strRef>
              <c:f>'Curves (Simulation) (2)'!$B$73:$D$73</c:f>
              <c:strCache>
                <c:ptCount val="1"/>
                <c:pt idx="0">
                  <c:v>rho(inlet) 1.205 kg/m3</c:v>
                </c:pt>
              </c:strCache>
            </c:strRef>
          </c:tx>
          <c:marker>
            <c:symbol val="circle"/>
            <c:size val="4"/>
            <c:spPr>
              <a:solidFill>
                <a:schemeClr val="accent1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(2)'!$W$14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(2)'!$X$14</c:f>
              <c:numCache>
                <c:formatCode>0</c:formatCode>
                <c:ptCount val="1"/>
                <c:pt idx="0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6CC-4E81-ABCE-61B0F5B7C24E}"/>
            </c:ext>
          </c:extLst>
        </c:ser>
        <c:ser>
          <c:idx val="0"/>
          <c:order val="3"/>
          <c:tx>
            <c:strRef>
              <c:f>'Curves (Simulation) (2)'!$N$17</c:f>
              <c:strCache>
                <c:ptCount val="1"/>
                <c:pt idx="0">
                  <c:v>4000</c:v>
                </c:pt>
              </c:strCache>
            </c:strRef>
          </c:tx>
          <c:spPr>
            <a:ln w="25400">
              <a:solidFill>
                <a:prstClr val="black">
                  <a:lumMod val="95000"/>
                  <a:lumOff val="5000"/>
                </a:prstClr>
              </a:solidFill>
              <a:prstDash val="solid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'Curves (Simulation) (2)'!$P$17:$P$26</c:f>
              <c:numCache>
                <c:formatCode>0</c:formatCode>
                <c:ptCount val="10"/>
                <c:pt idx="0">
                  <c:v>11419.074510631594</c:v>
                </c:pt>
                <c:pt idx="1">
                  <c:v>19684.60893562499</c:v>
                </c:pt>
                <c:pt idx="2">
                  <c:v>28313.53990404342</c:v>
                </c:pt>
                <c:pt idx="3">
                  <c:v>33908.349437351557</c:v>
                </c:pt>
                <c:pt idx="4">
                  <c:v>38121.680343291264</c:v>
                </c:pt>
                <c:pt idx="5">
                  <c:v>40976.177929166923</c:v>
                </c:pt>
                <c:pt idx="6">
                  <c:v>42515.344843366969</c:v>
                </c:pt>
                <c:pt idx="7">
                  <c:v>42515.344843366969</c:v>
                </c:pt>
                <c:pt idx="8">
                  <c:v>42515.344843366969</c:v>
                </c:pt>
                <c:pt idx="9">
                  <c:v>42515.344843366969</c:v>
                </c:pt>
              </c:numCache>
            </c:numRef>
          </c:xVal>
          <c:yVal>
            <c:numRef>
              <c:f>'Curves (Simulation) (2)'!$O$17:$O$26</c:f>
              <c:numCache>
                <c:formatCode>0</c:formatCode>
                <c:ptCount val="10"/>
                <c:pt idx="0">
                  <c:v>4085.7093182644171</c:v>
                </c:pt>
                <c:pt idx="1">
                  <c:v>4201.0842524835207</c:v>
                </c:pt>
                <c:pt idx="2">
                  <c:v>3659.2443409324669</c:v>
                </c:pt>
                <c:pt idx="3">
                  <c:v>2907.5930674773017</c:v>
                </c:pt>
                <c:pt idx="4">
                  <c:v>2061.3607689803757</c:v>
                </c:pt>
                <c:pt idx="5">
                  <c:v>1317.147430130804</c:v>
                </c:pt>
                <c:pt idx="6">
                  <c:v>884.94664999877875</c:v>
                </c:pt>
                <c:pt idx="7">
                  <c:v>884.94664999877875</c:v>
                </c:pt>
                <c:pt idx="8">
                  <c:v>884.94664999877875</c:v>
                </c:pt>
                <c:pt idx="9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6CC-4E81-ABCE-61B0F5B7C24E}"/>
            </c:ext>
          </c:extLst>
        </c:ser>
        <c:ser>
          <c:idx val="8"/>
          <c:order val="4"/>
          <c:tx>
            <c:strRef>
              <c:f>'Curves (Simulation) (2)'!$N$17</c:f>
              <c:strCache>
                <c:ptCount val="1"/>
                <c:pt idx="0">
                  <c:v>4000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(2)'!$P$17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'Curves (Simulation) (2)'!$O$17</c:f>
              <c:numCache>
                <c:formatCode>0</c:formatCode>
                <c:ptCount val="1"/>
                <c:pt idx="0">
                  <c:v>4085.7093182644171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56CC-4E81-ABCE-61B0F5B7C24E}"/>
            </c:ext>
          </c:extLst>
        </c:ser>
        <c:ser>
          <c:idx val="2"/>
          <c:order val="5"/>
          <c:tx>
            <c:strRef>
              <c:f>'Curves (Simulation) (2)'!$N$27</c:f>
              <c:strCache>
                <c:ptCount val="1"/>
                <c:pt idx="0">
                  <c:v>1000</c:v>
                </c:pt>
              </c:strCache>
            </c:strRef>
          </c:tx>
          <c:spPr>
            <a:ln w="25400">
              <a:solidFill>
                <a:prstClr val="black">
                  <a:lumMod val="95000"/>
                  <a:lumOff val="5000"/>
                </a:prstClr>
              </a:solidFill>
              <a:prstDash val="solid"/>
            </a:ln>
          </c:spPr>
          <c:marker>
            <c:symbol val="plus"/>
            <c:size val="5"/>
          </c:marker>
          <c:xVal>
            <c:numRef>
              <c:f>'Curves (Simulation) (2)'!$P$27:$P$36</c:f>
              <c:numCache>
                <c:formatCode>0</c:formatCode>
                <c:ptCount val="10"/>
                <c:pt idx="0">
                  <c:v>2854.7686276578984</c:v>
                </c:pt>
                <c:pt idx="1">
                  <c:v>4921.1522339062476</c:v>
                </c:pt>
                <c:pt idx="2">
                  <c:v>7078.3849760108551</c:v>
                </c:pt>
                <c:pt idx="3">
                  <c:v>8477.0873593378892</c:v>
                </c:pt>
                <c:pt idx="4">
                  <c:v>9530.420085822816</c:v>
                </c:pt>
                <c:pt idx="5">
                  <c:v>10244.044482291731</c:v>
                </c:pt>
                <c:pt idx="6">
                  <c:v>10628.836210841742</c:v>
                </c:pt>
                <c:pt idx="7">
                  <c:v>10628.836210841742</c:v>
                </c:pt>
                <c:pt idx="8">
                  <c:v>10628.836210841742</c:v>
                </c:pt>
                <c:pt idx="9">
                  <c:v>10628.836210841742</c:v>
                </c:pt>
              </c:numCache>
            </c:numRef>
          </c:xVal>
          <c:yVal>
            <c:numRef>
              <c:f>'Curves (Simulation) (2)'!$O$27:$O$36</c:f>
              <c:numCache>
                <c:formatCode>0</c:formatCode>
                <c:ptCount val="10"/>
                <c:pt idx="0">
                  <c:v>255.35683239152607</c:v>
                </c:pt>
                <c:pt idx="1">
                  <c:v>262.56776578022004</c:v>
                </c:pt>
                <c:pt idx="2">
                  <c:v>228.70277130827918</c:v>
                </c:pt>
                <c:pt idx="3">
                  <c:v>181.72456671733136</c:v>
                </c:pt>
                <c:pt idx="4">
                  <c:v>128.83504806127348</c:v>
                </c:pt>
                <c:pt idx="5">
                  <c:v>82.321714383175248</c:v>
                </c:pt>
                <c:pt idx="6">
                  <c:v>55.309165624923672</c:v>
                </c:pt>
                <c:pt idx="7">
                  <c:v>55.309165624923672</c:v>
                </c:pt>
                <c:pt idx="8">
                  <c:v>55.309165624923672</c:v>
                </c:pt>
                <c:pt idx="9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56CC-4E81-ABCE-61B0F5B7C24E}"/>
            </c:ext>
          </c:extLst>
        </c:ser>
        <c:ser>
          <c:idx val="11"/>
          <c:order val="6"/>
          <c:tx>
            <c:strRef>
              <c:f>'Curves (Simulation) (2)'!$N$27</c:f>
              <c:strCache>
                <c:ptCount val="1"/>
                <c:pt idx="0">
                  <c:v>1000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(2)'!$P$27</c:f>
              <c:numCache>
                <c:formatCode>0</c:formatCode>
                <c:ptCount val="1"/>
                <c:pt idx="0">
                  <c:v>2854.7686276578984</c:v>
                </c:pt>
              </c:numCache>
            </c:numRef>
          </c:xVal>
          <c:yVal>
            <c:numRef>
              <c:f>'Curves (Simulation) (2)'!$O$27</c:f>
              <c:numCache>
                <c:formatCode>0</c:formatCode>
                <c:ptCount val="1"/>
                <c:pt idx="0">
                  <c:v>255.35683239152607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56CC-4E81-ABCE-61B0F5B7C24E}"/>
            </c:ext>
          </c:extLst>
        </c:ser>
        <c:ser>
          <c:idx val="3"/>
          <c:order val="7"/>
          <c:tx>
            <c:strRef>
              <c:f>'Curves (Simulation) (2)'!$S$17</c:f>
              <c:strCache>
                <c:ptCount val="1"/>
                <c:pt idx="0">
                  <c:v>65%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('Curves (Simulation) (2)'!$P$17,'Curves (Simulation) (2)'!$P$37,'Curves (Simulation) (2)'!$P$27)</c:f>
              <c:numCache>
                <c:formatCode>0</c:formatCode>
                <c:ptCount val="3"/>
                <c:pt idx="0">
                  <c:v>11419.074510631594</c:v>
                </c:pt>
                <c:pt idx="1">
                  <c:v>4774.2507882755517</c:v>
                </c:pt>
                <c:pt idx="2">
                  <c:v>2854.7686276578984</c:v>
                </c:pt>
              </c:numCache>
            </c:numRef>
          </c:xVal>
          <c:yVal>
            <c:numRef>
              <c:f>('Curves (Simulation) (2)'!$O$17,'Curves (Simulation) (2)'!$O$37,'Curves (Simulation) (2)'!$O$27)</c:f>
              <c:numCache>
                <c:formatCode>0</c:formatCode>
                <c:ptCount val="3"/>
                <c:pt idx="0">
                  <c:v>4085.7093182644171</c:v>
                </c:pt>
                <c:pt idx="1">
                  <c:v>714.19385389401737</c:v>
                </c:pt>
                <c:pt idx="2">
                  <c:v>255.35683239152607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56CC-4E81-ABCE-61B0F5B7C24E}"/>
            </c:ext>
          </c:extLst>
        </c:ser>
        <c:ser>
          <c:idx val="9"/>
          <c:order val="8"/>
          <c:tx>
            <c:strRef>
              <c:f>'Curves (Simulation) (2)'!$S$18</c:f>
              <c:strCache>
                <c:ptCount val="1"/>
                <c:pt idx="0">
                  <c:v>87%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('Curves (Simulation) (2)'!$P$18,'Curves (Simulation) (2)'!$P$38,'Curves (Simulation) (2)'!$P$28)</c:f>
              <c:numCache>
                <c:formatCode>0</c:formatCode>
                <c:ptCount val="3"/>
                <c:pt idx="0">
                  <c:v>19684.60893562499</c:v>
                </c:pt>
                <c:pt idx="1">
                  <c:v>8230.0242143358737</c:v>
                </c:pt>
                <c:pt idx="2">
                  <c:v>4921.1522339062476</c:v>
                </c:pt>
              </c:numCache>
            </c:numRef>
          </c:xVal>
          <c:yVal>
            <c:numRef>
              <c:f>('Curves (Simulation) (2)'!$O$18,'Curves (Simulation) (2)'!$O$38,'Curves (Simulation) (2)'!$O$28)</c:f>
              <c:numCache>
                <c:formatCode>0</c:formatCode>
                <c:ptCount val="3"/>
                <c:pt idx="0">
                  <c:v>4201.0842524835207</c:v>
                </c:pt>
                <c:pt idx="1">
                  <c:v>734.36172744888722</c:v>
                </c:pt>
                <c:pt idx="2">
                  <c:v>262.56776578022004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56CC-4E81-ABCE-61B0F5B7C24E}"/>
            </c:ext>
          </c:extLst>
        </c:ser>
        <c:ser>
          <c:idx val="59"/>
          <c:order val="9"/>
          <c:tx>
            <c:strRef>
              <c:f>'Curves (Simulation) (2)'!$S$19</c:f>
              <c:strCache>
                <c:ptCount val="1"/>
                <c:pt idx="0">
                  <c:v>85%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(2)'!$P$19,'Curves (Simulation) (2)'!$P$39,'Curves (Simulation) (2)'!$P$29)</c:f>
              <c:numCache>
                <c:formatCode>0</c:formatCode>
                <c:ptCount val="3"/>
                <c:pt idx="0">
                  <c:v>28313.53990404342</c:v>
                </c:pt>
                <c:pt idx="1">
                  <c:v>11837.731690067933</c:v>
                </c:pt>
                <c:pt idx="2">
                  <c:v>7078.3849760108551</c:v>
                </c:pt>
              </c:numCache>
            </c:numRef>
          </c:xVal>
          <c:yVal>
            <c:numRef>
              <c:f>('Curves (Simulation) (2)'!$O$19,'Curves (Simulation) (2)'!$O$39,'Curves (Simulation) (2)'!$O$29)</c:f>
              <c:numCache>
                <c:formatCode>0</c:formatCode>
                <c:ptCount val="3"/>
                <c:pt idx="0">
                  <c:v>3659.2443409324669</c:v>
                </c:pt>
                <c:pt idx="1">
                  <c:v>639.64653738523714</c:v>
                </c:pt>
                <c:pt idx="2">
                  <c:v>228.70277130827918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56CC-4E81-ABCE-61B0F5B7C24E}"/>
            </c:ext>
          </c:extLst>
        </c:ser>
        <c:ser>
          <c:idx val="60"/>
          <c:order val="10"/>
          <c:tx>
            <c:strRef>
              <c:f>'Curves (Simulation) (2)'!$S$20</c:f>
              <c:strCache>
                <c:ptCount val="1"/>
                <c:pt idx="0">
                  <c:v>72%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(2)'!$P$20,'Curves (Simulation) (2)'!$P$40,'Curves (Simulation) (2)'!$P$30)</c:f>
              <c:numCache>
                <c:formatCode>0</c:formatCode>
                <c:ptCount val="3"/>
                <c:pt idx="0">
                  <c:v>33908.349437351557</c:v>
                </c:pt>
                <c:pt idx="1">
                  <c:v>14176.890069302517</c:v>
                </c:pt>
                <c:pt idx="2">
                  <c:v>8477.0873593378892</c:v>
                </c:pt>
              </c:numCache>
            </c:numRef>
          </c:xVal>
          <c:yVal>
            <c:numRef>
              <c:f>('Curves (Simulation) (2)'!$O$20,'Curves (Simulation) (2)'!$O$40,'Curves (Simulation) (2)'!$O$30)</c:f>
              <c:numCache>
                <c:formatCode>0</c:formatCode>
                <c:ptCount val="3"/>
                <c:pt idx="0">
                  <c:v>2907.5930674773017</c:v>
                </c:pt>
                <c:pt idx="1">
                  <c:v>508.25571196025805</c:v>
                </c:pt>
                <c:pt idx="2">
                  <c:v>181.72456671733136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56CC-4E81-ABCE-61B0F5B7C24E}"/>
            </c:ext>
          </c:extLst>
        </c:ser>
        <c:ser>
          <c:idx val="61"/>
          <c:order val="11"/>
          <c:tx>
            <c:strRef>
              <c:f>'Curves (Simulation) (2)'!$S$21</c:f>
              <c:strCache>
                <c:ptCount val="1"/>
                <c:pt idx="0">
                  <c:v>58%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(2)'!$P$21,'Curves (Simulation) (2)'!$P$41,'Curves (Simulation) (2)'!$P$31)</c:f>
              <c:numCache>
                <c:formatCode>0</c:formatCode>
                <c:ptCount val="3"/>
                <c:pt idx="0">
                  <c:v>38121.680343291264</c:v>
                </c:pt>
                <c:pt idx="1">
                  <c:v>15938.460009162362</c:v>
                </c:pt>
                <c:pt idx="2">
                  <c:v>9530.420085822816</c:v>
                </c:pt>
              </c:numCache>
            </c:numRef>
          </c:xVal>
          <c:yVal>
            <c:numRef>
              <c:f>('Curves (Simulation) (2)'!$O$21,'Curves (Simulation) (2)'!$O$41,'Curves (Simulation) (2)'!$O$31)</c:f>
              <c:numCache>
                <c:formatCode>0</c:formatCode>
                <c:ptCount val="3"/>
                <c:pt idx="0">
                  <c:v>2061.3607689803757</c:v>
                </c:pt>
                <c:pt idx="1">
                  <c:v>360.33184869094299</c:v>
                </c:pt>
                <c:pt idx="2">
                  <c:v>128.83504806127348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56CC-4E81-ABCE-61B0F5B7C24E}"/>
            </c:ext>
          </c:extLst>
        </c:ser>
        <c:ser>
          <c:idx val="62"/>
          <c:order val="12"/>
          <c:tx>
            <c:strRef>
              <c:f>'Curves (Simulation) (2)'!$S$22</c:f>
              <c:strCache>
                <c:ptCount val="1"/>
                <c:pt idx="0">
                  <c:v>42%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('Curves (Simulation) (2)'!$P$22,'Curves (Simulation) (2)'!$P$42,'Curves (Simulation) (2)'!$P$32)</c:f>
              <c:numCache>
                <c:formatCode>0</c:formatCode>
                <c:ptCount val="3"/>
                <c:pt idx="0">
                  <c:v>40976.177929166923</c:v>
                </c:pt>
                <c:pt idx="1">
                  <c:v>17131.909385187471</c:v>
                </c:pt>
                <c:pt idx="2">
                  <c:v>10244.044482291731</c:v>
                </c:pt>
              </c:numCache>
            </c:numRef>
          </c:xVal>
          <c:yVal>
            <c:numRef>
              <c:f>('Curves (Simulation) (2)'!$O$22,'Curves (Simulation) (2)'!$O$42,'Curves (Simulation) (2)'!$O$32)</c:f>
              <c:numCache>
                <c:formatCode>0</c:formatCode>
                <c:ptCount val="3"/>
                <c:pt idx="0">
                  <c:v>1317.147430130804</c:v>
                </c:pt>
                <c:pt idx="1">
                  <c:v>230.2411958350778</c:v>
                </c:pt>
                <c:pt idx="2">
                  <c:v>82.321714383175248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56CC-4E81-ABCE-61B0F5B7C24E}"/>
            </c:ext>
          </c:extLst>
        </c:ser>
        <c:ser>
          <c:idx val="10"/>
          <c:order val="13"/>
          <c:tx>
            <c:strRef>
              <c:f>'Curves (Simulation) (2)'!$S$23</c:f>
              <c:strCache>
                <c:ptCount val="1"/>
                <c:pt idx="0">
                  <c:v>29%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('Curves (Simulation) (2)'!$P$23,'Curves (Simulation) (2)'!$P$43,'Curves (Simulation) (2)'!$P$33)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(Simulation) (2)'!$O$23,'Curves (Simulation) (2)'!$O$43,'Curves (Simulation) (2)'!$O$33)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56CC-4E81-ABCE-61B0F5B7C24E}"/>
            </c:ext>
          </c:extLst>
        </c:ser>
        <c:ser>
          <c:idx val="6"/>
          <c:order val="14"/>
          <c:tx>
            <c:strRef>
              <c:f>'Curves (Simulation) (2)'!$S$24</c:f>
              <c:strCache>
                <c:ptCount val="1"/>
                <c:pt idx="0">
                  <c:v>30%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('Curves (Simulation) (2)'!$P$24,'Curves (Simulation) (2)'!$P$44,'Curves (Simulation) (2)'!$P$34)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(Simulation) (2)'!$O$24,'Curves (Simulation) (2)'!$O$44,'Curves (Simulation) (2)'!$O$34)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56CC-4E81-ABCE-61B0F5B7C24E}"/>
            </c:ext>
          </c:extLst>
        </c:ser>
        <c:ser>
          <c:idx val="7"/>
          <c:order val="15"/>
          <c:tx>
            <c:strRef>
              <c:f>'Curves (Simulation) (2)'!$S$25</c:f>
              <c:strCache>
                <c:ptCount val="1"/>
                <c:pt idx="0">
                  <c:v>30%</c:v>
                </c:pt>
              </c:strCache>
            </c:strRef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('Curves (Simulation) (2)'!$P$25,'Curves (Simulation) (2)'!$P$45,'Curves (Simulation) (2)'!$P$35)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(Simulation) (2)'!$O$25,'Curves (Simulation) (2)'!$O$45,'Curves (Simulation) (2)'!$O$35)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56CC-4E81-ABCE-61B0F5B7C24E}"/>
            </c:ext>
          </c:extLst>
        </c:ser>
        <c:ser>
          <c:idx val="12"/>
          <c:order val="16"/>
          <c:tx>
            <c:strRef>
              <c:f>'Curves (Simulation) (2)'!$S$26</c:f>
              <c:strCache>
                <c:ptCount val="1"/>
                <c:pt idx="0">
                  <c:v>30%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('Curves (Simulation) (2)'!$P$26,'Curves (Simulation) (2)'!$P$46,'Curves (Simulation) (2)'!$P$36)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('Curves (Simulation) (2)'!$O$26,'Curves (Simulation) (2)'!$O$46,'Curves (Simulation) (2)'!$O$36)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56CC-4E81-ABCE-61B0F5B7C24E}"/>
            </c:ext>
          </c:extLst>
        </c:ser>
        <c:ser>
          <c:idx val="1"/>
          <c:order val="17"/>
          <c:tx>
            <c:strRef>
              <c:f>'Curves (Simulation) (2)'!$M$37:$N$37</c:f>
              <c:strCache>
                <c:ptCount val="1"/>
                <c:pt idx="0">
                  <c:v>OP 1, OP conditions 1672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'Curves (Simulation) (2)'!$P$37:$P$46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(Simulation) (2)'!$O$37:$O$46</c:f>
              <c:numCache>
                <c:formatCode>0</c:formatCode>
                <c:ptCount val="10"/>
                <c:pt idx="0">
                  <c:v>714.19385389401737</c:v>
                </c:pt>
                <c:pt idx="1">
                  <c:v>734.36172744888722</c:v>
                </c:pt>
                <c:pt idx="2">
                  <c:v>639.64653738523714</c:v>
                </c:pt>
                <c:pt idx="3">
                  <c:v>508.25571196025805</c:v>
                </c:pt>
                <c:pt idx="4">
                  <c:v>360.33184869094299</c:v>
                </c:pt>
                <c:pt idx="5">
                  <c:v>230.2411958350778</c:v>
                </c:pt>
                <c:pt idx="6">
                  <c:v>154.69124433984632</c:v>
                </c:pt>
                <c:pt idx="7">
                  <c:v>154.69124433984632</c:v>
                </c:pt>
                <c:pt idx="8">
                  <c:v>154.69124433984632</c:v>
                </c:pt>
                <c:pt idx="9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56CC-4E81-ABCE-61B0F5B7C24E}"/>
            </c:ext>
          </c:extLst>
        </c:ser>
        <c:ser>
          <c:idx val="5"/>
          <c:order val="18"/>
          <c:tx>
            <c:strRef>
              <c:f>'Curves (Simulation) (2)'!$M$37:$N$37</c:f>
              <c:strCache>
                <c:ptCount val="1"/>
                <c:pt idx="0">
                  <c:v>OP 1, OP conditions 1672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(2)'!$P$37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'Curves (Simulation) (2)'!$O$37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56CC-4E81-ABCE-61B0F5B7C24E}"/>
            </c:ext>
          </c:extLst>
        </c:ser>
        <c:ser>
          <c:idx val="14"/>
          <c:order val="19"/>
          <c:tx>
            <c:strRef>
              <c:f>'Curves (Simulation) (2)'!$B$64:$C$64</c:f>
              <c:strCache>
                <c:ptCount val="1"/>
                <c:pt idx="0">
                  <c:v>OP 1, OP conditions</c:v>
                </c:pt>
              </c:strCache>
            </c:strRef>
          </c:tx>
          <c:spPr>
            <a:ln w="381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FF00"/>
              </a:solidFill>
              <a:ln w="38100">
                <a:solidFill>
                  <a:srgbClr val="FF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(2)'!$C$71</c:f>
              <c:numCache>
                <c:formatCode>0</c:formatCode>
                <c:ptCount val="1"/>
                <c:pt idx="0">
                  <c:v>10000</c:v>
                </c:pt>
              </c:numCache>
            </c:numRef>
          </c:xVal>
          <c:yVal>
            <c:numRef>
              <c:f>'Curves (Simulation) (2)'!$C$67</c:f>
              <c:numCache>
                <c:formatCode>0</c:formatCode>
                <c:ptCount val="1"/>
                <c:pt idx="0">
                  <c:v>713.77587437544605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56CC-4E81-ABCE-61B0F5B7C24E}"/>
            </c:ext>
          </c:extLst>
        </c:ser>
        <c:ser>
          <c:idx val="27"/>
          <c:order val="20"/>
          <c:tx>
            <c:strRef>
              <c:f>'Curves (Simulation) (2)'!$Q$37</c:f>
              <c:strCache>
                <c:ptCount val="1"/>
                <c:pt idx="0">
                  <c:v>14.3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1.9765625000001726E-2"/>
                  <c:y val="-2.544875677522560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(2)'!$P$37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'Curves (Simulation) (2)'!$O$37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56CC-4E81-ABCE-61B0F5B7C24E}"/>
            </c:ext>
          </c:extLst>
        </c:ser>
        <c:ser>
          <c:idx val="26"/>
          <c:order val="21"/>
          <c:tx>
            <c:strRef>
              <c:f>'Curves (Simulation) (2)'!$Q$38</c:f>
              <c:strCache>
                <c:ptCount val="1"/>
                <c:pt idx="0">
                  <c:v>19.0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(2)'!$P$38</c:f>
              <c:numCache>
                <c:formatCode>0</c:formatCode>
                <c:ptCount val="1"/>
                <c:pt idx="0">
                  <c:v>8230.0242143358737</c:v>
                </c:pt>
              </c:numCache>
            </c:numRef>
          </c:xVal>
          <c:yVal>
            <c:numRef>
              <c:f>'Curves (Simulation) (2)'!$O$38</c:f>
              <c:numCache>
                <c:formatCode>0</c:formatCode>
                <c:ptCount val="1"/>
                <c:pt idx="0">
                  <c:v>734.36172744888722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8-56CC-4E81-ABCE-61B0F5B7C24E}"/>
            </c:ext>
          </c:extLst>
        </c:ser>
        <c:ser>
          <c:idx val="66"/>
          <c:order val="22"/>
          <c:tx>
            <c:strRef>
              <c:f>'Curves (Simulation) (2)'!$Q$39</c:f>
              <c:strCache>
                <c:ptCount val="1"/>
                <c:pt idx="0">
                  <c:v>24.2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9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(2)'!$P$39</c:f>
              <c:numCache>
                <c:formatCode>0</c:formatCode>
                <c:ptCount val="1"/>
                <c:pt idx="0">
                  <c:v>11837.731690067933</c:v>
                </c:pt>
              </c:numCache>
            </c:numRef>
          </c:xVal>
          <c:yVal>
            <c:numRef>
              <c:f>'Curves (Simulation) (2)'!$O$39</c:f>
              <c:numCache>
                <c:formatCode>0</c:formatCode>
                <c:ptCount val="1"/>
                <c:pt idx="0">
                  <c:v>639.64653738523714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A-56CC-4E81-ABCE-61B0F5B7C24E}"/>
            </c:ext>
          </c:extLst>
        </c:ser>
        <c:ser>
          <c:idx val="65"/>
          <c:order val="23"/>
          <c:tx>
            <c:strRef>
              <c:f>'Curves (Simulation) (2)'!$Q$40</c:f>
              <c:strCache>
                <c:ptCount val="1"/>
                <c:pt idx="0">
                  <c:v>27.3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B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(2)'!$P$40</c:f>
              <c:numCache>
                <c:formatCode>0</c:formatCode>
                <c:ptCount val="1"/>
                <c:pt idx="0">
                  <c:v>14176.890069302517</c:v>
                </c:pt>
              </c:numCache>
            </c:numRef>
          </c:xVal>
          <c:yVal>
            <c:numRef>
              <c:f>'Curves (Simulation) (2)'!$O$40</c:f>
              <c:numCache>
                <c:formatCode>0</c:formatCode>
                <c:ptCount val="1"/>
                <c:pt idx="0">
                  <c:v>508.25571196025805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C-56CC-4E81-ABCE-61B0F5B7C24E}"/>
            </c:ext>
          </c:extLst>
        </c:ser>
        <c:ser>
          <c:idx val="64"/>
          <c:order val="24"/>
          <c:tx>
            <c:strRef>
              <c:f>'Curves (Simulation) (2)'!$Q$41</c:f>
              <c:strCache>
                <c:ptCount val="1"/>
                <c:pt idx="0">
                  <c:v>27.1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D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(2)'!$P$41</c:f>
              <c:numCache>
                <c:formatCode>0</c:formatCode>
                <c:ptCount val="1"/>
                <c:pt idx="0">
                  <c:v>15938.460009162362</c:v>
                </c:pt>
              </c:numCache>
            </c:numRef>
          </c:xVal>
          <c:yVal>
            <c:numRef>
              <c:f>'Curves (Simulation) (2)'!$O$41</c:f>
              <c:numCache>
                <c:formatCode>0</c:formatCode>
                <c:ptCount val="1"/>
                <c:pt idx="0">
                  <c:v>360.33184869094299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E-56CC-4E81-ABCE-61B0F5B7C24E}"/>
            </c:ext>
          </c:extLst>
        </c:ser>
        <c:ser>
          <c:idx val="63"/>
          <c:order val="25"/>
          <c:tx>
            <c:strRef>
              <c:f>'Curves (Simulation) (2)'!$Q$42</c:f>
              <c:strCache>
                <c:ptCount val="1"/>
                <c:pt idx="0">
                  <c:v>25.9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F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(2)'!$P$42</c:f>
              <c:numCache>
                <c:formatCode>0</c:formatCode>
                <c:ptCount val="1"/>
                <c:pt idx="0">
                  <c:v>17131.909385187471</c:v>
                </c:pt>
              </c:numCache>
            </c:numRef>
          </c:xVal>
          <c:yVal>
            <c:numRef>
              <c:f>'Curves (Simulation) (2)'!$O$42</c:f>
              <c:numCache>
                <c:formatCode>0</c:formatCode>
                <c:ptCount val="1"/>
                <c:pt idx="0">
                  <c:v>230.2411958350778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56CC-4E81-ABCE-61B0F5B7C24E}"/>
            </c:ext>
          </c:extLst>
        </c:ser>
        <c:ser>
          <c:idx val="24"/>
          <c:order val="26"/>
          <c:tx>
            <c:strRef>
              <c:f>'Curves (Simulation) (2)'!$Q$43</c:f>
              <c:strCache>
                <c:ptCount val="1"/>
                <c:pt idx="0">
                  <c:v>25.8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(2)'!$P$43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(Simulation) (2)'!$O$43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1-56CC-4E81-ABCE-61B0F5B7C24E}"/>
            </c:ext>
          </c:extLst>
        </c:ser>
        <c:ser>
          <c:idx val="22"/>
          <c:order val="27"/>
          <c:tx>
            <c:strRef>
              <c:f>'Curves (Simulation) (2)'!$Q$44</c:f>
              <c:strCache>
                <c:ptCount val="1"/>
                <c:pt idx="0">
                  <c:v>25.3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(2)'!$P$44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(Simulation) (2)'!$O$44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2-56CC-4E81-ABCE-61B0F5B7C24E}"/>
            </c:ext>
          </c:extLst>
        </c:ser>
        <c:ser>
          <c:idx val="20"/>
          <c:order val="28"/>
          <c:tx>
            <c:strRef>
              <c:f>'Curves (Simulation) (2)'!$Q$45</c:f>
              <c:strCache>
                <c:ptCount val="1"/>
                <c:pt idx="0">
                  <c:v>25.3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(2)'!$P$45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(Simulation) (2)'!$O$45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3-56CC-4E81-ABCE-61B0F5B7C24E}"/>
            </c:ext>
          </c:extLst>
        </c:ser>
        <c:ser>
          <c:idx val="19"/>
          <c:order val="29"/>
          <c:tx>
            <c:strRef>
              <c:f>'Curves (Simulation) (2)'!$Q$46</c:f>
              <c:strCache>
                <c:ptCount val="1"/>
                <c:pt idx="0">
                  <c:v>25.3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(2)'!$P$46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'Curves (Simulation) (2)'!$O$46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4-56CC-4E81-ABCE-61B0F5B7C24E}"/>
            </c:ext>
          </c:extLst>
        </c:ser>
        <c:ser>
          <c:idx val="38"/>
          <c:order val="30"/>
          <c:tx>
            <c:strRef>
              <c:f>'Curves (Simulation) (2)'!$S$17</c:f>
              <c:strCache>
                <c:ptCount val="1"/>
                <c:pt idx="0">
                  <c:v>65%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(2)'!$P$17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'Curves (Simulation) (2)'!$O$17</c:f>
              <c:numCache>
                <c:formatCode>0</c:formatCode>
                <c:ptCount val="1"/>
                <c:pt idx="0">
                  <c:v>4085.7093182644171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5-56CC-4E81-ABCE-61B0F5B7C24E}"/>
            </c:ext>
          </c:extLst>
        </c:ser>
        <c:ser>
          <c:idx val="37"/>
          <c:order val="31"/>
          <c:tx>
            <c:strRef>
              <c:f>'Curves (Simulation) (2)'!$S$18</c:f>
              <c:strCache>
                <c:ptCount val="1"/>
                <c:pt idx="0">
                  <c:v>87%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(2)'!$P$18</c:f>
              <c:numCache>
                <c:formatCode>0</c:formatCode>
                <c:ptCount val="1"/>
                <c:pt idx="0">
                  <c:v>19684.60893562499</c:v>
                </c:pt>
              </c:numCache>
            </c:numRef>
          </c:xVal>
          <c:yVal>
            <c:numRef>
              <c:f>'Curves (Simulation) (2)'!$O$18</c:f>
              <c:numCache>
                <c:formatCode>0</c:formatCode>
                <c:ptCount val="1"/>
                <c:pt idx="0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6-56CC-4E81-ABCE-61B0F5B7C24E}"/>
            </c:ext>
          </c:extLst>
        </c:ser>
        <c:ser>
          <c:idx val="67"/>
          <c:order val="32"/>
          <c:tx>
            <c:strRef>
              <c:f>'Curves (Simulation) (2)'!$S$19</c:f>
              <c:strCache>
                <c:ptCount val="1"/>
                <c:pt idx="0">
                  <c:v>85%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7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(2)'!$P$19</c:f>
              <c:numCache>
                <c:formatCode>0</c:formatCode>
                <c:ptCount val="1"/>
                <c:pt idx="0">
                  <c:v>28313.53990404342</c:v>
                </c:pt>
              </c:numCache>
            </c:numRef>
          </c:xVal>
          <c:yVal>
            <c:numRef>
              <c:f>'Curves (Simulation) (2)'!$O$19</c:f>
              <c:numCache>
                <c:formatCode>0</c:formatCode>
                <c:ptCount val="1"/>
                <c:pt idx="0">
                  <c:v>3659.2443409324669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8-56CC-4E81-ABCE-61B0F5B7C24E}"/>
            </c:ext>
          </c:extLst>
        </c:ser>
        <c:ser>
          <c:idx val="68"/>
          <c:order val="33"/>
          <c:tx>
            <c:strRef>
              <c:f>'Curves (Simulation) (2)'!$S$20</c:f>
              <c:strCache>
                <c:ptCount val="1"/>
                <c:pt idx="0">
                  <c:v>72%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9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(2)'!$P$20</c:f>
              <c:numCache>
                <c:formatCode>0</c:formatCode>
                <c:ptCount val="1"/>
                <c:pt idx="0">
                  <c:v>33908.349437351557</c:v>
                </c:pt>
              </c:numCache>
            </c:numRef>
          </c:xVal>
          <c:yVal>
            <c:numRef>
              <c:f>'Curves (Simulation) (2)'!$O$20</c:f>
              <c:numCache>
                <c:formatCode>0</c:formatCode>
                <c:ptCount val="1"/>
                <c:pt idx="0">
                  <c:v>2907.5930674773017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A-56CC-4E81-ABCE-61B0F5B7C24E}"/>
            </c:ext>
          </c:extLst>
        </c:ser>
        <c:ser>
          <c:idx val="69"/>
          <c:order val="34"/>
          <c:tx>
            <c:strRef>
              <c:f>'Curves (Simulation) (2)'!$S$21</c:f>
              <c:strCache>
                <c:ptCount val="1"/>
                <c:pt idx="0">
                  <c:v>58%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(2)'!$P$21</c:f>
              <c:numCache>
                <c:formatCode>0</c:formatCode>
                <c:ptCount val="1"/>
                <c:pt idx="0">
                  <c:v>38121.680343291264</c:v>
                </c:pt>
              </c:numCache>
            </c:numRef>
          </c:xVal>
          <c:yVal>
            <c:numRef>
              <c:f>'Curves (Simulation) (2)'!$O$21</c:f>
              <c:numCache>
                <c:formatCode>0</c:formatCode>
                <c:ptCount val="1"/>
                <c:pt idx="0">
                  <c:v>2061.3607689803757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B-56CC-4E81-ABCE-61B0F5B7C24E}"/>
            </c:ext>
          </c:extLst>
        </c:ser>
        <c:ser>
          <c:idx val="70"/>
          <c:order val="35"/>
          <c:tx>
            <c:strRef>
              <c:f>'Curves (Simulation) (2)'!$S$22</c:f>
              <c:strCache>
                <c:ptCount val="1"/>
                <c:pt idx="0">
                  <c:v>42%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(2)'!$P$22</c:f>
              <c:numCache>
                <c:formatCode>0</c:formatCode>
                <c:ptCount val="1"/>
                <c:pt idx="0">
                  <c:v>40976.177929166923</c:v>
                </c:pt>
              </c:numCache>
            </c:numRef>
          </c:xVal>
          <c:yVal>
            <c:numRef>
              <c:f>'Curves (Simulation) (2)'!$O$22</c:f>
              <c:numCache>
                <c:formatCode>0</c:formatCode>
                <c:ptCount val="1"/>
                <c:pt idx="0">
                  <c:v>1317.147430130804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C-56CC-4E81-ABCE-61B0F5B7C24E}"/>
            </c:ext>
          </c:extLst>
        </c:ser>
        <c:ser>
          <c:idx val="35"/>
          <c:order val="36"/>
          <c:tx>
            <c:strRef>
              <c:f>'Curves (Simulation) (2)'!$S$23</c:f>
              <c:strCache>
                <c:ptCount val="1"/>
                <c:pt idx="0">
                  <c:v>29%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(2)'!$P$23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(2)'!$O$23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D-56CC-4E81-ABCE-61B0F5B7C24E}"/>
            </c:ext>
          </c:extLst>
        </c:ser>
        <c:ser>
          <c:idx val="33"/>
          <c:order val="37"/>
          <c:tx>
            <c:strRef>
              <c:f>'Curves (Simulation) (2)'!$S$24</c:f>
              <c:strCache>
                <c:ptCount val="1"/>
                <c:pt idx="0">
                  <c:v>30%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(2)'!$P$24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(2)'!$O$24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E-56CC-4E81-ABCE-61B0F5B7C24E}"/>
            </c:ext>
          </c:extLst>
        </c:ser>
        <c:ser>
          <c:idx val="31"/>
          <c:order val="38"/>
          <c:tx>
            <c:strRef>
              <c:f>'Curves (Simulation) (2)'!$S$25</c:f>
              <c:strCache>
                <c:ptCount val="1"/>
                <c:pt idx="0">
                  <c:v>30%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F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(2)'!$P$25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(2)'!$O$25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0-56CC-4E81-ABCE-61B0F5B7C24E}"/>
            </c:ext>
          </c:extLst>
        </c:ser>
        <c:ser>
          <c:idx val="30"/>
          <c:order val="39"/>
          <c:tx>
            <c:strRef>
              <c:f>'Curves (Simulation) (2)'!$S$26</c:f>
              <c:strCache>
                <c:ptCount val="1"/>
                <c:pt idx="0">
                  <c:v>30%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da-DK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(2)'!$P$26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'Curves (Simulation) (2)'!$O$26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1-56CC-4E81-ABCE-61B0F5B7C24E}"/>
            </c:ext>
          </c:extLst>
        </c:ser>
        <c:ser>
          <c:idx val="16"/>
          <c:order val="41"/>
          <c:tx>
            <c:strRef>
              <c:f>'Curves (Simulation) (2)'!$U$36</c:f>
              <c:strCache>
                <c:ptCount val="1"/>
                <c:pt idx="0">
                  <c:v>Dyn Press, mmH2o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dLbls>
            <c:dLbl>
              <c:idx val="5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2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(2)'!$P$7:$P$16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(Simulation) (2)'!$U$37:$U$46</c:f>
              <c:numCache>
                <c:formatCode>0</c:formatCode>
                <c:ptCount val="10"/>
                <c:pt idx="0">
                  <c:v>4.271658382199611</c:v>
                </c:pt>
                <c:pt idx="1">
                  <c:v>12.693701533964179</c:v>
                </c:pt>
                <c:pt idx="2">
                  <c:v>26.261712400271765</c:v>
                </c:pt>
                <c:pt idx="3">
                  <c:v>37.665869735483099</c:v>
                </c:pt>
                <c:pt idx="4">
                  <c:v>47.607872128177043</c:v>
                </c:pt>
                <c:pt idx="5">
                  <c:v>55.004420542951479</c:v>
                </c:pt>
                <c:pt idx="6">
                  <c:v>59.214233507890143</c:v>
                </c:pt>
                <c:pt idx="7">
                  <c:v>59.214233507890143</c:v>
                </c:pt>
                <c:pt idx="8">
                  <c:v>59.214233507890143</c:v>
                </c:pt>
                <c:pt idx="9">
                  <c:v>59.214233507890143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3-56CC-4E81-ABCE-61B0F5B7C24E}"/>
            </c:ext>
          </c:extLst>
        </c:ser>
        <c:ser>
          <c:idx val="17"/>
          <c:order val="42"/>
          <c:tx>
            <c:strRef>
              <c:f>'Curves (Simulation) (2)'!$M$47:$N$47</c:f>
              <c:strCache>
                <c:ptCount val="1"/>
                <c:pt idx="0">
                  <c:v>OP 2 0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'Curves (Simulation) (2)'!$P$47:$P$56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'Curves (Simulation) (2)'!$O$47:$O$56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4-56CC-4E81-ABCE-61B0F5B7C24E}"/>
            </c:ext>
          </c:extLst>
        </c:ser>
        <c:ser>
          <c:idx val="43"/>
          <c:order val="43"/>
          <c:tx>
            <c:strRef>
              <c:f>'Curves (Simulation) (2)'!$M$47:$N$47</c:f>
              <c:strCache>
                <c:ptCount val="1"/>
                <c:pt idx="0">
                  <c:v>OP 2 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(2)'!$P$47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(2)'!$O$47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5-56CC-4E81-ABCE-61B0F5B7C24E}"/>
            </c:ext>
          </c:extLst>
        </c:ser>
        <c:ser>
          <c:idx val="47"/>
          <c:order val="44"/>
          <c:tx>
            <c:strRef>
              <c:f>'Curves (Simulation) (2)'!$F$64:$G$64</c:f>
              <c:strCache>
                <c:ptCount val="1"/>
                <c:pt idx="0">
                  <c:v>OP 2</c:v>
                </c:pt>
              </c:strCache>
            </c:strRef>
          </c:tx>
          <c:spPr>
            <a:ln w="381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FF00"/>
              </a:solidFill>
              <a:ln w="38100">
                <a:solidFill>
                  <a:srgbClr val="FF0000"/>
                </a:solidFill>
              </a:ln>
            </c:spPr>
          </c:marker>
          <c:dLbls>
            <c:dLbl>
              <c:idx val="0"/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6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aseline="0"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(2)'!$G$71</c:f>
              <c:numCache>
                <c:formatCode>0</c:formatCode>
                <c:ptCount val="1"/>
              </c:numCache>
            </c:numRef>
          </c:xVal>
          <c:yVal>
            <c:numRef>
              <c:f>'Curves (Simulation) (2)'!$G$67</c:f>
              <c:numCache>
                <c:formatCode>0</c:formatCode>
                <c:ptCount val="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7-56CC-4E81-ABCE-61B0F5B7C24E}"/>
            </c:ext>
          </c:extLst>
        </c:ser>
        <c:ser>
          <c:idx val="21"/>
          <c:order val="45"/>
          <c:tx>
            <c:strRef>
              <c:f>'Curves (Simulation) (2)'!$Q$47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(2)'!$P$47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(2)'!$O$47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8-56CC-4E81-ABCE-61B0F5B7C24E}"/>
            </c:ext>
          </c:extLst>
        </c:ser>
        <c:ser>
          <c:idx val="23"/>
          <c:order val="46"/>
          <c:tx>
            <c:strRef>
              <c:f>'Curves (Simulation) (2)'!$Q$48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(2)'!$P$48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(2)'!$O$48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9-56CC-4E81-ABCE-61B0F5B7C24E}"/>
            </c:ext>
          </c:extLst>
        </c:ser>
        <c:ser>
          <c:idx val="49"/>
          <c:order val="47"/>
          <c:tx>
            <c:strRef>
              <c:f>'Curves (Simulation) (2)'!$Q$49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+mn-lt"/>
                    </a:defRPr>
                  </a:pPr>
                  <a:endParaRPr lang="zh-CN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A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(2)'!$P$49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(2)'!$O$49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B-56CC-4E81-ABCE-61B0F5B7C24E}"/>
            </c:ext>
          </c:extLst>
        </c:ser>
        <c:ser>
          <c:idx val="50"/>
          <c:order val="48"/>
          <c:tx>
            <c:strRef>
              <c:f>'Curves (Simulation) (2)'!$Q$50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(2)'!$P$50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(2)'!$O$50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C-56CC-4E81-ABCE-61B0F5B7C24E}"/>
            </c:ext>
          </c:extLst>
        </c:ser>
        <c:ser>
          <c:idx val="51"/>
          <c:order val="49"/>
          <c:tx>
            <c:strRef>
              <c:f>'Curves (Simulation) (2)'!$Q$51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(2)'!$P$51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(2)'!$O$51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D-56CC-4E81-ABCE-61B0F5B7C24E}"/>
            </c:ext>
          </c:extLst>
        </c:ser>
        <c:ser>
          <c:idx val="52"/>
          <c:order val="50"/>
          <c:tx>
            <c:strRef>
              <c:f>'Curves (Simulation) (2)'!$Q$52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+mn-lt"/>
                    </a:defRPr>
                  </a:pPr>
                  <a:endParaRPr lang="zh-CN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E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(2)'!$P$52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(2)'!$O$52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F-56CC-4E81-ABCE-61B0F5B7C24E}"/>
            </c:ext>
          </c:extLst>
        </c:ser>
        <c:ser>
          <c:idx val="25"/>
          <c:order val="51"/>
          <c:tx>
            <c:strRef>
              <c:f>'Curves (Simulation) (2)'!$Q$53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(2)'!$P$53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(2)'!$O$53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0-56CC-4E81-ABCE-61B0F5B7C24E}"/>
            </c:ext>
          </c:extLst>
        </c:ser>
        <c:ser>
          <c:idx val="28"/>
          <c:order val="52"/>
          <c:tx>
            <c:strRef>
              <c:f>'Curves (Simulation) (2)'!$Q$54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(2)'!$P$54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(2)'!$O$54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1-56CC-4E81-ABCE-61B0F5B7C24E}"/>
            </c:ext>
          </c:extLst>
        </c:ser>
        <c:ser>
          <c:idx val="29"/>
          <c:order val="53"/>
          <c:tx>
            <c:strRef>
              <c:f>'Curves (Simulation) (2)'!$Q$55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(2)'!$P$55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(2)'!$O$55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2-56CC-4E81-ABCE-61B0F5B7C24E}"/>
            </c:ext>
          </c:extLst>
        </c:ser>
        <c:ser>
          <c:idx val="32"/>
          <c:order val="54"/>
          <c:tx>
            <c:strRef>
              <c:f>'Curves (Simulation) (2)'!$Q$56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(2)'!$P$56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(2)'!$O$56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3-56CC-4E81-ABCE-61B0F5B7C24E}"/>
            </c:ext>
          </c:extLst>
        </c:ser>
        <c:ser>
          <c:idx val="18"/>
          <c:order val="56"/>
          <c:tx>
            <c:strRef>
              <c:f>'Curves (Simulation) (2)'!$M$57:$N$57</c:f>
              <c:strCache>
                <c:ptCount val="1"/>
                <c:pt idx="0">
                  <c:v>OP 3 0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'Curves (Simulation) (2)'!$P$57:$P$66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'Curves (Simulation) (2)'!$O$57:$O$66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4-56CC-4E81-ABCE-61B0F5B7C24E}"/>
            </c:ext>
          </c:extLst>
        </c:ser>
        <c:ser>
          <c:idx val="44"/>
          <c:order val="57"/>
          <c:tx>
            <c:strRef>
              <c:f>'Curves (Simulation) (2)'!$M$57:$N$57</c:f>
              <c:strCache>
                <c:ptCount val="1"/>
                <c:pt idx="0">
                  <c:v>OP 3 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(2)'!$P$57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(2)'!$O$57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5-56CC-4E81-ABCE-61B0F5B7C24E}"/>
            </c:ext>
          </c:extLst>
        </c:ser>
        <c:ser>
          <c:idx val="48"/>
          <c:order val="58"/>
          <c:tx>
            <c:strRef>
              <c:f>'Curves (Simulation) (2)'!$J$64:$K$64</c:f>
              <c:strCache>
                <c:ptCount val="1"/>
                <c:pt idx="0">
                  <c:v>OP 3</c:v>
                </c:pt>
              </c:strCache>
            </c:strRef>
          </c:tx>
          <c:spPr>
            <a:ln w="381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FF00"/>
              </a:solidFill>
              <a:ln w="38100">
                <a:solidFill>
                  <a:srgbClr val="FF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(2)'!$K$71</c:f>
              <c:numCache>
                <c:formatCode>0</c:formatCode>
                <c:ptCount val="1"/>
              </c:numCache>
            </c:numRef>
          </c:xVal>
          <c:yVal>
            <c:numRef>
              <c:f>'Curves (Simulation) (2)'!$K$67</c:f>
              <c:numCache>
                <c:formatCode>0</c:formatCode>
                <c:ptCount val="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6-56CC-4E81-ABCE-61B0F5B7C24E}"/>
            </c:ext>
          </c:extLst>
        </c:ser>
        <c:ser>
          <c:idx val="34"/>
          <c:order val="59"/>
          <c:tx>
            <c:strRef>
              <c:f>'Curves (Simulation) (2)'!$Q$57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(2)'!$P$57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(2)'!$O$57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7-56CC-4E81-ABCE-61B0F5B7C24E}"/>
            </c:ext>
          </c:extLst>
        </c:ser>
        <c:ser>
          <c:idx val="36"/>
          <c:order val="60"/>
          <c:tx>
            <c:strRef>
              <c:f>'Curves (Simulation) (2)'!$Q$58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(2)'!$P$58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(2)'!$O$58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8-56CC-4E81-ABCE-61B0F5B7C24E}"/>
            </c:ext>
          </c:extLst>
        </c:ser>
        <c:ser>
          <c:idx val="53"/>
          <c:order val="61"/>
          <c:tx>
            <c:strRef>
              <c:f>'Curves (Simulation) (2)'!$Q$59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'Curves (Simulation) (2)'!$P$59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(2)'!$O$59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9-56CC-4E81-ABCE-61B0F5B7C24E}"/>
            </c:ext>
          </c:extLst>
        </c:ser>
        <c:ser>
          <c:idx val="54"/>
          <c:order val="62"/>
          <c:tx>
            <c:strRef>
              <c:f>'Curves (Simulation) (2)'!$Q$60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(2)'!$P$60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(2)'!$O$60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A-56CC-4E81-ABCE-61B0F5B7C24E}"/>
            </c:ext>
          </c:extLst>
        </c:ser>
        <c:ser>
          <c:idx val="55"/>
          <c:order val="63"/>
          <c:tx>
            <c:strRef>
              <c:f>'Curves (Simulation) (2)'!$Q$61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(2)'!$P$61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(2)'!$O$61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B-56CC-4E81-ABCE-61B0F5B7C24E}"/>
            </c:ext>
          </c:extLst>
        </c:ser>
        <c:ser>
          <c:idx val="56"/>
          <c:order val="64"/>
          <c:tx>
            <c:strRef>
              <c:f>'Curves (Simulation) (2)'!$Q$62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(2)'!$P$62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(2)'!$O$62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C-56CC-4E81-ABCE-61B0F5B7C24E}"/>
            </c:ext>
          </c:extLst>
        </c:ser>
        <c:ser>
          <c:idx val="39"/>
          <c:order val="65"/>
          <c:tx>
            <c:strRef>
              <c:f>'Curves (Simulation) (2)'!$Q$63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(2)'!$P$63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(2)'!$O$63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D-56CC-4E81-ABCE-61B0F5B7C24E}"/>
            </c:ext>
          </c:extLst>
        </c:ser>
        <c:ser>
          <c:idx val="40"/>
          <c:order val="66"/>
          <c:tx>
            <c:strRef>
              <c:f>'Curves (Simulation) (2)'!$Q$64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(2)'!$P$64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(2)'!$O$64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E-56CC-4E81-ABCE-61B0F5B7C24E}"/>
            </c:ext>
          </c:extLst>
        </c:ser>
        <c:ser>
          <c:idx val="41"/>
          <c:order val="67"/>
          <c:tx>
            <c:strRef>
              <c:f>'Curves (Simulation) (2)'!$Q$65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(2)'!$P$65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(2)'!$O$65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F-56CC-4E81-ABCE-61B0F5B7C24E}"/>
            </c:ext>
          </c:extLst>
        </c:ser>
        <c:ser>
          <c:idx val="42"/>
          <c:order val="68"/>
          <c:tx>
            <c:strRef>
              <c:f>'Curves (Simulation) (2)'!$Q$66</c:f>
              <c:strCache>
                <c:ptCount val="1"/>
                <c:pt idx="0">
                  <c:v>0.0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(2)'!$P$66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'Curves (Simulation) (2)'!$O$66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0-56CC-4E81-ABCE-61B0F5B7C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8280"/>
        <c:axId val="487528672"/>
      </c:scatterChart>
      <c:scatterChart>
        <c:scatterStyle val="smoothMarker"/>
        <c:varyColors val="0"/>
        <c:ser>
          <c:idx val="15"/>
          <c:order val="40"/>
          <c:tx>
            <c:strRef>
              <c:f>'Curves (Simulation) (2)'!$M$37:$N$37</c:f>
              <c:strCache>
                <c:ptCount val="1"/>
                <c:pt idx="0">
                  <c:v>OP 1, OP conditions 1672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1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(2)'!$P$37:$P$46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'Curves (Simulation) (2)'!$Q$37:$Q$46</c:f>
              <c:numCache>
                <c:formatCode>0.0</c:formatCode>
                <c:ptCount val="10"/>
                <c:pt idx="0">
                  <c:v>14.274563137553161</c:v>
                </c:pt>
                <c:pt idx="1">
                  <c:v>19.032750850070883</c:v>
                </c:pt>
                <c:pt idx="2">
                  <c:v>24.232285134372773</c:v>
                </c:pt>
                <c:pt idx="3">
                  <c:v>27.282769632308192</c:v>
                </c:pt>
                <c:pt idx="4">
                  <c:v>27.106751763712655</c:v>
                </c:pt>
                <c:pt idx="5">
                  <c:v>25.874626683543898</c:v>
                </c:pt>
                <c:pt idx="6">
                  <c:v>25.843614349630329</c:v>
                </c:pt>
                <c:pt idx="7">
                  <c:v>25.336876813363066</c:v>
                </c:pt>
                <c:pt idx="8">
                  <c:v>25.336876813363066</c:v>
                </c:pt>
                <c:pt idx="9">
                  <c:v>25.336876813363066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2-56CC-4E81-ABCE-61B0F5B7C24E}"/>
            </c:ext>
          </c:extLst>
        </c:ser>
        <c:ser>
          <c:idx val="45"/>
          <c:order val="55"/>
          <c:tx>
            <c:strRef>
              <c:f>'Curves (Simulation) (2)'!$M$47:$N$47</c:f>
              <c:strCache>
                <c:ptCount val="1"/>
                <c:pt idx="0">
                  <c:v>OP 2 0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3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+mn-lt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(2)'!$P$47:$P$56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'Curves (Simulation) (2)'!$Q$47:$Q$56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4-56CC-4E81-ABCE-61B0F5B7C24E}"/>
            </c:ext>
          </c:extLst>
        </c:ser>
        <c:ser>
          <c:idx val="46"/>
          <c:order val="69"/>
          <c:tx>
            <c:strRef>
              <c:f>'Curves (Simulation) (2)'!$M$57:$N$57</c:f>
              <c:strCache>
                <c:ptCount val="1"/>
                <c:pt idx="0">
                  <c:v>OP 3 0</c:v>
                </c:pt>
              </c:strCache>
            </c:strRef>
          </c:tx>
          <c:spPr>
            <a:ln>
              <a:solidFill>
                <a:srgbClr val="FFFF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+mn-lt"/>
                    </a:defRPr>
                  </a:pPr>
                  <a:endParaRPr lang="zh-CN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5-56CC-4E81-ABCE-61B0F5B7C2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'Curves (Simulation) (2)'!$P$57:$P$66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'Curves (Simulation) (2)'!$Q$57:$Q$66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6-56CC-4E81-ABCE-61B0F5B7C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9456"/>
        <c:axId val="487529064"/>
      </c:scatterChart>
      <c:valAx>
        <c:axId val="48752828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da-DK"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da-DK" sz="1200">
                    <a:latin typeface="+mn-lt"/>
                  </a:rPr>
                  <a:t>Q &lt;m3/hr&gt;</a:t>
                </a:r>
              </a:p>
            </c:rich>
          </c:tx>
          <c:layout>
            <c:manualLayout>
              <c:xMode val="edge"/>
              <c:yMode val="edge"/>
              <c:x val="0.45312520505249348"/>
              <c:y val="0.935144713245742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da-DK" sz="12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zh-CN"/>
          </a:p>
        </c:txPr>
        <c:crossAx val="487528672"/>
        <c:crosses val="autoZero"/>
        <c:crossBetween val="midCat"/>
      </c:valAx>
      <c:valAx>
        <c:axId val="4875286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da-DK"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da-DK" sz="1200">
                    <a:latin typeface="+mn-lt"/>
                  </a:rPr>
                  <a:t>P &lt;mmH20&gt;</a:t>
                </a:r>
              </a:p>
            </c:rich>
          </c:tx>
          <c:layout>
            <c:manualLayout>
              <c:xMode val="edge"/>
              <c:yMode val="edge"/>
              <c:x val="1.5625E-2"/>
              <c:y val="0.443439547432111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da-DK" sz="12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zh-CN"/>
          </a:p>
        </c:txPr>
        <c:crossAx val="487528280"/>
        <c:crosses val="autoZero"/>
        <c:crossBetween val="midCat"/>
      </c:valAx>
      <c:valAx>
        <c:axId val="487529064"/>
        <c:scaling>
          <c:orientation val="minMax"/>
        </c:scaling>
        <c:delete val="0"/>
        <c:axPos val="r"/>
        <c:title>
          <c:tx>
            <c:strRef>
              <c:f>'Curves (Simulation) (2)'!$Q$6</c:f>
              <c:strCache>
                <c:ptCount val="1"/>
                <c:pt idx="0">
                  <c:v>req. Motor kW</c:v>
                </c:pt>
              </c:strCache>
            </c:strRef>
          </c:tx>
          <c:layout>
            <c:manualLayout>
              <c:xMode val="edge"/>
              <c:yMode val="edge"/>
              <c:x val="0.93004605464856394"/>
              <c:y val="0.49009062544595638"/>
            </c:manualLayout>
          </c:layout>
          <c:overlay val="0"/>
          <c:txPr>
            <a:bodyPr rot="0" vert="horz"/>
            <a:lstStyle/>
            <a:p>
              <a:pPr>
                <a:defRPr/>
              </a:pPr>
              <a:endParaRPr lang="zh-CN"/>
            </a:p>
          </c:txPr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+mn-lt"/>
              </a:defRPr>
            </a:pPr>
            <a:endParaRPr lang="zh-CN"/>
          </a:p>
        </c:txPr>
        <c:crossAx val="487529456"/>
        <c:crosses val="max"/>
        <c:crossBetween val="midCat"/>
      </c:valAx>
      <c:valAx>
        <c:axId val="4875294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one"/>
        <c:crossAx val="487529064"/>
        <c:crosses val="autoZero"/>
        <c:crossBetween val="midCat"/>
      </c:valAx>
      <c:spPr>
        <a:gradFill>
          <a:gsLst>
            <a:gs pos="0">
              <a:srgbClr val="4F81BD">
                <a:tint val="66000"/>
                <a:satMod val="160000"/>
              </a:srgbClr>
            </a:gs>
            <a:gs pos="50000">
              <a:srgbClr val="4F81BD">
                <a:tint val="44500"/>
                <a:satMod val="160000"/>
              </a:srgbClr>
            </a:gs>
            <a:gs pos="100000">
              <a:srgbClr val="4F81BD">
                <a:tint val="23500"/>
                <a:satMod val="160000"/>
              </a:srgbClr>
            </a:gs>
          </a:gsLst>
          <a:lin ang="5400000" scaled="0"/>
        </a:gradFill>
        <a:ln w="12700">
          <a:solidFill>
            <a:prstClr val="black">
              <a:lumMod val="95000"/>
              <a:lumOff val="5000"/>
            </a:prstClr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 for BOSS'!$D$52</c:f>
          <c:strCache>
            <c:ptCount val="1"/>
            <c:pt idx="0">
              <c:v>XOE 166-45G REG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2449946020780282"/>
          <c:y val="0.13969159118268121"/>
          <c:w val="0.73707945079704895"/>
          <c:h val="0.734709615843504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for BOSS'!$S$21</c:f>
              <c:strCache>
                <c:ptCount val="1"/>
                <c:pt idx="0">
                  <c:v>  4000 </c:v>
                </c:pt>
              </c:strCache>
            </c:strRef>
          </c:tx>
          <c:spPr>
            <a:ln w="25400">
              <a:solidFill>
                <a:prstClr val="black">
                  <a:lumMod val="95000"/>
                  <a:lumOff val="5000"/>
                </a:prstClr>
              </a:solidFill>
              <a:prstDash val="solid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 for BOSS'!$U$21:$U$30</c:f>
              <c:numCache>
                <c:formatCode>0</c:formatCode>
                <c:ptCount val="10"/>
                <c:pt idx="0">
                  <c:v>11419.074510631594</c:v>
                </c:pt>
                <c:pt idx="1">
                  <c:v>19684.60893562499</c:v>
                </c:pt>
                <c:pt idx="2">
                  <c:v>28313.53990404342</c:v>
                </c:pt>
                <c:pt idx="3">
                  <c:v>33908.349437351557</c:v>
                </c:pt>
                <c:pt idx="4">
                  <c:v>38121.680343291264</c:v>
                </c:pt>
                <c:pt idx="5">
                  <c:v>40976.177929166915</c:v>
                </c:pt>
                <c:pt idx="6">
                  <c:v>42515.344843366969</c:v>
                </c:pt>
                <c:pt idx="7">
                  <c:v>42515.344843366969</c:v>
                </c:pt>
                <c:pt idx="8">
                  <c:v>42515.344843366969</c:v>
                </c:pt>
                <c:pt idx="9">
                  <c:v>42515.344843366969</c:v>
                </c:pt>
              </c:numCache>
            </c:numRef>
          </c:xVal>
          <c:yVal>
            <c:numRef>
              <c:f>'Data for BOSS'!$T$21:$T$30</c:f>
              <c:numCache>
                <c:formatCode>0</c:formatCode>
                <c:ptCount val="10"/>
                <c:pt idx="0">
                  <c:v>4085.7093182644171</c:v>
                </c:pt>
                <c:pt idx="1">
                  <c:v>4201.0842524835207</c:v>
                </c:pt>
                <c:pt idx="2">
                  <c:v>3659.2443409324669</c:v>
                </c:pt>
                <c:pt idx="3">
                  <c:v>2907.5930674773017</c:v>
                </c:pt>
                <c:pt idx="4">
                  <c:v>2061.3607689803757</c:v>
                </c:pt>
                <c:pt idx="5">
                  <c:v>1317.147430130804</c:v>
                </c:pt>
                <c:pt idx="6">
                  <c:v>884.94664999877875</c:v>
                </c:pt>
                <c:pt idx="7">
                  <c:v>884.94664999877875</c:v>
                </c:pt>
                <c:pt idx="8">
                  <c:v>884.94664999877875</c:v>
                </c:pt>
                <c:pt idx="9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27B-4543-8A9B-EF9109F1EDE4}"/>
            </c:ext>
          </c:extLst>
        </c:ser>
        <c:ser>
          <c:idx val="1"/>
          <c:order val="1"/>
          <c:tx>
            <c:strRef>
              <c:f>'Data for BOSS'!$S$11</c:f>
              <c:strCache>
                <c:ptCount val="1"/>
                <c:pt idx="0">
                  <c:v>  1672 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for BOSS'!$U$11:$U$20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'Data for BOSS'!$T$11:$T$20</c:f>
              <c:numCache>
                <c:formatCode>0</c:formatCode>
                <c:ptCount val="10"/>
                <c:pt idx="0">
                  <c:v>714.19385389401737</c:v>
                </c:pt>
                <c:pt idx="1">
                  <c:v>734.36172744888722</c:v>
                </c:pt>
                <c:pt idx="2">
                  <c:v>639.64653738523714</c:v>
                </c:pt>
                <c:pt idx="3">
                  <c:v>508.255711960258</c:v>
                </c:pt>
                <c:pt idx="4">
                  <c:v>360.33184869094299</c:v>
                </c:pt>
                <c:pt idx="5">
                  <c:v>230.2411958350778</c:v>
                </c:pt>
                <c:pt idx="6">
                  <c:v>154.69124433984632</c:v>
                </c:pt>
                <c:pt idx="7">
                  <c:v>154.69124433984632</c:v>
                </c:pt>
                <c:pt idx="8">
                  <c:v>154.69124433984632</c:v>
                </c:pt>
                <c:pt idx="9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27B-4543-8A9B-EF9109F1EDE4}"/>
            </c:ext>
          </c:extLst>
        </c:ser>
        <c:ser>
          <c:idx val="2"/>
          <c:order val="2"/>
          <c:tx>
            <c:strRef>
              <c:f>'Data for BOSS'!$S$31</c:f>
              <c:strCache>
                <c:ptCount val="1"/>
                <c:pt idx="0">
                  <c:v>  1000 </c:v>
                </c:pt>
              </c:strCache>
            </c:strRef>
          </c:tx>
          <c:spPr>
            <a:ln w="25400">
              <a:solidFill>
                <a:prstClr val="black">
                  <a:lumMod val="95000"/>
                  <a:lumOff val="5000"/>
                </a:prstClr>
              </a:solidFill>
              <a:prstDash val="solid"/>
            </a:ln>
          </c:spPr>
          <c:marker>
            <c:symbol val="plus"/>
            <c:size val="5"/>
          </c:marker>
          <c:xVal>
            <c:numRef>
              <c:f>'Data for BOSS'!$U$31:$U$40</c:f>
              <c:numCache>
                <c:formatCode>0</c:formatCode>
                <c:ptCount val="10"/>
                <c:pt idx="0">
                  <c:v>2854.7686276578984</c:v>
                </c:pt>
                <c:pt idx="1">
                  <c:v>4921.1522339062476</c:v>
                </c:pt>
                <c:pt idx="2">
                  <c:v>7078.3849760108551</c:v>
                </c:pt>
                <c:pt idx="3">
                  <c:v>8477.0873593378892</c:v>
                </c:pt>
                <c:pt idx="4">
                  <c:v>9530.420085822816</c:v>
                </c:pt>
                <c:pt idx="5">
                  <c:v>10244.044482291729</c:v>
                </c:pt>
                <c:pt idx="6">
                  <c:v>10628.836210841742</c:v>
                </c:pt>
                <c:pt idx="7">
                  <c:v>10628.836210841742</c:v>
                </c:pt>
                <c:pt idx="8">
                  <c:v>10628.836210841742</c:v>
                </c:pt>
                <c:pt idx="9">
                  <c:v>10628.836210841742</c:v>
                </c:pt>
              </c:numCache>
            </c:numRef>
          </c:xVal>
          <c:yVal>
            <c:numRef>
              <c:f>'Data for BOSS'!$T$31:$T$40</c:f>
              <c:numCache>
                <c:formatCode>0</c:formatCode>
                <c:ptCount val="10"/>
                <c:pt idx="0">
                  <c:v>255.35683239152607</c:v>
                </c:pt>
                <c:pt idx="1">
                  <c:v>262.56776578022004</c:v>
                </c:pt>
                <c:pt idx="2">
                  <c:v>228.70277130827918</c:v>
                </c:pt>
                <c:pt idx="3">
                  <c:v>181.72456671733136</c:v>
                </c:pt>
                <c:pt idx="4">
                  <c:v>128.83504806127348</c:v>
                </c:pt>
                <c:pt idx="5">
                  <c:v>82.321714383175248</c:v>
                </c:pt>
                <c:pt idx="6">
                  <c:v>55.309165624923672</c:v>
                </c:pt>
                <c:pt idx="7">
                  <c:v>55.309165624923672</c:v>
                </c:pt>
                <c:pt idx="8">
                  <c:v>55.309165624923672</c:v>
                </c:pt>
                <c:pt idx="9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27B-4543-8A9B-EF9109F1EDE4}"/>
            </c:ext>
          </c:extLst>
        </c:ser>
        <c:ser>
          <c:idx val="3"/>
          <c:order val="3"/>
          <c:tx>
            <c:strRef>
              <c:f>'Data for BOSS'!$X$21</c:f>
              <c:strCache>
                <c:ptCount val="1"/>
                <c:pt idx="0">
                  <c:v>65%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('Data for BOSS'!$U$21,'Data for BOSS'!$U$11,'Data for BOSS'!$U$31)</c:f>
              <c:numCache>
                <c:formatCode>0</c:formatCode>
                <c:ptCount val="3"/>
                <c:pt idx="0">
                  <c:v>11419.074510631594</c:v>
                </c:pt>
                <c:pt idx="1">
                  <c:v>4774.2507882755517</c:v>
                </c:pt>
                <c:pt idx="2">
                  <c:v>2854.7686276578984</c:v>
                </c:pt>
              </c:numCache>
            </c:numRef>
          </c:xVal>
          <c:yVal>
            <c:numRef>
              <c:f>('Data for BOSS'!$T$21,'Data for BOSS'!$T$11,'Data for BOSS'!$T$31)</c:f>
              <c:numCache>
                <c:formatCode>0</c:formatCode>
                <c:ptCount val="3"/>
                <c:pt idx="0">
                  <c:v>4085.7093182644171</c:v>
                </c:pt>
                <c:pt idx="1">
                  <c:v>714.19385389401737</c:v>
                </c:pt>
                <c:pt idx="2">
                  <c:v>255.35683239152607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27B-4543-8A9B-EF9109F1EDE4}"/>
            </c:ext>
          </c:extLst>
        </c:ser>
        <c:ser>
          <c:idx val="9"/>
          <c:order val="4"/>
          <c:tx>
            <c:strRef>
              <c:f>'Data for BOSS'!$X$22</c:f>
              <c:strCache>
                <c:ptCount val="1"/>
                <c:pt idx="0">
                  <c:v>87%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('Data for BOSS'!$U$22,'Data for BOSS'!$U$12,'Data for BOSS'!$U$32)</c:f>
              <c:numCache>
                <c:formatCode>0</c:formatCode>
                <c:ptCount val="3"/>
                <c:pt idx="0">
                  <c:v>19684.60893562499</c:v>
                </c:pt>
                <c:pt idx="1">
                  <c:v>8230.0242143358737</c:v>
                </c:pt>
                <c:pt idx="2">
                  <c:v>4921.1522339062476</c:v>
                </c:pt>
              </c:numCache>
            </c:numRef>
          </c:xVal>
          <c:yVal>
            <c:numRef>
              <c:f>('Data for BOSS'!$T$22,'Data for BOSS'!$T$12,'Data for BOSS'!$T$32)</c:f>
              <c:numCache>
                <c:formatCode>0</c:formatCode>
                <c:ptCount val="3"/>
                <c:pt idx="0">
                  <c:v>4201.0842524835207</c:v>
                </c:pt>
                <c:pt idx="1">
                  <c:v>734.36172744888722</c:v>
                </c:pt>
                <c:pt idx="2">
                  <c:v>262.56776578022004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527B-4543-8A9B-EF9109F1EDE4}"/>
            </c:ext>
          </c:extLst>
        </c:ser>
        <c:ser>
          <c:idx val="10"/>
          <c:order val="5"/>
          <c:tx>
            <c:strRef>
              <c:f>'Data for BOSS'!$X$23</c:f>
              <c:strCache>
                <c:ptCount val="1"/>
                <c:pt idx="0">
                  <c:v>85%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('Data for BOSS'!$U$23,'Data for BOSS'!$U$13,'Data for BOSS'!$U$33)</c:f>
              <c:numCache>
                <c:formatCode>0</c:formatCode>
                <c:ptCount val="3"/>
                <c:pt idx="0">
                  <c:v>28313.53990404342</c:v>
                </c:pt>
                <c:pt idx="1">
                  <c:v>11837.731690067933</c:v>
                </c:pt>
                <c:pt idx="2">
                  <c:v>7078.3849760108551</c:v>
                </c:pt>
              </c:numCache>
            </c:numRef>
          </c:xVal>
          <c:yVal>
            <c:numRef>
              <c:f>('Data for BOSS'!$T$23,'Data for BOSS'!$T$13,'Data for BOSS'!$T$33)</c:f>
              <c:numCache>
                <c:formatCode>0</c:formatCode>
                <c:ptCount val="3"/>
                <c:pt idx="0">
                  <c:v>3659.2443409324669</c:v>
                </c:pt>
                <c:pt idx="1">
                  <c:v>639.64653738523714</c:v>
                </c:pt>
                <c:pt idx="2">
                  <c:v>228.70277130827918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527B-4543-8A9B-EF9109F1EDE4}"/>
            </c:ext>
          </c:extLst>
        </c:ser>
        <c:ser>
          <c:idx val="6"/>
          <c:order val="6"/>
          <c:tx>
            <c:strRef>
              <c:f>'Data for BOSS'!$X$24</c:f>
              <c:strCache>
                <c:ptCount val="1"/>
                <c:pt idx="0">
                  <c:v>72%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('Data for BOSS'!$U$24,'Data for BOSS'!$U$14,'Data for BOSS'!$U$34)</c:f>
              <c:numCache>
                <c:formatCode>0</c:formatCode>
                <c:ptCount val="3"/>
                <c:pt idx="0">
                  <c:v>33908.349437351557</c:v>
                </c:pt>
                <c:pt idx="1">
                  <c:v>14176.890069302517</c:v>
                </c:pt>
                <c:pt idx="2">
                  <c:v>8477.0873593378892</c:v>
                </c:pt>
              </c:numCache>
            </c:numRef>
          </c:xVal>
          <c:yVal>
            <c:numRef>
              <c:f>('Data for BOSS'!$T$24,'Data for BOSS'!$T$14,'Data for BOSS'!$T$34)</c:f>
              <c:numCache>
                <c:formatCode>0</c:formatCode>
                <c:ptCount val="3"/>
                <c:pt idx="0">
                  <c:v>2907.5930674773017</c:v>
                </c:pt>
                <c:pt idx="1">
                  <c:v>508.255711960258</c:v>
                </c:pt>
                <c:pt idx="2">
                  <c:v>181.72456671733136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527B-4543-8A9B-EF9109F1EDE4}"/>
            </c:ext>
          </c:extLst>
        </c:ser>
        <c:ser>
          <c:idx val="7"/>
          <c:order val="7"/>
          <c:tx>
            <c:strRef>
              <c:f>'Data for BOSS'!$X$25</c:f>
              <c:strCache>
                <c:ptCount val="1"/>
                <c:pt idx="0">
                  <c:v>58%</c:v>
                </c:pt>
              </c:strCache>
            </c:strRef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('Data for BOSS'!$U$25,'Data for BOSS'!$U$15,'Data for BOSS'!$U$35)</c:f>
              <c:numCache>
                <c:formatCode>0</c:formatCode>
                <c:ptCount val="3"/>
                <c:pt idx="0">
                  <c:v>38121.680343291264</c:v>
                </c:pt>
                <c:pt idx="1">
                  <c:v>15938.460009162362</c:v>
                </c:pt>
                <c:pt idx="2">
                  <c:v>9530.420085822816</c:v>
                </c:pt>
              </c:numCache>
            </c:numRef>
          </c:xVal>
          <c:yVal>
            <c:numRef>
              <c:f>('Data for BOSS'!$T$25,'Data for BOSS'!$T$15,'Data for BOSS'!$T$35)</c:f>
              <c:numCache>
                <c:formatCode>0</c:formatCode>
                <c:ptCount val="3"/>
                <c:pt idx="0">
                  <c:v>2061.3607689803757</c:v>
                </c:pt>
                <c:pt idx="1">
                  <c:v>360.33184869094299</c:v>
                </c:pt>
                <c:pt idx="2">
                  <c:v>128.83504806127348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527B-4543-8A9B-EF9109F1EDE4}"/>
            </c:ext>
          </c:extLst>
        </c:ser>
        <c:ser>
          <c:idx val="23"/>
          <c:order val="8"/>
          <c:tx>
            <c:strRef>
              <c:f>'Data for BOSS'!$X$26</c:f>
              <c:strCache>
                <c:ptCount val="1"/>
                <c:pt idx="0">
                  <c:v>42%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('Data for BOSS'!$U$26,'Data for BOSS'!$U$16,'Data for BOSS'!$U$36)</c:f>
              <c:numCache>
                <c:formatCode>0</c:formatCode>
                <c:ptCount val="3"/>
                <c:pt idx="0">
                  <c:v>40976.177929166915</c:v>
                </c:pt>
                <c:pt idx="1">
                  <c:v>17131.909385187471</c:v>
                </c:pt>
                <c:pt idx="2">
                  <c:v>10244.044482291729</c:v>
                </c:pt>
              </c:numCache>
            </c:numRef>
          </c:xVal>
          <c:yVal>
            <c:numRef>
              <c:f>('Data for BOSS'!$T$26,'Data for BOSS'!$T$16,'Data for BOSS'!$T$36)</c:f>
              <c:numCache>
                <c:formatCode>0</c:formatCode>
                <c:ptCount val="3"/>
                <c:pt idx="0">
                  <c:v>1317.147430130804</c:v>
                </c:pt>
                <c:pt idx="1">
                  <c:v>230.2411958350778</c:v>
                </c:pt>
                <c:pt idx="2">
                  <c:v>82.321714383175248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79B-42F4-85BF-D45221AB36BF}"/>
            </c:ext>
          </c:extLst>
        </c:ser>
        <c:ser>
          <c:idx val="21"/>
          <c:order val="9"/>
          <c:tx>
            <c:strRef>
              <c:f>'Data for BOSS'!$X$27</c:f>
              <c:strCache>
                <c:ptCount val="1"/>
                <c:pt idx="0">
                  <c:v>29%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('Data for BOSS'!$U$27,'Data for BOSS'!$U$17,'Data for BOSS'!$U$37)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('Data for BOSS'!$T$27,'Data for BOSS'!$T$17,'Data for BOSS'!$T$37)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79B-42F4-85BF-D45221AB36BF}"/>
            </c:ext>
          </c:extLst>
        </c:ser>
        <c:ser>
          <c:idx val="18"/>
          <c:order val="10"/>
          <c:tx>
            <c:strRef>
              <c:f>'Data for BOSS'!$X$28</c:f>
              <c:strCache>
                <c:ptCount val="1"/>
                <c:pt idx="0">
                  <c:v>30%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('Data for BOSS'!$U$28,'Data for BOSS'!$U$18,'Data for BOSS'!$U$38)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('Data for BOSS'!$T$28,'Data for BOSS'!$T$18,'Data for BOSS'!$T$38)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79B-42F4-85BF-D45221AB36BF}"/>
            </c:ext>
          </c:extLst>
        </c:ser>
        <c:ser>
          <c:idx val="17"/>
          <c:order val="11"/>
          <c:tx>
            <c:strRef>
              <c:f>'Data for BOSS'!$X$29</c:f>
              <c:strCache>
                <c:ptCount val="1"/>
                <c:pt idx="0">
                  <c:v>30%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('Data for BOSS'!$U$29,'Data for BOSS'!$U$19,'Data for BOSS'!$U$39)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('Data for BOSS'!$T$29,'Data for BOSS'!$T$19,'Data for BOSS'!$T$39)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79B-42F4-85BF-D45221AB36BF}"/>
            </c:ext>
          </c:extLst>
        </c:ser>
        <c:ser>
          <c:idx val="12"/>
          <c:order val="12"/>
          <c:tx>
            <c:strRef>
              <c:f>'Data for BOSS'!$X$30</c:f>
              <c:strCache>
                <c:ptCount val="1"/>
                <c:pt idx="0">
                  <c:v>30%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xVal>
            <c:numRef>
              <c:f>('Data for BOSS'!$U$30,'Data for BOSS'!$U$20,'Data for BOSS'!$U$40)</c:f>
              <c:numCache>
                <c:formatCode>0</c:formatCode>
                <c:ptCount val="3"/>
                <c:pt idx="0">
                  <c:v>42515.344843366969</c:v>
                </c:pt>
                <c:pt idx="1">
                  <c:v>17775.426409843509</c:v>
                </c:pt>
                <c:pt idx="2">
                  <c:v>10628.836210841742</c:v>
                </c:pt>
              </c:numCache>
            </c:numRef>
          </c:xVal>
          <c:yVal>
            <c:numRef>
              <c:f>('Data for BOSS'!$T$30,'Data for BOSS'!$T$20,'Data for BOSS'!$T$40)</c:f>
              <c:numCache>
                <c:formatCode>0</c:formatCode>
                <c:ptCount val="3"/>
                <c:pt idx="0">
                  <c:v>884.94664999877875</c:v>
                </c:pt>
                <c:pt idx="1">
                  <c:v>154.69124433984632</c:v>
                </c:pt>
                <c:pt idx="2">
                  <c:v>55.309165624923672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527B-4543-8A9B-EF9109F1EDE4}"/>
            </c:ext>
          </c:extLst>
        </c:ser>
        <c:ser>
          <c:idx val="27"/>
          <c:order val="13"/>
          <c:tx>
            <c:strRef>
              <c:f>'Data for BOSS'!$V$11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527B-4543-8A9B-EF9109F1EDE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BOSS'!$U$11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'Data for BOSS'!$T$11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527B-4543-8A9B-EF9109F1EDE4}"/>
            </c:ext>
          </c:extLst>
        </c:ser>
        <c:ser>
          <c:idx val="26"/>
          <c:order val="14"/>
          <c:tx>
            <c:strRef>
              <c:f>'Data for BOSS'!$V$12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BOSS'!$U$12</c:f>
              <c:numCache>
                <c:formatCode>0</c:formatCode>
                <c:ptCount val="1"/>
                <c:pt idx="0">
                  <c:v>8230.0242143358737</c:v>
                </c:pt>
              </c:numCache>
            </c:numRef>
          </c:xVal>
          <c:yVal>
            <c:numRef>
              <c:f>'Data for BOSS'!$T$12</c:f>
              <c:numCache>
                <c:formatCode>0</c:formatCode>
                <c:ptCount val="1"/>
                <c:pt idx="0">
                  <c:v>734.36172744888722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527B-4543-8A9B-EF9109F1EDE4}"/>
            </c:ext>
          </c:extLst>
        </c:ser>
        <c:ser>
          <c:idx val="25"/>
          <c:order val="15"/>
          <c:tx>
            <c:strRef>
              <c:f>'Data for BOSS'!$V$13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BOSS'!$U$13</c:f>
              <c:numCache>
                <c:formatCode>0</c:formatCode>
                <c:ptCount val="1"/>
                <c:pt idx="0">
                  <c:v>11837.731690067933</c:v>
                </c:pt>
              </c:numCache>
            </c:numRef>
          </c:xVal>
          <c:yVal>
            <c:numRef>
              <c:f>'Data for BOSS'!$T$13</c:f>
              <c:numCache>
                <c:formatCode>0</c:formatCode>
                <c:ptCount val="1"/>
                <c:pt idx="0">
                  <c:v>639.64653738523714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079B-42F4-85BF-D45221AB36BF}"/>
            </c:ext>
          </c:extLst>
        </c:ser>
        <c:ser>
          <c:idx val="28"/>
          <c:order val="16"/>
          <c:tx>
            <c:strRef>
              <c:f>'Data for BOSS'!$V$14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BOSS'!$U$14</c:f>
              <c:numCache>
                <c:formatCode>0</c:formatCode>
                <c:ptCount val="1"/>
                <c:pt idx="0">
                  <c:v>14176.890069302517</c:v>
                </c:pt>
              </c:numCache>
            </c:numRef>
          </c:xVal>
          <c:yVal>
            <c:numRef>
              <c:f>'Data for BOSS'!$T$14</c:f>
              <c:numCache>
                <c:formatCode>0</c:formatCode>
                <c:ptCount val="1"/>
                <c:pt idx="0">
                  <c:v>508.255711960258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079B-42F4-85BF-D45221AB36BF}"/>
            </c:ext>
          </c:extLst>
        </c:ser>
        <c:ser>
          <c:idx val="29"/>
          <c:order val="17"/>
          <c:tx>
            <c:strRef>
              <c:f>'Data for BOSS'!$V$15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BOSS'!$U$15</c:f>
              <c:numCache>
                <c:formatCode>0</c:formatCode>
                <c:ptCount val="1"/>
                <c:pt idx="0">
                  <c:v>15938.460009162362</c:v>
                </c:pt>
              </c:numCache>
            </c:numRef>
          </c:xVal>
          <c:yVal>
            <c:numRef>
              <c:f>'Data for BOSS'!$T$15</c:f>
              <c:numCache>
                <c:formatCode>0</c:formatCode>
                <c:ptCount val="1"/>
                <c:pt idx="0">
                  <c:v>360.33184869094299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079B-42F4-85BF-D45221AB36BF}"/>
            </c:ext>
          </c:extLst>
        </c:ser>
        <c:ser>
          <c:idx val="32"/>
          <c:order val="18"/>
          <c:tx>
            <c:strRef>
              <c:f>'Data for BOSS'!$V$16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79B-42F4-85BF-D45221AB36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BOSS'!$U$16</c:f>
              <c:numCache>
                <c:formatCode>0</c:formatCode>
                <c:ptCount val="1"/>
                <c:pt idx="0">
                  <c:v>17131.909385187471</c:v>
                </c:pt>
              </c:numCache>
            </c:numRef>
          </c:xVal>
          <c:yVal>
            <c:numRef>
              <c:f>'Data for BOSS'!$T$16</c:f>
              <c:numCache>
                <c:formatCode>0</c:formatCode>
                <c:ptCount val="1"/>
                <c:pt idx="0">
                  <c:v>230.2411958350778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079B-42F4-85BF-D45221AB36BF}"/>
            </c:ext>
          </c:extLst>
        </c:ser>
        <c:ser>
          <c:idx val="24"/>
          <c:order val="19"/>
          <c:tx>
            <c:strRef>
              <c:f>'Data for BOSS'!$V$17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BOSS'!$U$17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'Data for BOSS'!$T$17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527B-4543-8A9B-EF9109F1EDE4}"/>
            </c:ext>
          </c:extLst>
        </c:ser>
        <c:ser>
          <c:idx val="22"/>
          <c:order val="20"/>
          <c:tx>
            <c:strRef>
              <c:f>'Data for BOSS'!$V$18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BOSS'!$U$18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'Data for BOSS'!$T$18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527B-4543-8A9B-EF9109F1EDE4}"/>
            </c:ext>
          </c:extLst>
        </c:ser>
        <c:ser>
          <c:idx val="20"/>
          <c:order val="21"/>
          <c:tx>
            <c:strRef>
              <c:f>'Data for BOSS'!$V$19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BOSS'!$U$19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'Data for BOSS'!$T$19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527B-4543-8A9B-EF9109F1EDE4}"/>
            </c:ext>
          </c:extLst>
        </c:ser>
        <c:ser>
          <c:idx val="19"/>
          <c:order val="22"/>
          <c:tx>
            <c:strRef>
              <c:f>'Data for BOSS'!$V$20</c:f>
              <c:strCache>
                <c:ptCount val="1"/>
                <c:pt idx="0">
                  <c:v>25</c:v>
                </c:pt>
              </c:strCache>
            </c:strRef>
          </c:tx>
          <c:spPr>
            <a:ln>
              <a:solidFill>
                <a:prstClr val="black">
                  <a:lumMod val="95000"/>
                  <a:lumOff val="5000"/>
                </a:prst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BOSS'!$U$20</c:f>
              <c:numCache>
                <c:formatCode>0</c:formatCode>
                <c:ptCount val="1"/>
                <c:pt idx="0">
                  <c:v>17775.426409843509</c:v>
                </c:pt>
              </c:numCache>
            </c:numRef>
          </c:xVal>
          <c:yVal>
            <c:numRef>
              <c:f>'Data for BOSS'!$T$20</c:f>
              <c:numCache>
                <c:formatCode>0</c:formatCode>
                <c:ptCount val="1"/>
                <c:pt idx="0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527B-4543-8A9B-EF9109F1EDE4}"/>
            </c:ext>
          </c:extLst>
        </c:ser>
        <c:ser>
          <c:idx val="38"/>
          <c:order val="23"/>
          <c:tx>
            <c:strRef>
              <c:f>'Data for BOSS'!$X$21</c:f>
              <c:strCache>
                <c:ptCount val="1"/>
                <c:pt idx="0">
                  <c:v>65%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BOSS'!$U$21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'Data for BOSS'!$T$21</c:f>
              <c:numCache>
                <c:formatCode>0</c:formatCode>
                <c:ptCount val="1"/>
                <c:pt idx="0">
                  <c:v>4085.7093182644171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527B-4543-8A9B-EF9109F1EDE4}"/>
            </c:ext>
          </c:extLst>
        </c:ser>
        <c:ser>
          <c:idx val="37"/>
          <c:order val="24"/>
          <c:tx>
            <c:strRef>
              <c:f>'Data for BOSS'!$X$22</c:f>
              <c:strCache>
                <c:ptCount val="1"/>
                <c:pt idx="0">
                  <c:v>87%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BOSS'!$U$22</c:f>
              <c:numCache>
                <c:formatCode>0</c:formatCode>
                <c:ptCount val="1"/>
                <c:pt idx="0">
                  <c:v>19684.60893562499</c:v>
                </c:pt>
              </c:numCache>
            </c:numRef>
          </c:xVal>
          <c:yVal>
            <c:numRef>
              <c:f>'Data for BOSS'!$T$22</c:f>
              <c:numCache>
                <c:formatCode>0</c:formatCode>
                <c:ptCount val="1"/>
                <c:pt idx="0">
                  <c:v>4201.0842524835207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527B-4543-8A9B-EF9109F1EDE4}"/>
            </c:ext>
          </c:extLst>
        </c:ser>
        <c:ser>
          <c:idx val="35"/>
          <c:order val="25"/>
          <c:tx>
            <c:strRef>
              <c:f>'Data for BOSS'!$X$23</c:f>
              <c:strCache>
                <c:ptCount val="1"/>
                <c:pt idx="0">
                  <c:v>85%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BOSS'!$U$23</c:f>
              <c:numCache>
                <c:formatCode>0</c:formatCode>
                <c:ptCount val="1"/>
                <c:pt idx="0">
                  <c:v>28313.53990404342</c:v>
                </c:pt>
              </c:numCache>
            </c:numRef>
          </c:xVal>
          <c:yVal>
            <c:numRef>
              <c:f>'Data for BOSS'!$T$23</c:f>
              <c:numCache>
                <c:formatCode>0</c:formatCode>
                <c:ptCount val="1"/>
                <c:pt idx="0">
                  <c:v>3659.2443409324669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5-527B-4543-8A9B-EF9109F1EDE4}"/>
            </c:ext>
          </c:extLst>
        </c:ser>
        <c:ser>
          <c:idx val="33"/>
          <c:order val="26"/>
          <c:tx>
            <c:strRef>
              <c:f>'Data for BOSS'!$X$24</c:f>
              <c:strCache>
                <c:ptCount val="1"/>
                <c:pt idx="0">
                  <c:v>72%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BOSS'!$U$24</c:f>
              <c:numCache>
                <c:formatCode>0</c:formatCode>
                <c:ptCount val="1"/>
                <c:pt idx="0">
                  <c:v>33908.349437351557</c:v>
                </c:pt>
              </c:numCache>
            </c:numRef>
          </c:xVal>
          <c:yVal>
            <c:numRef>
              <c:f>'Data for BOSS'!$T$24</c:f>
              <c:numCache>
                <c:formatCode>0</c:formatCode>
                <c:ptCount val="1"/>
                <c:pt idx="0">
                  <c:v>2907.5930674773017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527B-4543-8A9B-EF9109F1EDE4}"/>
            </c:ext>
          </c:extLst>
        </c:ser>
        <c:ser>
          <c:idx val="31"/>
          <c:order val="27"/>
          <c:tx>
            <c:strRef>
              <c:f>'Data for BOSS'!$X$25</c:f>
              <c:strCache>
                <c:ptCount val="1"/>
                <c:pt idx="0">
                  <c:v>58%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527B-4543-8A9B-EF9109F1EDE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BOSS'!$U$25</c:f>
              <c:numCache>
                <c:formatCode>0</c:formatCode>
                <c:ptCount val="1"/>
                <c:pt idx="0">
                  <c:v>38121.680343291264</c:v>
                </c:pt>
              </c:numCache>
            </c:numRef>
          </c:xVal>
          <c:yVal>
            <c:numRef>
              <c:f>'Data for BOSS'!$T$25</c:f>
              <c:numCache>
                <c:formatCode>0</c:formatCode>
                <c:ptCount val="1"/>
                <c:pt idx="0">
                  <c:v>2061.3607689803757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527B-4543-8A9B-EF9109F1EDE4}"/>
            </c:ext>
          </c:extLst>
        </c:ser>
        <c:ser>
          <c:idx val="40"/>
          <c:order val="28"/>
          <c:tx>
            <c:strRef>
              <c:f>'Data for BOSS'!$X$26</c:f>
              <c:strCache>
                <c:ptCount val="1"/>
                <c:pt idx="0">
                  <c:v>42%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BOSS'!$U$26</c:f>
              <c:numCache>
                <c:formatCode>0</c:formatCode>
                <c:ptCount val="1"/>
                <c:pt idx="0">
                  <c:v>40976.177929166915</c:v>
                </c:pt>
              </c:numCache>
            </c:numRef>
          </c:xVal>
          <c:yVal>
            <c:numRef>
              <c:f>'Data for BOSS'!$T$26</c:f>
              <c:numCache>
                <c:formatCode>0</c:formatCode>
                <c:ptCount val="1"/>
                <c:pt idx="0">
                  <c:v>1317.147430130804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079B-42F4-85BF-D45221AB36BF}"/>
            </c:ext>
          </c:extLst>
        </c:ser>
        <c:ser>
          <c:idx val="39"/>
          <c:order val="29"/>
          <c:tx>
            <c:strRef>
              <c:f>'Data for BOSS'!$X$27</c:f>
              <c:strCache>
                <c:ptCount val="1"/>
                <c:pt idx="0">
                  <c:v>29%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079B-42F4-85BF-D45221AB36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BOSS'!$U$27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'Data for BOSS'!$T$27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079B-42F4-85BF-D45221AB36BF}"/>
            </c:ext>
          </c:extLst>
        </c:ser>
        <c:ser>
          <c:idx val="36"/>
          <c:order val="30"/>
          <c:tx>
            <c:strRef>
              <c:f>'Data for BOSS'!$X$28</c:f>
              <c:strCache>
                <c:ptCount val="1"/>
                <c:pt idx="0">
                  <c:v>30%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079B-42F4-85BF-D45221AB36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BOSS'!$U$28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'Data for BOSS'!$T$28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079B-42F4-85BF-D45221AB36BF}"/>
            </c:ext>
          </c:extLst>
        </c:ser>
        <c:ser>
          <c:idx val="34"/>
          <c:order val="31"/>
          <c:tx>
            <c:strRef>
              <c:f>'Data for BOSS'!$X$29</c:f>
              <c:strCache>
                <c:ptCount val="1"/>
                <c:pt idx="0">
                  <c:v>30%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BOSS'!$U$29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'Data for BOSS'!$T$29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079B-42F4-85BF-D45221AB36BF}"/>
            </c:ext>
          </c:extLst>
        </c:ser>
        <c:ser>
          <c:idx val="30"/>
          <c:order val="32"/>
          <c:tx>
            <c:strRef>
              <c:f>'Data for BOSS'!$X$30</c:f>
              <c:strCache>
                <c:ptCount val="1"/>
                <c:pt idx="0">
                  <c:v>30%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BOSS'!$U$30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'Data for BOSS'!$T$30</c:f>
              <c:numCache>
                <c:formatCode>0</c:formatCode>
                <c:ptCount val="1"/>
                <c:pt idx="0">
                  <c:v>884.94664999877875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527B-4543-8A9B-EF9109F1EDE4}"/>
            </c:ext>
          </c:extLst>
        </c:ser>
        <c:ser>
          <c:idx val="4"/>
          <c:order val="33"/>
          <c:tx>
            <c:strRef>
              <c:f>'Data for BOSS'!$A$26:$E$26</c:f>
              <c:strCache>
                <c:ptCount val="1"/>
                <c:pt idx="0">
                  <c:v>rho_medium_std 1.205 kg/m3</c:v>
                </c:pt>
              </c:strCache>
            </c:strRef>
          </c:tx>
          <c:marker>
            <c:symbol val="circle"/>
            <c:size val="4"/>
            <c:spPr>
              <a:solidFill>
                <a:srgbClr val="00B0F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BOSS'!$T$8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'Data for BOSS'!$U$8</c:f>
              <c:numCache>
                <c:formatCode>0</c:formatCode>
                <c:ptCount val="1"/>
                <c:pt idx="0">
                  <c:v>296.45712774959088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8-527B-4543-8A9B-EF9109F1EDE4}"/>
            </c:ext>
          </c:extLst>
        </c:ser>
        <c:ser>
          <c:idx val="5"/>
          <c:order val="34"/>
          <c:tx>
            <c:strRef>
              <c:f>'Data for BOSS'!$S$11</c:f>
              <c:strCache>
                <c:ptCount val="1"/>
                <c:pt idx="0">
                  <c:v>  1672 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BOSS'!$U$11</c:f>
              <c:numCache>
                <c:formatCode>0</c:formatCode>
                <c:ptCount val="1"/>
                <c:pt idx="0">
                  <c:v>4774.2507882755517</c:v>
                </c:pt>
              </c:numCache>
            </c:numRef>
          </c:xVal>
          <c:yVal>
            <c:numRef>
              <c:f>'Data for BOSS'!$T$11</c:f>
              <c:numCache>
                <c:formatCode>0</c:formatCode>
                <c:ptCount val="1"/>
                <c:pt idx="0">
                  <c:v>714.19385389401737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9-527B-4543-8A9B-EF9109F1EDE4}"/>
            </c:ext>
          </c:extLst>
        </c:ser>
        <c:ser>
          <c:idx val="8"/>
          <c:order val="35"/>
          <c:tx>
            <c:strRef>
              <c:f>'Data for BOSS'!$S$21</c:f>
              <c:strCache>
                <c:ptCount val="1"/>
                <c:pt idx="0">
                  <c:v>  4000 </c:v>
                </c:pt>
              </c:strCache>
            </c:strRef>
          </c:tx>
          <c:marker>
            <c:symbol val="none"/>
          </c:marker>
          <c:dLbls>
            <c:dLbl>
              <c:idx val="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A-527B-4543-8A9B-EF9109F1EDE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BOSS'!$U$21</c:f>
              <c:numCache>
                <c:formatCode>0</c:formatCode>
                <c:ptCount val="1"/>
                <c:pt idx="0">
                  <c:v>11419.074510631594</c:v>
                </c:pt>
              </c:numCache>
            </c:numRef>
          </c:xVal>
          <c:yVal>
            <c:numRef>
              <c:f>'Data for BOSS'!$T$21</c:f>
              <c:numCache>
                <c:formatCode>0</c:formatCode>
                <c:ptCount val="1"/>
                <c:pt idx="0">
                  <c:v>4085.7093182644171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B-527B-4543-8A9B-EF9109F1EDE4}"/>
            </c:ext>
          </c:extLst>
        </c:ser>
        <c:ser>
          <c:idx val="11"/>
          <c:order val="36"/>
          <c:tx>
            <c:strRef>
              <c:f>'Data for BOSS'!$S$31</c:f>
              <c:strCache>
                <c:ptCount val="1"/>
                <c:pt idx="0">
                  <c:v>  1000 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BOSS'!$U$31</c:f>
              <c:numCache>
                <c:formatCode>0</c:formatCode>
                <c:ptCount val="1"/>
                <c:pt idx="0">
                  <c:v>2854.7686276578984</c:v>
                </c:pt>
              </c:numCache>
            </c:numRef>
          </c:xVal>
          <c:yVal>
            <c:numRef>
              <c:f>'Data for BOSS'!$T$31</c:f>
              <c:numCache>
                <c:formatCode>0</c:formatCode>
                <c:ptCount val="1"/>
                <c:pt idx="0">
                  <c:v>255.35683239152607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C-527B-4543-8A9B-EF9109F1EDE4}"/>
            </c:ext>
          </c:extLst>
        </c:ser>
        <c:ser>
          <c:idx val="13"/>
          <c:order val="37"/>
          <c:tx>
            <c:strRef>
              <c:f>'Data for BOSS'!$A$18:$E$18</c:f>
              <c:strCache>
                <c:ptCount val="1"/>
                <c:pt idx="0">
                  <c:v>d_2 act 1062 mm</c:v>
                </c:pt>
              </c:strCache>
            </c:strRef>
          </c:tx>
          <c:marker>
            <c:symbol val="circle"/>
            <c:size val="4"/>
            <c:spPr>
              <a:solidFill>
                <a:srgbClr val="00B0F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BOSS'!$T$7</c:f>
              <c:numCache>
                <c:formatCode>0</c:formatCode>
                <c:ptCount val="1"/>
                <c:pt idx="0">
                  <c:v>42515.344843366969</c:v>
                </c:pt>
              </c:numCache>
            </c:numRef>
          </c:xVal>
          <c:yVal>
            <c:numRef>
              <c:f>'Data for BOSS'!$U$7</c:f>
              <c:numCache>
                <c:formatCode>0</c:formatCode>
                <c:ptCount val="1"/>
                <c:pt idx="0">
                  <c:v>592.91425549918176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D-527B-4543-8A9B-EF9109F1EDE4}"/>
            </c:ext>
          </c:extLst>
        </c:ser>
        <c:ser>
          <c:idx val="16"/>
          <c:order val="39"/>
          <c:tx>
            <c:strRef>
              <c:f>'Data for BOSS'!$Z$10</c:f>
              <c:strCache>
                <c:ptCount val="1"/>
                <c:pt idx="0">
                  <c:v>Dyn Press.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dLbls>
            <c:dLbl>
              <c:idx val="5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E-527B-4543-8A9B-EF9109F1EDE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BOSS'!$U$11:$U$20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'Data for BOSS'!$Z$11:$Z$20</c:f>
              <c:numCache>
                <c:formatCode>0</c:formatCode>
                <c:ptCount val="10"/>
                <c:pt idx="0">
                  <c:v>4.271658382199611</c:v>
                </c:pt>
                <c:pt idx="1">
                  <c:v>12.693701533964179</c:v>
                </c:pt>
                <c:pt idx="2">
                  <c:v>26.261712400271765</c:v>
                </c:pt>
                <c:pt idx="3">
                  <c:v>37.665869735483099</c:v>
                </c:pt>
                <c:pt idx="4">
                  <c:v>47.607872128177043</c:v>
                </c:pt>
                <c:pt idx="5">
                  <c:v>55.004420542951479</c:v>
                </c:pt>
                <c:pt idx="6">
                  <c:v>59.214233507890143</c:v>
                </c:pt>
                <c:pt idx="7">
                  <c:v>59.214233507890143</c:v>
                </c:pt>
                <c:pt idx="8">
                  <c:v>59.214233507890143</c:v>
                </c:pt>
                <c:pt idx="9">
                  <c:v>59.214233507890143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F-527B-4543-8A9B-EF9109F1EDE4}"/>
            </c:ext>
          </c:extLst>
        </c:ser>
        <c:ser>
          <c:idx val="14"/>
          <c:order val="40"/>
          <c:tx>
            <c:strRef>
              <c:f>'Data for BOSS'!$D$17</c:f>
              <c:strCache>
                <c:ptCount val="1"/>
                <c:pt idx="0">
                  <c:v>Des. OP</c:v>
                </c:pt>
              </c:strCache>
            </c:strRef>
          </c:tx>
          <c:marker>
            <c:symbol val="circle"/>
            <c:size val="5"/>
            <c:spPr>
              <a:solidFill>
                <a:srgbClr val="FFFF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BOSS'!$D$24</c:f>
              <c:numCache>
                <c:formatCode>0</c:formatCode>
                <c:ptCount val="1"/>
                <c:pt idx="0">
                  <c:v>10000</c:v>
                </c:pt>
              </c:numCache>
            </c:numRef>
          </c:xVal>
          <c:yVal>
            <c:numRef>
              <c:f>'Data for BOSS'!$D$20</c:f>
              <c:numCache>
                <c:formatCode>0</c:formatCode>
                <c:ptCount val="1"/>
                <c:pt idx="0">
                  <c:v>713.77587437544605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527B-4543-8A9B-EF9109F1E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04424"/>
        <c:axId val="509604816"/>
      </c:scatterChart>
      <c:scatterChart>
        <c:scatterStyle val="smoothMarker"/>
        <c:varyColors val="0"/>
        <c:ser>
          <c:idx val="15"/>
          <c:order val="38"/>
          <c:tx>
            <c:strRef>
              <c:f>'Data for BOSS'!$S$11</c:f>
              <c:strCache>
                <c:ptCount val="1"/>
                <c:pt idx="0">
                  <c:v>  1672 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1-527B-4543-8A9B-EF9109F1EDE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for BOSS'!$U$11:$U$20</c:f>
              <c:numCache>
                <c:formatCode>0</c:formatCode>
                <c:ptCount val="10"/>
                <c:pt idx="0">
                  <c:v>4774.2507882755517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14176.890069302517</c:v>
                </c:pt>
                <c:pt idx="4">
                  <c:v>15938.460009162362</c:v>
                </c:pt>
                <c:pt idx="5">
                  <c:v>17131.909385187471</c:v>
                </c:pt>
                <c:pt idx="6">
                  <c:v>17775.426409843509</c:v>
                </c:pt>
                <c:pt idx="7">
                  <c:v>17775.426409843509</c:v>
                </c:pt>
                <c:pt idx="8">
                  <c:v>17775.426409843509</c:v>
                </c:pt>
                <c:pt idx="9">
                  <c:v>17775.426409843509</c:v>
                </c:pt>
              </c:numCache>
            </c:numRef>
          </c:xVal>
          <c:yVal>
            <c:numRef>
              <c:f>'Data for BOSS'!$V$11:$V$20</c:f>
              <c:numCache>
                <c:formatCode>0</c:formatCode>
                <c:ptCount val="10"/>
                <c:pt idx="0">
                  <c:v>14.274563137553155</c:v>
                </c:pt>
                <c:pt idx="1">
                  <c:v>19.03275085007088</c:v>
                </c:pt>
                <c:pt idx="2">
                  <c:v>24.232285134372773</c:v>
                </c:pt>
                <c:pt idx="3">
                  <c:v>27.282769632308188</c:v>
                </c:pt>
                <c:pt idx="4">
                  <c:v>27.106751763712655</c:v>
                </c:pt>
                <c:pt idx="5">
                  <c:v>25.874626683543898</c:v>
                </c:pt>
                <c:pt idx="6">
                  <c:v>25.843614349630325</c:v>
                </c:pt>
                <c:pt idx="7">
                  <c:v>25.336876813363066</c:v>
                </c:pt>
                <c:pt idx="8">
                  <c:v>25.336876813363066</c:v>
                </c:pt>
                <c:pt idx="9">
                  <c:v>25.336876813363066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2-527B-4543-8A9B-EF9109F1E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05600"/>
        <c:axId val="509605208"/>
      </c:scatterChart>
      <c:valAx>
        <c:axId val="50960442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Q &lt;m3/hr&gt;</a:t>
                </a:r>
              </a:p>
            </c:rich>
          </c:tx>
          <c:layout>
            <c:manualLayout>
              <c:xMode val="edge"/>
              <c:yMode val="edge"/>
              <c:x val="0.45312520505249348"/>
              <c:y val="0.9351447132457431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509604816"/>
        <c:crosses val="autoZero"/>
        <c:crossBetween val="midCat"/>
      </c:valAx>
      <c:valAx>
        <c:axId val="5096048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P &lt;mmH20&gt;</a:t>
                </a:r>
              </a:p>
            </c:rich>
          </c:tx>
          <c:layout>
            <c:manualLayout>
              <c:xMode val="edge"/>
              <c:yMode val="edge"/>
              <c:x val="1.5625E-2"/>
              <c:y val="0.443439547432111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509604424"/>
        <c:crosses val="autoZero"/>
        <c:crossBetween val="midCat"/>
      </c:valAx>
      <c:valAx>
        <c:axId val="509605208"/>
        <c:scaling>
          <c:orientation val="minMax"/>
        </c:scaling>
        <c:delete val="0"/>
        <c:axPos val="r"/>
        <c:title>
          <c:tx>
            <c:strRef>
              <c:f>'Data for BOSS'!$V$10</c:f>
              <c:strCache>
                <c:ptCount val="1"/>
                <c:pt idx="0">
                  <c:v>req. Motor kW</c:v>
                </c:pt>
              </c:strCache>
            </c:strRef>
          </c:tx>
          <c:layout>
            <c:manualLayout>
              <c:xMode val="edge"/>
              <c:yMode val="edge"/>
              <c:x val="0.93004605464856416"/>
              <c:y val="0.49009062544595638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9605600"/>
        <c:crosses val="max"/>
        <c:crossBetween val="midCat"/>
      </c:valAx>
      <c:valAx>
        <c:axId val="5096056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one"/>
        <c:crossAx val="509605208"/>
        <c:crosses val="autoZero"/>
        <c:crossBetween val="midCat"/>
      </c:valAx>
      <c:spPr>
        <a:gradFill>
          <a:gsLst>
            <a:gs pos="0">
              <a:srgbClr val="4F81BD">
                <a:tint val="66000"/>
                <a:satMod val="160000"/>
              </a:srgbClr>
            </a:gs>
            <a:gs pos="50000">
              <a:srgbClr val="4F81BD">
                <a:tint val="44500"/>
                <a:satMod val="160000"/>
              </a:srgbClr>
            </a:gs>
            <a:gs pos="100000">
              <a:srgbClr val="4F81BD">
                <a:tint val="23500"/>
                <a:satMod val="160000"/>
              </a:srgbClr>
            </a:gs>
          </a:gsLst>
          <a:lin ang="5400000" scaled="0"/>
        </a:gradFill>
        <a:ln w="12700">
          <a:solidFill>
            <a:prstClr val="black">
              <a:lumMod val="95000"/>
              <a:lumOff val="5000"/>
            </a:prstClr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zh-CN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'Fan template'!$C$1</c:f>
          <c:strCache>
            <c:ptCount val="1"/>
            <c:pt idx="0">
              <c:v> XOE 166-45G </c:v>
            </c:pt>
          </c:strCache>
        </c:strRef>
      </c:tx>
      <c:overlay val="0"/>
      <c:txPr>
        <a:bodyPr/>
        <a:lstStyle/>
        <a:p>
          <a:pPr>
            <a:defRPr sz="1800" b="1"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'Fan template'!$A$28:$B$28</c:f>
              <c:strCache>
                <c:ptCount val="1"/>
                <c:pt idx="0">
                  <c:v>min rev/min   1000 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'Fan template'!$D$28:$D$37</c:f>
              <c:numCache>
                <c:formatCode>_-\ ###0_-;\-\ ###0_-;_-\ "-"_-;_-@_-</c:formatCode>
                <c:ptCount val="10"/>
                <c:pt idx="0">
                  <c:v>2854.7686276578984</c:v>
                </c:pt>
                <c:pt idx="1">
                  <c:v>4921.1522339062476</c:v>
                </c:pt>
                <c:pt idx="2">
                  <c:v>7078.3849760108551</c:v>
                </c:pt>
                <c:pt idx="3">
                  <c:v>8477.0873593378892</c:v>
                </c:pt>
                <c:pt idx="4">
                  <c:v>9530.420085822816</c:v>
                </c:pt>
                <c:pt idx="5">
                  <c:v>10244.044482291729</c:v>
                </c:pt>
                <c:pt idx="6">
                  <c:v>10628.836210841742</c:v>
                </c:pt>
                <c:pt idx="7">
                  <c:v>10628.836210841742</c:v>
                </c:pt>
                <c:pt idx="8">
                  <c:v>10628.836210841742</c:v>
                </c:pt>
                <c:pt idx="9">
                  <c:v>10628.836210841742</c:v>
                </c:pt>
              </c:numCache>
            </c:numRef>
          </c:xVal>
          <c:yVal>
            <c:numRef>
              <c:f>'Fan template'!$C$28:$C$37</c:f>
              <c:numCache>
                <c:formatCode>_-\ ###0_-;\-\ ###0_-;_-\ "-"_-;_-@_-</c:formatCode>
                <c:ptCount val="10"/>
                <c:pt idx="0">
                  <c:v>255.35683239152607</c:v>
                </c:pt>
                <c:pt idx="1">
                  <c:v>262.56776578022004</c:v>
                </c:pt>
                <c:pt idx="2">
                  <c:v>228.70277130827918</c:v>
                </c:pt>
                <c:pt idx="3">
                  <c:v>181.72456671733136</c:v>
                </c:pt>
                <c:pt idx="4">
                  <c:v>128.83504806127348</c:v>
                </c:pt>
                <c:pt idx="5">
                  <c:v>82.321714383175248</c:v>
                </c:pt>
                <c:pt idx="6">
                  <c:v>55.309165624923679</c:v>
                </c:pt>
                <c:pt idx="7">
                  <c:v>55.309165624923679</c:v>
                </c:pt>
                <c:pt idx="8">
                  <c:v>55.309165624923679</c:v>
                </c:pt>
                <c:pt idx="9">
                  <c:v>55.309165624923679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721-4D8B-BEAB-F1C480AE131A}"/>
            </c:ext>
          </c:extLst>
        </c:ser>
        <c:ser>
          <c:idx val="2"/>
          <c:order val="1"/>
          <c:tx>
            <c:strRef>
              <c:f>'Fan template'!$A$38:$B$38</c:f>
              <c:strCache>
                <c:ptCount val="1"/>
                <c:pt idx="0">
                  <c:v>max rev/min   4000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'Fan template'!$D$38:$D$47</c:f>
              <c:numCache>
                <c:formatCode>_-\ ###0_-;\-\ ###0_-;_-\ "-"_-;_-@_-</c:formatCode>
                <c:ptCount val="10"/>
                <c:pt idx="0">
                  <c:v>11419.074510631594</c:v>
                </c:pt>
                <c:pt idx="1">
                  <c:v>19684.60893562499</c:v>
                </c:pt>
                <c:pt idx="2">
                  <c:v>28313.53990404342</c:v>
                </c:pt>
                <c:pt idx="3">
                  <c:v>33908.349437351557</c:v>
                </c:pt>
                <c:pt idx="4">
                  <c:v>38121.680343291264</c:v>
                </c:pt>
                <c:pt idx="5">
                  <c:v>40976.177929166915</c:v>
                </c:pt>
                <c:pt idx="6">
                  <c:v>42515.344843366969</c:v>
                </c:pt>
                <c:pt idx="7">
                  <c:v>42515.344843366969</c:v>
                </c:pt>
                <c:pt idx="8">
                  <c:v>42515.344843366969</c:v>
                </c:pt>
                <c:pt idx="9">
                  <c:v>42515.344843366969</c:v>
                </c:pt>
              </c:numCache>
            </c:numRef>
          </c:xVal>
          <c:yVal>
            <c:numRef>
              <c:f>'Fan template'!$C$38:$C$47</c:f>
              <c:numCache>
                <c:formatCode>_-\ ###0_-;\-\ ###0_-;_-\ "-"_-;_-@_-</c:formatCode>
                <c:ptCount val="10"/>
                <c:pt idx="0">
                  <c:v>4085.7093182644171</c:v>
                </c:pt>
                <c:pt idx="1">
                  <c:v>4201.0842524835207</c:v>
                </c:pt>
                <c:pt idx="2">
                  <c:v>3659.2443409324669</c:v>
                </c:pt>
                <c:pt idx="3">
                  <c:v>2907.5930674773017</c:v>
                </c:pt>
                <c:pt idx="4">
                  <c:v>2061.3607689803757</c:v>
                </c:pt>
                <c:pt idx="5">
                  <c:v>1317.147430130804</c:v>
                </c:pt>
                <c:pt idx="6">
                  <c:v>884.94664999877887</c:v>
                </c:pt>
                <c:pt idx="7">
                  <c:v>884.94664999877887</c:v>
                </c:pt>
                <c:pt idx="8">
                  <c:v>884.94664999877887</c:v>
                </c:pt>
                <c:pt idx="9">
                  <c:v>884.94664999877887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721-4D8B-BEAB-F1C480AE131A}"/>
            </c:ext>
          </c:extLst>
        </c:ser>
        <c:ser>
          <c:idx val="3"/>
          <c:order val="2"/>
          <c:tx>
            <c:strRef>
              <c:f>'Fan template'!$A$61:$B$61</c:f>
              <c:strCache>
                <c:ptCount val="1"/>
                <c:pt idx="0">
                  <c:v>O.P. Iter.   1672 </c:v>
                </c:pt>
              </c:strCache>
            </c:strRef>
          </c:tx>
          <c:xVal>
            <c:numRef>
              <c:f>'Fan template'!$G$61:$G$70</c:f>
              <c:numCache>
                <c:formatCode>_-\ ###0_-;\-\ ###0_-;_-\ "-"_-;_-@_-</c:formatCode>
                <c:ptCount val="10"/>
                <c:pt idx="0">
                  <c:v>4774.2507882755508</c:v>
                </c:pt>
                <c:pt idx="1">
                  <c:v>8230.0242143358737</c:v>
                </c:pt>
                <c:pt idx="2">
                  <c:v>11837.731690067933</c:v>
                </c:pt>
                <c:pt idx="3">
                  <c:v>14176.890069302515</c:v>
                </c:pt>
                <c:pt idx="4">
                  <c:v>15938.46000916236</c:v>
                </c:pt>
                <c:pt idx="5">
                  <c:v>17131.909385187468</c:v>
                </c:pt>
                <c:pt idx="6">
                  <c:v>17775.426409843505</c:v>
                </c:pt>
                <c:pt idx="7">
                  <c:v>17775.426409843505</c:v>
                </c:pt>
                <c:pt idx="8">
                  <c:v>17775.426409843505</c:v>
                </c:pt>
                <c:pt idx="9">
                  <c:v>17775.426409843505</c:v>
                </c:pt>
              </c:numCache>
            </c:numRef>
          </c:xVal>
          <c:yVal>
            <c:numRef>
              <c:f>'Fan template'!$F$61:$F$70</c:f>
              <c:numCache>
                <c:formatCode>_-\ ###0_-;\-\ ###0_-;_-\ "-"_-;_-@_-</c:formatCode>
                <c:ptCount val="10"/>
                <c:pt idx="0">
                  <c:v>714.19385389401725</c:v>
                </c:pt>
                <c:pt idx="1">
                  <c:v>734.36172744888711</c:v>
                </c:pt>
                <c:pt idx="2">
                  <c:v>639.64653738523702</c:v>
                </c:pt>
                <c:pt idx="3">
                  <c:v>508.25571196025794</c:v>
                </c:pt>
                <c:pt idx="4">
                  <c:v>360.33184869094293</c:v>
                </c:pt>
                <c:pt idx="5">
                  <c:v>230.24119583507775</c:v>
                </c:pt>
                <c:pt idx="6">
                  <c:v>154.69124433984632</c:v>
                </c:pt>
                <c:pt idx="7">
                  <c:v>154.69124433984632</c:v>
                </c:pt>
                <c:pt idx="8">
                  <c:v>154.69124433984632</c:v>
                </c:pt>
                <c:pt idx="9">
                  <c:v>154.69124433984632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721-4D8B-BEAB-F1C480AE131A}"/>
            </c:ext>
          </c:extLst>
        </c:ser>
        <c:ser>
          <c:idx val="4"/>
          <c:order val="3"/>
          <c:tx>
            <c:strRef>
              <c:f>'Fan template'!$A$4</c:f>
              <c:strCache>
                <c:ptCount val="1"/>
                <c:pt idx="0">
                  <c:v>Desired O.P.</c:v>
                </c:pt>
              </c:strCache>
            </c:strRef>
          </c:tx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'Fan template'!$C$6</c:f>
              <c:numCache>
                <c:formatCode>_-\ ###0_-;\-\ ###0_-;_-\ "-"_-;_-@_-</c:formatCode>
                <c:ptCount val="1"/>
                <c:pt idx="0">
                  <c:v>10000</c:v>
                </c:pt>
              </c:numCache>
            </c:numRef>
          </c:xVal>
          <c:yVal>
            <c:numRef>
              <c:f>'Fan template'!$C$4</c:f>
              <c:numCache>
                <c:formatCode>_-\ ###0_-;\-\ ###0_-;_-\ "-"_-;_-@_-</c:formatCode>
                <c:ptCount val="1"/>
                <c:pt idx="0">
                  <c:v>713.77587437544605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721-4D8B-BEAB-F1C480AE1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06384"/>
        <c:axId val="509606776"/>
      </c:scatterChart>
      <c:valAx>
        <c:axId val="509606384"/>
        <c:scaling>
          <c:orientation val="minMax"/>
        </c:scaling>
        <c:delete val="0"/>
        <c:axPos val="b"/>
        <c:title>
          <c:tx>
            <c:strRef>
              <c:f>'Fan template'!$D$17</c:f>
              <c:strCache>
                <c:ptCount val="1"/>
                <c:pt idx="0">
                  <c:v>Q, m3/h</c:v>
                </c:pt>
              </c:strCache>
            </c:strRef>
          </c:tx>
          <c:overlay val="0"/>
        </c:title>
        <c:numFmt formatCode="_-\ ###0_-;\-\ ###0_-;_-\ &quot;-&quot;_-;_-@_-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509606776"/>
        <c:crosses val="autoZero"/>
        <c:crossBetween val="midCat"/>
      </c:valAx>
      <c:valAx>
        <c:axId val="509606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strRef>
              <c:f>'Fan template'!$C$17</c:f>
              <c:strCache>
                <c:ptCount val="1"/>
                <c:pt idx="0">
                  <c:v>P, mmH2o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_-\ ###0_-;\-\ ###0_-;_-\ &quot;-&quot;_-;_-@_-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5096063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zh-CN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'Fan template'!$I$17:$J$17</c:f>
          <c:strCache>
            <c:ptCount val="2"/>
            <c:pt idx="0">
              <c:v>Phi</c:v>
            </c:pt>
            <c:pt idx="1">
              <c:v>delta^4=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'Fan template'!$I$17</c:f>
              <c:strCache>
                <c:ptCount val="1"/>
                <c:pt idx="0">
                  <c:v>Phi</c:v>
                </c:pt>
              </c:strCache>
            </c:strRef>
          </c:tx>
          <c:trendline>
            <c:trendlineType val="log"/>
            <c:dispRSqr val="1"/>
            <c:dispEq val="1"/>
            <c:trendlineLbl>
              <c:layout>
                <c:manualLayout>
                  <c:x val="-0.10332353364445632"/>
                  <c:y val="9.1457685436379527E-3"/>
                </c:manualLayout>
              </c:layout>
              <c:numFmt formatCode="##,#00,000" sourceLinked="0"/>
            </c:trendlineLbl>
          </c:trendline>
          <c:xVal>
            <c:numRef>
              <c:f>'Fan template'!$J$18:$J$27</c:f>
              <c:numCache>
                <c:formatCode>_-\ ###0.000_-;\-\ ###0.000_-;_-\ "-"_-;_-@_-</c:formatCode>
                <c:ptCount val="10"/>
                <c:pt idx="0">
                  <c:v>5183.1279700417499</c:v>
                </c:pt>
                <c:pt idx="1">
                  <c:v>1793.4698858275951</c:v>
                </c:pt>
                <c:pt idx="2">
                  <c:v>755.07370928875787</c:v>
                </c:pt>
                <c:pt idx="3">
                  <c:v>418.31805026809064</c:v>
                </c:pt>
                <c:pt idx="4">
                  <c:v>234.63684789686505</c:v>
                </c:pt>
                <c:pt idx="5">
                  <c:v>129.76506093879564</c:v>
                </c:pt>
                <c:pt idx="6">
                  <c:v>80.986374531902356</c:v>
                </c:pt>
                <c:pt idx="7">
                  <c:v>80.986374531902356</c:v>
                </c:pt>
                <c:pt idx="8">
                  <c:v>80.986374531902356</c:v>
                </c:pt>
                <c:pt idx="9">
                  <c:v>80.986374531902356</c:v>
                </c:pt>
              </c:numCache>
            </c:numRef>
          </c:xVal>
          <c:yVal>
            <c:numRef>
              <c:f>'Fan template'!$I$18:$I$27</c:f>
              <c:numCache>
                <c:formatCode>_-\ ###0.000_-;\-\ ###0.000_-;_-\ "-"_-;_-@_-</c:formatCode>
                <c:ptCount val="10"/>
                <c:pt idx="0">
                  <c:v>1.6106942830331924E-2</c:v>
                </c:pt>
                <c:pt idx="1">
                  <c:v>2.7765723961986476E-2</c:v>
                </c:pt>
                <c:pt idx="2">
                  <c:v>3.9937086681950812E-2</c:v>
                </c:pt>
                <c:pt idx="3">
                  <c:v>4.7828731246988845E-2</c:v>
                </c:pt>
                <c:pt idx="4">
                  <c:v>5.3771759288714784E-2</c:v>
                </c:pt>
                <c:pt idx="5">
                  <c:v>5.779811268383564E-2</c:v>
                </c:pt>
                <c:pt idx="6">
                  <c:v>5.9969153206452165E-2</c:v>
                </c:pt>
                <c:pt idx="7">
                  <c:v>5.9969153206452165E-2</c:v>
                </c:pt>
                <c:pt idx="8">
                  <c:v>5.9969153206452165E-2</c:v>
                </c:pt>
                <c:pt idx="9">
                  <c:v>5.9969153206452165E-2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994-4614-918F-989C140CA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07560"/>
        <c:axId val="509607952"/>
      </c:scatterChart>
      <c:scatterChart>
        <c:scatterStyle val="smoothMarker"/>
        <c:varyColors val="0"/>
        <c:ser>
          <c:idx val="1"/>
          <c:order val="1"/>
          <c:tx>
            <c:strRef>
              <c:f>'Fan template'!$H$17</c:f>
              <c:strCache>
                <c:ptCount val="1"/>
                <c:pt idx="0">
                  <c:v>Psi</c:v>
                </c:pt>
              </c:strCache>
            </c:strRef>
          </c:tx>
          <c:trendline>
            <c:trendlineType val="log"/>
            <c:dispRSqr val="1"/>
            <c:dispEq val="1"/>
            <c:trendlineLbl>
              <c:layout>
                <c:manualLayout>
                  <c:x val="-2.7579202730207412E-2"/>
                  <c:y val="-1.7132601071924828E-2"/>
                </c:manualLayout>
              </c:layout>
              <c:numFmt formatCode="##,#00,000" sourceLinked="0"/>
            </c:trendlineLbl>
          </c:trendline>
          <c:xVal>
            <c:numRef>
              <c:f>'Fan template'!$J$18:$J$27</c:f>
              <c:numCache>
                <c:formatCode>_-\ ###0.000_-;\-\ ###0.000_-;_-\ "-"_-;_-@_-</c:formatCode>
                <c:ptCount val="10"/>
                <c:pt idx="0">
                  <c:v>5183.1279700417499</c:v>
                </c:pt>
                <c:pt idx="1">
                  <c:v>1793.4698858275951</c:v>
                </c:pt>
                <c:pt idx="2">
                  <c:v>755.07370928875787</c:v>
                </c:pt>
                <c:pt idx="3">
                  <c:v>418.31805026809064</c:v>
                </c:pt>
                <c:pt idx="4">
                  <c:v>234.63684789686505</c:v>
                </c:pt>
                <c:pt idx="5">
                  <c:v>129.76506093879564</c:v>
                </c:pt>
                <c:pt idx="6">
                  <c:v>80.986374531902356</c:v>
                </c:pt>
                <c:pt idx="7">
                  <c:v>80.986374531902356</c:v>
                </c:pt>
                <c:pt idx="8">
                  <c:v>80.986374531902356</c:v>
                </c:pt>
                <c:pt idx="9">
                  <c:v>80.986374531902356</c:v>
                </c:pt>
              </c:numCache>
            </c:numRef>
          </c:xVal>
          <c:yVal>
            <c:numRef>
              <c:f>'Fan template'!$H$18:$H$27</c:f>
              <c:numCache>
                <c:formatCode>_-\ ###0.000_-;\-\ ###0.000_-;_-\ "-"_-;_-@_-</c:formatCode>
                <c:ptCount val="10"/>
                <c:pt idx="0">
                  <c:v>1.3446775865706107</c:v>
                </c:pt>
                <c:pt idx="1">
                  <c:v>1.3826494724810823</c:v>
                </c:pt>
                <c:pt idx="2">
                  <c:v>1.204320588114534</c:v>
                </c:pt>
                <c:pt idx="3">
                  <c:v>0.95693915649527028</c:v>
                </c:pt>
                <c:pt idx="4">
                  <c:v>0.67842947404328324</c:v>
                </c:pt>
                <c:pt idx="5">
                  <c:v>0.43349599531920197</c:v>
                </c:pt>
                <c:pt idx="6">
                  <c:v>0.29125124497833721</c:v>
                </c:pt>
                <c:pt idx="7">
                  <c:v>0.29125124497833721</c:v>
                </c:pt>
                <c:pt idx="8">
                  <c:v>0.29125124497833721</c:v>
                </c:pt>
                <c:pt idx="9">
                  <c:v>0.29125124497833721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994-4614-918F-989C140CA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08736"/>
        <c:axId val="509608344"/>
      </c:scatterChart>
      <c:valAx>
        <c:axId val="509607560"/>
        <c:scaling>
          <c:orientation val="minMax"/>
        </c:scaling>
        <c:delete val="0"/>
        <c:axPos val="b"/>
        <c:title>
          <c:tx>
            <c:strRef>
              <c:f>'Fan template'!$J$17</c:f>
              <c:strCache>
                <c:ptCount val="1"/>
                <c:pt idx="0">
                  <c:v>delta^4=</c:v>
                </c:pt>
              </c:strCache>
            </c:strRef>
          </c:tx>
          <c:overlay val="0"/>
        </c:title>
        <c:numFmt formatCode="0" sourceLinked="0"/>
        <c:majorTickMark val="none"/>
        <c:minorTickMark val="none"/>
        <c:tickLblPos val="nextTo"/>
        <c:crossAx val="509607952"/>
        <c:crosses val="autoZero"/>
        <c:crossBetween val="midCat"/>
      </c:valAx>
      <c:valAx>
        <c:axId val="509607952"/>
        <c:scaling>
          <c:orientation val="minMax"/>
        </c:scaling>
        <c:delete val="0"/>
        <c:axPos val="l"/>
        <c:majorGridlines/>
        <c:title>
          <c:tx>
            <c:strRef>
              <c:f>'Fan template'!$I$17</c:f>
              <c:strCache>
                <c:ptCount val="1"/>
                <c:pt idx="0">
                  <c:v>Phi</c:v>
                </c:pt>
              </c:strCache>
            </c:strRef>
          </c:tx>
          <c:overlay val="0"/>
        </c:title>
        <c:numFmt formatCode="_-\ ###0.000_-;\-\ ###0.000_-;_-\ &quot;-&quot;_-;_-@_-" sourceLinked="1"/>
        <c:majorTickMark val="none"/>
        <c:minorTickMark val="none"/>
        <c:tickLblPos val="nextTo"/>
        <c:crossAx val="509607560"/>
        <c:crosses val="autoZero"/>
        <c:crossBetween val="midCat"/>
      </c:valAx>
      <c:valAx>
        <c:axId val="509608344"/>
        <c:scaling>
          <c:orientation val="minMax"/>
        </c:scaling>
        <c:delete val="0"/>
        <c:axPos val="r"/>
        <c:title>
          <c:tx>
            <c:strRef>
              <c:f>'Fan template'!$H$17</c:f>
              <c:strCache>
                <c:ptCount val="1"/>
                <c:pt idx="0">
                  <c:v>Psi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_-\ ###0.000_-;\-\ ###0.000_-;_-\ &quot;-&quot;_-;_-@_-" sourceLinked="1"/>
        <c:majorTickMark val="out"/>
        <c:minorTickMark val="none"/>
        <c:tickLblPos val="nextTo"/>
        <c:crossAx val="509608736"/>
        <c:crosses val="max"/>
        <c:crossBetween val="midCat"/>
      </c:valAx>
      <c:valAx>
        <c:axId val="509608736"/>
        <c:scaling>
          <c:orientation val="minMax"/>
        </c:scaling>
        <c:delete val="1"/>
        <c:axPos val="b"/>
        <c:numFmt formatCode="_-\ ###0.000_-;\-\ ###0.000_-;_-\ &quot;-&quot;_-;_-@_-" sourceLinked="1"/>
        <c:majorTickMark val="out"/>
        <c:minorTickMark val="none"/>
        <c:tickLblPos val="none"/>
        <c:crossAx val="5096083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'Fan template'!$G$17</c:f>
              <c:strCache>
                <c:ptCount val="1"/>
                <c:pt idx="0">
                  <c:v>eff.</c:v>
                </c:pt>
              </c:strCache>
            </c:strRef>
          </c:tx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7.6879942246025224E-3"/>
                  <c:y val="9.0778889125345832E-2"/>
                </c:manualLayout>
              </c:layout>
              <c:numFmt formatCode="###,000" sourceLinked="0"/>
            </c:trendlineLbl>
          </c:trendline>
          <c:xVal>
            <c:numRef>
              <c:f>'Fan template'!$I$18:$I$27</c:f>
              <c:numCache>
                <c:formatCode>_-\ ###0.000_-;\-\ ###0.000_-;_-\ "-"_-;_-@_-</c:formatCode>
                <c:ptCount val="10"/>
                <c:pt idx="0">
                  <c:v>1.6106942830331924E-2</c:v>
                </c:pt>
                <c:pt idx="1">
                  <c:v>2.7765723961986476E-2</c:v>
                </c:pt>
                <c:pt idx="2">
                  <c:v>3.9937086681950812E-2</c:v>
                </c:pt>
                <c:pt idx="3">
                  <c:v>4.7828731246988845E-2</c:v>
                </c:pt>
                <c:pt idx="4">
                  <c:v>5.3771759288714784E-2</c:v>
                </c:pt>
                <c:pt idx="5">
                  <c:v>5.779811268383564E-2</c:v>
                </c:pt>
                <c:pt idx="6">
                  <c:v>5.9969153206452165E-2</c:v>
                </c:pt>
                <c:pt idx="7">
                  <c:v>5.9969153206452165E-2</c:v>
                </c:pt>
                <c:pt idx="8">
                  <c:v>5.9969153206452165E-2</c:v>
                </c:pt>
                <c:pt idx="9">
                  <c:v>5.9969153206452165E-2</c:v>
                </c:pt>
              </c:numCache>
            </c:numRef>
          </c:xVal>
          <c:yVal>
            <c:numRef>
              <c:f>'Fan template'!$G$18:$G$27</c:f>
              <c:numCache>
                <c:formatCode>0%</c:formatCode>
                <c:ptCount val="10"/>
                <c:pt idx="0">
                  <c:v>0.65071704913768114</c:v>
                </c:pt>
                <c:pt idx="1">
                  <c:v>0.86505408201897793</c:v>
                </c:pt>
                <c:pt idx="2">
                  <c:v>0.85123181945182624</c:v>
                </c:pt>
                <c:pt idx="3">
                  <c:v>0.71946299027922023</c:v>
                </c:pt>
                <c:pt idx="4">
                  <c:v>0.57717193165756053</c:v>
                </c:pt>
                <c:pt idx="5">
                  <c:v>0.41528704451704884</c:v>
                </c:pt>
                <c:pt idx="6">
                  <c:v>0.28984524731772093</c:v>
                </c:pt>
                <c:pt idx="7">
                  <c:v>0.29564215226407536</c:v>
                </c:pt>
                <c:pt idx="8">
                  <c:v>0.29564215226407536</c:v>
                </c:pt>
                <c:pt idx="9">
                  <c:v>0.29564215226407536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6B-40CA-8844-4F1BDB359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09520"/>
        <c:axId val="509609912"/>
      </c:scatterChart>
      <c:valAx>
        <c:axId val="509609520"/>
        <c:scaling>
          <c:orientation val="minMax"/>
        </c:scaling>
        <c:delete val="0"/>
        <c:axPos val="b"/>
        <c:title>
          <c:tx>
            <c:strRef>
              <c:f>'Fan template'!$I$17</c:f>
              <c:strCache>
                <c:ptCount val="1"/>
                <c:pt idx="0">
                  <c:v>Phi</c:v>
                </c:pt>
              </c:strCache>
            </c:strRef>
          </c:tx>
          <c:overlay val="0"/>
        </c:title>
        <c:numFmt formatCode="_-\ ###0.000_-;\-\ ###0.000_-;_-\ &quot;-&quot;_-;_-@_-" sourceLinked="1"/>
        <c:majorTickMark val="none"/>
        <c:minorTickMark val="none"/>
        <c:tickLblPos val="nextTo"/>
        <c:crossAx val="509609912"/>
        <c:crosses val="autoZero"/>
        <c:crossBetween val="midCat"/>
      </c:valAx>
      <c:valAx>
        <c:axId val="509609912"/>
        <c:scaling>
          <c:orientation val="minMax"/>
        </c:scaling>
        <c:delete val="0"/>
        <c:axPos val="l"/>
        <c:majorGridlines/>
        <c:title>
          <c:tx>
            <c:strRef>
              <c:f>'Fan template'!$G$17</c:f>
              <c:strCache>
                <c:ptCount val="1"/>
                <c:pt idx="0">
                  <c:v>eff.</c:v>
                </c:pt>
              </c:strCache>
            </c:strRef>
          </c:tx>
          <c:overlay val="0"/>
        </c:title>
        <c:numFmt formatCode="0%" sourceLinked="1"/>
        <c:majorTickMark val="none"/>
        <c:minorTickMark val="none"/>
        <c:tickLblPos val="nextTo"/>
        <c:crossAx val="5096095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'Fan Data &amp; Deformation'!$B$62</c:f>
              <c:strCache>
                <c:ptCount val="1"/>
                <c:pt idx="0">
                  <c:v>Vert. Def. @ d1/2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'Fan Data &amp; Deformation'!$A$63:$A$113</c:f>
              <c:numCache>
                <c:formatCode>0.00E+00</c:formatCode>
                <c:ptCount val="51"/>
                <c:pt idx="0">
                  <c:v>0</c:v>
                </c:pt>
                <c:pt idx="1">
                  <c:v>2.4211545121290931E-3</c:v>
                </c:pt>
                <c:pt idx="2">
                  <c:v>4.8423090242581861E-3</c:v>
                </c:pt>
                <c:pt idx="3">
                  <c:v>7.2634635363872796E-3</c:v>
                </c:pt>
                <c:pt idx="4">
                  <c:v>9.6846180485163722E-3</c:v>
                </c:pt>
                <c:pt idx="5">
                  <c:v>1.2105772560645465E-2</c:v>
                </c:pt>
                <c:pt idx="6">
                  <c:v>1.4526927072774557E-2</c:v>
                </c:pt>
                <c:pt idx="7">
                  <c:v>1.694808158490365E-2</c:v>
                </c:pt>
                <c:pt idx="8">
                  <c:v>1.9369236097032744E-2</c:v>
                </c:pt>
                <c:pt idx="9">
                  <c:v>2.1790390609161839E-2</c:v>
                </c:pt>
                <c:pt idx="10">
                  <c:v>2.4211545121290933E-2</c:v>
                </c:pt>
                <c:pt idx="11">
                  <c:v>2.6632699633420027E-2</c:v>
                </c:pt>
                <c:pt idx="12">
                  <c:v>2.9053854145549122E-2</c:v>
                </c:pt>
                <c:pt idx="13">
                  <c:v>3.1475008657678216E-2</c:v>
                </c:pt>
                <c:pt idx="14">
                  <c:v>3.3896163169807307E-2</c:v>
                </c:pt>
                <c:pt idx="15">
                  <c:v>3.6317317681936398E-2</c:v>
                </c:pt>
                <c:pt idx="16">
                  <c:v>3.8738472194065489E-2</c:v>
                </c:pt>
                <c:pt idx="17">
                  <c:v>4.115962670619458E-2</c:v>
                </c:pt>
                <c:pt idx="18">
                  <c:v>4.3580781218323671E-2</c:v>
                </c:pt>
                <c:pt idx="19">
                  <c:v>4.6001935730452762E-2</c:v>
                </c:pt>
                <c:pt idx="20">
                  <c:v>4.8423090242581852E-2</c:v>
                </c:pt>
                <c:pt idx="21">
                  <c:v>5.0844244754710943E-2</c:v>
                </c:pt>
                <c:pt idx="22">
                  <c:v>5.3265399266840034E-2</c:v>
                </c:pt>
                <c:pt idx="23">
                  <c:v>5.5686553778969125E-2</c:v>
                </c:pt>
                <c:pt idx="24">
                  <c:v>5.8107708291098216E-2</c:v>
                </c:pt>
                <c:pt idx="25">
                  <c:v>6.0528862803227307E-2</c:v>
                </c:pt>
                <c:pt idx="26">
                  <c:v>6.2950017315356405E-2</c:v>
                </c:pt>
                <c:pt idx="27">
                  <c:v>6.5371171827485502E-2</c:v>
                </c:pt>
                <c:pt idx="28">
                  <c:v>6.77923263396146E-2</c:v>
                </c:pt>
                <c:pt idx="29">
                  <c:v>7.0213480851743698E-2</c:v>
                </c:pt>
                <c:pt idx="30">
                  <c:v>7.2634635363872796E-2</c:v>
                </c:pt>
                <c:pt idx="31">
                  <c:v>7.5055789876001894E-2</c:v>
                </c:pt>
                <c:pt idx="32">
                  <c:v>7.7476944388130992E-2</c:v>
                </c:pt>
                <c:pt idx="33">
                  <c:v>7.9898098900260089E-2</c:v>
                </c:pt>
                <c:pt idx="34">
                  <c:v>8.2319253412389187E-2</c:v>
                </c:pt>
                <c:pt idx="35">
                  <c:v>8.4740407924518285E-2</c:v>
                </c:pt>
                <c:pt idx="36">
                  <c:v>8.7161562436647383E-2</c:v>
                </c:pt>
                <c:pt idx="37">
                  <c:v>8.9582716948776481E-2</c:v>
                </c:pt>
                <c:pt idx="38">
                  <c:v>9.2003871460905579E-2</c:v>
                </c:pt>
                <c:pt idx="39">
                  <c:v>9.4425025973034676E-2</c:v>
                </c:pt>
                <c:pt idx="40">
                  <c:v>9.6846180485163774E-2</c:v>
                </c:pt>
                <c:pt idx="41">
                  <c:v>9.9267334997292872E-2</c:v>
                </c:pt>
                <c:pt idx="42">
                  <c:v>0.10168848950942197</c:v>
                </c:pt>
                <c:pt idx="43">
                  <c:v>0.10410964402155107</c:v>
                </c:pt>
                <c:pt idx="44">
                  <c:v>0.10653079853368017</c:v>
                </c:pt>
                <c:pt idx="45">
                  <c:v>0.10895195304580926</c:v>
                </c:pt>
                <c:pt idx="46">
                  <c:v>0.11137310755793836</c:v>
                </c:pt>
                <c:pt idx="47">
                  <c:v>0.11379426207006746</c:v>
                </c:pt>
                <c:pt idx="48">
                  <c:v>0.11621541658219656</c:v>
                </c:pt>
                <c:pt idx="49">
                  <c:v>0.11863657109432565</c:v>
                </c:pt>
                <c:pt idx="50">
                  <c:v>0.12105772560645475</c:v>
                </c:pt>
              </c:numCache>
            </c:numRef>
          </c:xVal>
          <c:yVal>
            <c:numRef>
              <c:f>'Fan Data &amp; Deformation'!$B$63:$B$113</c:f>
              <c:numCache>
                <c:formatCode>0.00E+00</c:formatCode>
                <c:ptCount val="51"/>
                <c:pt idx="0">
                  <c:v>0</c:v>
                </c:pt>
                <c:pt idx="1">
                  <c:v>-7.5533048796377245E-7</c:v>
                </c:pt>
                <c:pt idx="2">
                  <c:v>-2.1754152686524067E-6</c:v>
                </c:pt>
                <c:pt idx="3">
                  <c:v>-4.1733063284958882E-6</c:v>
                </c:pt>
                <c:pt idx="4">
                  <c:v>-6.6657555693952661E-6</c:v>
                </c:pt>
                <c:pt idx="5">
                  <c:v>-9.5732148087226551E-6</c:v>
                </c:pt>
                <c:pt idx="6">
                  <c:v>-1.2819835779321231E-5</c:v>
                </c:pt>
                <c:pt idx="7">
                  <c:v>-1.6333470129505239E-5</c:v>
                </c:pt>
                <c:pt idx="8">
                  <c:v>-2.0045669423059996E-5</c:v>
                </c:pt>
                <c:pt idx="9">
                  <c:v>-2.3891685139241862E-5</c:v>
                </c:pt>
                <c:pt idx="10">
                  <c:v>-2.7810468672778277E-5</c:v>
                </c:pt>
                <c:pt idx="11">
                  <c:v>-3.1744671333867742E-5</c:v>
                </c:pt>
                <c:pt idx="12">
                  <c:v>-3.5640644348179824E-5</c:v>
                </c:pt>
                <c:pt idx="13">
                  <c:v>-3.9448438856855152E-5</c:v>
                </c:pt>
                <c:pt idx="14">
                  <c:v>-4.3121805916505409E-5</c:v>
                </c:pt>
                <c:pt idx="15">
                  <c:v>-4.6618196499213351E-5</c:v>
                </c:pt>
                <c:pt idx="16">
                  <c:v>-4.9898761492532837E-5</c:v>
                </c:pt>
                <c:pt idx="17">
                  <c:v>-5.2928351699488711E-5</c:v>
                </c:pt>
                <c:pt idx="18">
                  <c:v>-5.5675517838576949E-5</c:v>
                </c:pt>
                <c:pt idx="19">
                  <c:v>-5.8112510543764568E-5</c:v>
                </c:pt>
                <c:pt idx="20">
                  <c:v>-6.0215280364489659E-5</c:v>
                </c:pt>
                <c:pt idx="21">
                  <c:v>-6.1963477765661359E-5</c:v>
                </c:pt>
                <c:pt idx="22">
                  <c:v>-6.3340453127659892E-5</c:v>
                </c:pt>
                <c:pt idx="23">
                  <c:v>-6.433325674633648E-5</c:v>
                </c:pt>
                <c:pt idx="24">
                  <c:v>-6.4932638833013501E-5</c:v>
                </c:pt>
                <c:pt idx="25">
                  <c:v>-6.5133049514484311E-5</c:v>
                </c:pt>
                <c:pt idx="26">
                  <c:v>-6.4932638833013488E-5</c:v>
                </c:pt>
                <c:pt idx="27">
                  <c:v>-6.4333256746336426E-5</c:v>
                </c:pt>
                <c:pt idx="28">
                  <c:v>-6.3340453127659879E-5</c:v>
                </c:pt>
                <c:pt idx="29">
                  <c:v>-6.1963477765661359E-5</c:v>
                </c:pt>
                <c:pt idx="30">
                  <c:v>-6.0215280364489585E-5</c:v>
                </c:pt>
                <c:pt idx="31">
                  <c:v>-5.8112510543764588E-5</c:v>
                </c:pt>
                <c:pt idx="32">
                  <c:v>-5.5675517838576901E-5</c:v>
                </c:pt>
                <c:pt idx="33">
                  <c:v>-5.2928351699488643E-5</c:v>
                </c:pt>
                <c:pt idx="34">
                  <c:v>-4.9898761492532804E-5</c:v>
                </c:pt>
                <c:pt idx="35">
                  <c:v>-4.6618196499213304E-5</c:v>
                </c:pt>
                <c:pt idx="36">
                  <c:v>-4.3121805916505259E-5</c:v>
                </c:pt>
                <c:pt idx="37">
                  <c:v>-3.9448438856854976E-5</c:v>
                </c:pt>
                <c:pt idx="38">
                  <c:v>-3.564064434817958E-5</c:v>
                </c:pt>
                <c:pt idx="39">
                  <c:v>-3.1744671333867593E-5</c:v>
                </c:pt>
                <c:pt idx="40">
                  <c:v>-2.7810468672777999E-5</c:v>
                </c:pt>
                <c:pt idx="41">
                  <c:v>-2.3891685139241604E-5</c:v>
                </c:pt>
                <c:pt idx="42">
                  <c:v>-2.0045669423059647E-5</c:v>
                </c:pt>
                <c:pt idx="43">
                  <c:v>-1.633347012950486E-5</c:v>
                </c:pt>
                <c:pt idx="44">
                  <c:v>-1.2819835779321058E-5</c:v>
                </c:pt>
                <c:pt idx="45">
                  <c:v>-9.5732148087223501E-6</c:v>
                </c:pt>
                <c:pt idx="46">
                  <c:v>-6.6657555693948697E-6</c:v>
                </c:pt>
                <c:pt idx="47">
                  <c:v>-4.1733063284957027E-6</c:v>
                </c:pt>
                <c:pt idx="48">
                  <c:v>-2.1754152686518379E-6</c:v>
                </c:pt>
                <c:pt idx="49">
                  <c:v>-7.5533048796360103E-7</c:v>
                </c:pt>
                <c:pt idx="50">
                  <c:v>3.6346587115704521E-19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F54-4296-A305-FFCB1174E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10696"/>
        <c:axId val="509611088"/>
      </c:scatterChart>
      <c:valAx>
        <c:axId val="509610696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crossAx val="509611088"/>
        <c:crosses val="autoZero"/>
        <c:crossBetween val="midCat"/>
      </c:valAx>
      <c:valAx>
        <c:axId val="509611088"/>
        <c:scaling>
          <c:orientation val="minMax"/>
          <c:max val="0"/>
          <c:min val="-3.0000000000000092E-3"/>
        </c:scaling>
        <c:delete val="0"/>
        <c:axPos val="l"/>
        <c:majorGridlines/>
        <c:numFmt formatCode="#,000E+00" sourceLinked="0"/>
        <c:majorTickMark val="out"/>
        <c:minorTickMark val="none"/>
        <c:tickLblPos val="nextTo"/>
        <c:crossAx val="509610696"/>
        <c:crosses val="autoZero"/>
        <c:crossBetween val="midCat"/>
        <c:majorUnit val="5.0000000000000034E-4"/>
      </c:valAx>
      <c:spPr>
        <a:gradFill flip="none" rotWithShape="1">
          <a:gsLst>
            <a:gs pos="0">
              <a:srgbClr val="FF0000"/>
            </a:gs>
            <a:gs pos="20000">
              <a:srgbClr val="FFFF00"/>
            </a:gs>
            <a:gs pos="83000">
              <a:srgbClr val="92D050"/>
            </a:gs>
          </a:gsLst>
          <a:lin ang="16200000" scaled="1"/>
          <a:tileRect/>
        </a:gradFill>
      </c:spPr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'Fan Data &amp; Deformation'!$C$62</c:f>
              <c:strCache>
                <c:ptCount val="1"/>
                <c:pt idx="0">
                  <c:v>Moment @ d1/2</c:v>
                </c:pt>
              </c:strCache>
            </c:strRef>
          </c:tx>
          <c:marker>
            <c:symbol val="none"/>
          </c:marker>
          <c:xVal>
            <c:numRef>
              <c:f>'Fan Data &amp; Deformation'!$A$63:$A$113</c:f>
              <c:numCache>
                <c:formatCode>0.00E+00</c:formatCode>
                <c:ptCount val="51"/>
                <c:pt idx="0">
                  <c:v>0</c:v>
                </c:pt>
                <c:pt idx="1">
                  <c:v>2.4211545121290931E-3</c:v>
                </c:pt>
                <c:pt idx="2">
                  <c:v>4.8423090242581861E-3</c:v>
                </c:pt>
                <c:pt idx="3">
                  <c:v>7.2634635363872796E-3</c:v>
                </c:pt>
                <c:pt idx="4">
                  <c:v>9.6846180485163722E-3</c:v>
                </c:pt>
                <c:pt idx="5">
                  <c:v>1.2105772560645465E-2</c:v>
                </c:pt>
                <c:pt idx="6">
                  <c:v>1.4526927072774557E-2</c:v>
                </c:pt>
                <c:pt idx="7">
                  <c:v>1.694808158490365E-2</c:v>
                </c:pt>
                <c:pt idx="8">
                  <c:v>1.9369236097032744E-2</c:v>
                </c:pt>
                <c:pt idx="9">
                  <c:v>2.1790390609161839E-2</c:v>
                </c:pt>
                <c:pt idx="10">
                  <c:v>2.4211545121290933E-2</c:v>
                </c:pt>
                <c:pt idx="11">
                  <c:v>2.6632699633420027E-2</c:v>
                </c:pt>
                <c:pt idx="12">
                  <c:v>2.9053854145549122E-2</c:v>
                </c:pt>
                <c:pt idx="13">
                  <c:v>3.1475008657678216E-2</c:v>
                </c:pt>
                <c:pt idx="14">
                  <c:v>3.3896163169807307E-2</c:v>
                </c:pt>
                <c:pt idx="15">
                  <c:v>3.6317317681936398E-2</c:v>
                </c:pt>
                <c:pt idx="16">
                  <c:v>3.8738472194065489E-2</c:v>
                </c:pt>
                <c:pt idx="17">
                  <c:v>4.115962670619458E-2</c:v>
                </c:pt>
                <c:pt idx="18">
                  <c:v>4.3580781218323671E-2</c:v>
                </c:pt>
                <c:pt idx="19">
                  <c:v>4.6001935730452762E-2</c:v>
                </c:pt>
                <c:pt idx="20">
                  <c:v>4.8423090242581852E-2</c:v>
                </c:pt>
                <c:pt idx="21">
                  <c:v>5.0844244754710943E-2</c:v>
                </c:pt>
                <c:pt idx="22">
                  <c:v>5.3265399266840034E-2</c:v>
                </c:pt>
                <c:pt idx="23">
                  <c:v>5.5686553778969125E-2</c:v>
                </c:pt>
                <c:pt idx="24">
                  <c:v>5.8107708291098216E-2</c:v>
                </c:pt>
                <c:pt idx="25">
                  <c:v>6.0528862803227307E-2</c:v>
                </c:pt>
                <c:pt idx="26">
                  <c:v>6.2950017315356405E-2</c:v>
                </c:pt>
                <c:pt idx="27">
                  <c:v>6.5371171827485502E-2</c:v>
                </c:pt>
                <c:pt idx="28">
                  <c:v>6.77923263396146E-2</c:v>
                </c:pt>
                <c:pt idx="29">
                  <c:v>7.0213480851743698E-2</c:v>
                </c:pt>
                <c:pt idx="30">
                  <c:v>7.2634635363872796E-2</c:v>
                </c:pt>
                <c:pt idx="31">
                  <c:v>7.5055789876001894E-2</c:v>
                </c:pt>
                <c:pt idx="32">
                  <c:v>7.7476944388130992E-2</c:v>
                </c:pt>
                <c:pt idx="33">
                  <c:v>7.9898098900260089E-2</c:v>
                </c:pt>
                <c:pt idx="34">
                  <c:v>8.2319253412389187E-2</c:v>
                </c:pt>
                <c:pt idx="35">
                  <c:v>8.4740407924518285E-2</c:v>
                </c:pt>
                <c:pt idx="36">
                  <c:v>8.7161562436647383E-2</c:v>
                </c:pt>
                <c:pt idx="37">
                  <c:v>8.9582716948776481E-2</c:v>
                </c:pt>
                <c:pt idx="38">
                  <c:v>9.2003871460905579E-2</c:v>
                </c:pt>
                <c:pt idx="39">
                  <c:v>9.4425025973034676E-2</c:v>
                </c:pt>
                <c:pt idx="40">
                  <c:v>9.6846180485163774E-2</c:v>
                </c:pt>
                <c:pt idx="41">
                  <c:v>9.9267334997292872E-2</c:v>
                </c:pt>
                <c:pt idx="42">
                  <c:v>0.10168848950942197</c:v>
                </c:pt>
                <c:pt idx="43">
                  <c:v>0.10410964402155107</c:v>
                </c:pt>
                <c:pt idx="44">
                  <c:v>0.10653079853368017</c:v>
                </c:pt>
                <c:pt idx="45">
                  <c:v>0.10895195304580926</c:v>
                </c:pt>
                <c:pt idx="46">
                  <c:v>0.11137310755793836</c:v>
                </c:pt>
                <c:pt idx="47">
                  <c:v>0.11379426207006746</c:v>
                </c:pt>
                <c:pt idx="48">
                  <c:v>0.11621541658219656</c:v>
                </c:pt>
                <c:pt idx="49">
                  <c:v>0.11863657109432565</c:v>
                </c:pt>
                <c:pt idx="50">
                  <c:v>0.12105772560645475</c:v>
                </c:pt>
              </c:numCache>
            </c:numRef>
          </c:xVal>
          <c:yVal>
            <c:numRef>
              <c:f>'Fan Data &amp; Deformation'!$C$63:$C$113</c:f>
              <c:numCache>
                <c:formatCode>0.00E+00</c:formatCode>
                <c:ptCount val="51"/>
                <c:pt idx="0">
                  <c:v>-144.26931510394019</c:v>
                </c:pt>
                <c:pt idx="1">
                  <c:v>-126.94999267703699</c:v>
                </c:pt>
                <c:pt idx="2">
                  <c:v>-110.33758136959922</c:v>
                </c:pt>
                <c:pt idx="3">
                  <c:v>-94.432081181626884</c:v>
                </c:pt>
                <c:pt idx="4">
                  <c:v>-79.233492113119993</c:v>
                </c:pt>
                <c:pt idx="5">
                  <c:v>-64.741814164078534</c:v>
                </c:pt>
                <c:pt idx="6">
                  <c:v>-50.957047334502519</c:v>
                </c:pt>
                <c:pt idx="7">
                  <c:v>-37.879191624391936</c:v>
                </c:pt>
                <c:pt idx="8">
                  <c:v>-25.508247033746798</c:v>
                </c:pt>
                <c:pt idx="9">
                  <c:v>-13.844213562567063</c:v>
                </c:pt>
                <c:pt idx="10">
                  <c:v>-2.8870912108527875</c:v>
                </c:pt>
                <c:pt idx="11">
                  <c:v>7.3631200213960426</c:v>
                </c:pt>
                <c:pt idx="12">
                  <c:v>16.906420134179456</c:v>
                </c:pt>
                <c:pt idx="13">
                  <c:v>25.742809127497424</c:v>
                </c:pt>
                <c:pt idx="14">
                  <c:v>33.872287001349946</c:v>
                </c:pt>
                <c:pt idx="15">
                  <c:v>41.294853755736995</c:v>
                </c:pt>
                <c:pt idx="16">
                  <c:v>48.010509390658626</c:v>
                </c:pt>
                <c:pt idx="17">
                  <c:v>54.019253906114869</c:v>
                </c:pt>
                <c:pt idx="18">
                  <c:v>59.321087302105639</c:v>
                </c:pt>
                <c:pt idx="19">
                  <c:v>63.916009578630991</c:v>
                </c:pt>
                <c:pt idx="20">
                  <c:v>67.804020735690841</c:v>
                </c:pt>
                <c:pt idx="21">
                  <c:v>70.985120773285331</c:v>
                </c:pt>
                <c:pt idx="22">
                  <c:v>73.459309691414347</c:v>
                </c:pt>
                <c:pt idx="23">
                  <c:v>75.226587490077975</c:v>
                </c:pt>
                <c:pt idx="24">
                  <c:v>76.2869541692761</c:v>
                </c:pt>
                <c:pt idx="25">
                  <c:v>76.640409729008866</c:v>
                </c:pt>
                <c:pt idx="26">
                  <c:v>76.2869541692761</c:v>
                </c:pt>
                <c:pt idx="27">
                  <c:v>75.226587490078032</c:v>
                </c:pt>
                <c:pt idx="28">
                  <c:v>73.459309691414433</c:v>
                </c:pt>
                <c:pt idx="29">
                  <c:v>70.98512077328536</c:v>
                </c:pt>
                <c:pt idx="30">
                  <c:v>67.80402073569087</c:v>
                </c:pt>
                <c:pt idx="31">
                  <c:v>63.916009578631019</c:v>
                </c:pt>
                <c:pt idx="32">
                  <c:v>59.321087302105582</c:v>
                </c:pt>
                <c:pt idx="33">
                  <c:v>54.019253906114841</c:v>
                </c:pt>
                <c:pt idx="34">
                  <c:v>48.010509390658683</c:v>
                </c:pt>
                <c:pt idx="35">
                  <c:v>41.294853755736938</c:v>
                </c:pt>
                <c:pt idx="36">
                  <c:v>33.872287001349832</c:v>
                </c:pt>
                <c:pt idx="37">
                  <c:v>25.742809127497253</c:v>
                </c:pt>
                <c:pt idx="38">
                  <c:v>16.906420134179257</c:v>
                </c:pt>
                <c:pt idx="39">
                  <c:v>7.3631200213957868</c:v>
                </c:pt>
                <c:pt idx="40">
                  <c:v>-2.8870912108529296</c:v>
                </c:pt>
                <c:pt idx="41">
                  <c:v>-13.84421356256729</c:v>
                </c:pt>
                <c:pt idx="42">
                  <c:v>-25.508247033747068</c:v>
                </c:pt>
                <c:pt idx="43">
                  <c:v>-37.879191624392263</c:v>
                </c:pt>
                <c:pt idx="44">
                  <c:v>-50.957047334502874</c:v>
                </c:pt>
                <c:pt idx="45">
                  <c:v>-64.741814164078903</c:v>
                </c:pt>
                <c:pt idx="46">
                  <c:v>-79.233492113120462</c:v>
                </c:pt>
                <c:pt idx="47">
                  <c:v>-94.432081181627325</c:v>
                </c:pt>
                <c:pt idx="48">
                  <c:v>-110.33758136959983</c:v>
                </c:pt>
                <c:pt idx="49">
                  <c:v>-126.94999267703764</c:v>
                </c:pt>
                <c:pt idx="50">
                  <c:v>-144.26931510394087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A2B-4DD4-95F1-C6148782E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426224"/>
        <c:axId val="510426616"/>
      </c:scatterChart>
      <c:valAx>
        <c:axId val="510426224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crossAx val="510426616"/>
        <c:crosses val="autoZero"/>
        <c:crossBetween val="midCat"/>
      </c:valAx>
      <c:valAx>
        <c:axId val="51042661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1042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'Fan Data &amp; Deformation'!$D$62</c:f>
              <c:strCache>
                <c:ptCount val="1"/>
                <c:pt idx="0">
                  <c:v>Vert. Def. @ d2/2</c:v>
                </c:pt>
              </c:strCache>
            </c:strRef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'Fan Data &amp; Deformation'!$F$63:$F$113</c:f>
              <c:numCache>
                <c:formatCode>0.00E+00</c:formatCode>
                <c:ptCount val="51"/>
                <c:pt idx="0">
                  <c:v>0</c:v>
                </c:pt>
                <c:pt idx="1">
                  <c:v>1.6422698121488139E-3</c:v>
                </c:pt>
                <c:pt idx="2">
                  <c:v>3.2845396242976279E-3</c:v>
                </c:pt>
                <c:pt idx="3">
                  <c:v>4.9268094364464422E-3</c:v>
                </c:pt>
                <c:pt idx="4">
                  <c:v>6.5690792485952557E-3</c:v>
                </c:pt>
                <c:pt idx="5">
                  <c:v>8.2113490607440692E-3</c:v>
                </c:pt>
                <c:pt idx="6">
                  <c:v>9.8536188728928827E-3</c:v>
                </c:pt>
                <c:pt idx="7">
                  <c:v>1.1495888685041696E-2</c:v>
                </c:pt>
                <c:pt idx="8">
                  <c:v>1.313815849719051E-2</c:v>
                </c:pt>
                <c:pt idx="9">
                  <c:v>1.4780428309339323E-2</c:v>
                </c:pt>
                <c:pt idx="10">
                  <c:v>1.6422698121488138E-2</c:v>
                </c:pt>
                <c:pt idx="11">
                  <c:v>1.8064967933636954E-2</c:v>
                </c:pt>
                <c:pt idx="12">
                  <c:v>1.9707237745785769E-2</c:v>
                </c:pt>
                <c:pt idx="13">
                  <c:v>2.1349507557934584E-2</c:v>
                </c:pt>
                <c:pt idx="14">
                  <c:v>2.2991777370083399E-2</c:v>
                </c:pt>
                <c:pt idx="15">
                  <c:v>2.4634047182232215E-2</c:v>
                </c:pt>
                <c:pt idx="16">
                  <c:v>2.627631699438103E-2</c:v>
                </c:pt>
                <c:pt idx="17">
                  <c:v>2.7918586806529845E-2</c:v>
                </c:pt>
                <c:pt idx="18">
                  <c:v>2.956085661867866E-2</c:v>
                </c:pt>
                <c:pt idx="19">
                  <c:v>3.1203126430827476E-2</c:v>
                </c:pt>
                <c:pt idx="20">
                  <c:v>3.2845396242976291E-2</c:v>
                </c:pt>
                <c:pt idx="21">
                  <c:v>3.4487666055125106E-2</c:v>
                </c:pt>
                <c:pt idx="22">
                  <c:v>3.6129935867273921E-2</c:v>
                </c:pt>
                <c:pt idx="23">
                  <c:v>3.7772205679422736E-2</c:v>
                </c:pt>
                <c:pt idx="24">
                  <c:v>3.9414475491571552E-2</c:v>
                </c:pt>
                <c:pt idx="25">
                  <c:v>4.1056745303720367E-2</c:v>
                </c:pt>
                <c:pt idx="26">
                  <c:v>4.2699015115869182E-2</c:v>
                </c:pt>
                <c:pt idx="27">
                  <c:v>4.4341284928017997E-2</c:v>
                </c:pt>
                <c:pt idx="28">
                  <c:v>4.5983554740166813E-2</c:v>
                </c:pt>
                <c:pt idx="29">
                  <c:v>4.7625824552315628E-2</c:v>
                </c:pt>
                <c:pt idx="30">
                  <c:v>4.9268094364464443E-2</c:v>
                </c:pt>
                <c:pt idx="31">
                  <c:v>5.0910364176613258E-2</c:v>
                </c:pt>
                <c:pt idx="32">
                  <c:v>5.2552633988762074E-2</c:v>
                </c:pt>
                <c:pt idx="33">
                  <c:v>5.4194903800910889E-2</c:v>
                </c:pt>
                <c:pt idx="34">
                  <c:v>5.5837173613059704E-2</c:v>
                </c:pt>
                <c:pt idx="35">
                  <c:v>5.7479443425208519E-2</c:v>
                </c:pt>
                <c:pt idx="36">
                  <c:v>5.9121713237357335E-2</c:v>
                </c:pt>
                <c:pt idx="37">
                  <c:v>6.076398304950615E-2</c:v>
                </c:pt>
                <c:pt idx="38">
                  <c:v>6.2406252861654965E-2</c:v>
                </c:pt>
                <c:pt idx="39">
                  <c:v>6.4048522673803773E-2</c:v>
                </c:pt>
                <c:pt idx="40">
                  <c:v>6.5690792485952582E-2</c:v>
                </c:pt>
                <c:pt idx="41">
                  <c:v>6.733306229810139E-2</c:v>
                </c:pt>
                <c:pt idx="42">
                  <c:v>6.8975332110250198E-2</c:v>
                </c:pt>
                <c:pt idx="43">
                  <c:v>7.0617601922399006E-2</c:v>
                </c:pt>
                <c:pt idx="44">
                  <c:v>7.2259871734547815E-2</c:v>
                </c:pt>
                <c:pt idx="45">
                  <c:v>7.3902141546696623E-2</c:v>
                </c:pt>
                <c:pt idx="46">
                  <c:v>7.5544411358845431E-2</c:v>
                </c:pt>
                <c:pt idx="47">
                  <c:v>7.718668117099424E-2</c:v>
                </c:pt>
                <c:pt idx="48">
                  <c:v>7.8828950983143048E-2</c:v>
                </c:pt>
                <c:pt idx="49">
                  <c:v>8.0471220795291856E-2</c:v>
                </c:pt>
                <c:pt idx="50">
                  <c:v>8.2113490607440665E-2</c:v>
                </c:pt>
              </c:numCache>
            </c:numRef>
          </c:xVal>
          <c:yVal>
            <c:numRef>
              <c:f>'Fan Data &amp; Deformation'!$D$63:$D$113</c:f>
              <c:numCache>
                <c:formatCode>0.00E+00</c:formatCode>
                <c:ptCount val="51"/>
                <c:pt idx="0">
                  <c:v>0</c:v>
                </c:pt>
                <c:pt idx="1">
                  <c:v>-3.3626235146490396E-7</c:v>
                </c:pt>
                <c:pt idx="2">
                  <c:v>-9.0815516960059903E-7</c:v>
                </c:pt>
                <c:pt idx="3">
                  <c:v>-1.6845090218310688E-6</c:v>
                </c:pt>
                <c:pt idx="4">
                  <c:v>-2.6354808344133175E-6</c:v>
                </c:pt>
                <c:pt idx="5">
                  <c:v>-3.7325538924373732E-6</c:v>
                </c:pt>
                <c:pt idx="6">
                  <c:v>-4.9485378398262847E-6</c:v>
                </c:pt>
                <c:pt idx="7">
                  <c:v>-6.2575686793361234E-6</c:v>
                </c:pt>
                <c:pt idx="8">
                  <c:v>-7.6351087725559823E-6</c:v>
                </c:pt>
                <c:pt idx="9">
                  <c:v>-9.0579468399079764E-6</c:v>
                </c:pt>
                <c:pt idx="10">
                  <c:v>-1.0504197960647247E-5</c:v>
                </c:pt>
                <c:pt idx="11">
                  <c:v>-1.1953303572861943E-5</c:v>
                </c:pt>
                <c:pt idx="12">
                  <c:v>-1.3386031473473259E-5</c:v>
                </c:pt>
                <c:pt idx="13">
                  <c:v>-1.4784475818235389E-5</c:v>
                </c:pt>
                <c:pt idx="14">
                  <c:v>-1.6132057121735558E-5</c:v>
                </c:pt>
                <c:pt idx="15">
                  <c:v>-1.7413522257394016E-5</c:v>
                </c:pt>
                <c:pt idx="16">
                  <c:v>-1.8614944457464037E-5</c:v>
                </c:pt>
                <c:pt idx="17">
                  <c:v>-1.972372331303191E-5</c:v>
                </c:pt>
                <c:pt idx="18">
                  <c:v>-2.0728584774016931E-5</c:v>
                </c:pt>
                <c:pt idx="19">
                  <c:v>-2.161958114917145E-5</c:v>
                </c:pt>
                <c:pt idx="20">
                  <c:v>-2.238809110608083E-5</c:v>
                </c:pt>
                <c:pt idx="21">
                  <c:v>-2.3026819671163432E-5</c:v>
                </c:pt>
                <c:pt idx="22">
                  <c:v>-2.3529798229670681E-5</c:v>
                </c:pt>
                <c:pt idx="23">
                  <c:v>-2.3892384525686965E-5</c:v>
                </c:pt>
                <c:pt idx="24">
                  <c:v>-2.4111262662129768E-5</c:v>
                </c:pt>
                <c:pt idx="25">
                  <c:v>-2.4184443100749537E-5</c:v>
                </c:pt>
                <c:pt idx="26">
                  <c:v>-2.4111262662129761E-5</c:v>
                </c:pt>
                <c:pt idx="27">
                  <c:v>-2.3892384525686975E-5</c:v>
                </c:pt>
                <c:pt idx="28">
                  <c:v>-2.352979822967067E-5</c:v>
                </c:pt>
                <c:pt idx="29">
                  <c:v>-2.3026819671163439E-5</c:v>
                </c:pt>
                <c:pt idx="30">
                  <c:v>-2.2388091106080823E-5</c:v>
                </c:pt>
                <c:pt idx="31">
                  <c:v>-2.1619581149171416E-5</c:v>
                </c:pt>
                <c:pt idx="32">
                  <c:v>-2.0728584774016921E-5</c:v>
                </c:pt>
                <c:pt idx="33">
                  <c:v>-1.9723723313031863E-5</c:v>
                </c:pt>
                <c:pt idx="34">
                  <c:v>-1.8614944457464E-5</c:v>
                </c:pt>
                <c:pt idx="35">
                  <c:v>-1.7413522257394036E-5</c:v>
                </c:pt>
                <c:pt idx="36">
                  <c:v>-1.6132057121735541E-5</c:v>
                </c:pt>
                <c:pt idx="37">
                  <c:v>-1.4784475818235406E-5</c:v>
                </c:pt>
                <c:pt idx="38">
                  <c:v>-1.3386031473473222E-5</c:v>
                </c:pt>
                <c:pt idx="39">
                  <c:v>-1.1953303572861951E-5</c:v>
                </c:pt>
                <c:pt idx="40">
                  <c:v>-1.0504197960647279E-5</c:v>
                </c:pt>
                <c:pt idx="41">
                  <c:v>-9.0579468399079747E-6</c:v>
                </c:pt>
                <c:pt idx="42">
                  <c:v>-7.6351087725560162E-6</c:v>
                </c:pt>
                <c:pt idx="43">
                  <c:v>-6.2575686793361378E-6</c:v>
                </c:pt>
                <c:pt idx="44">
                  <c:v>-4.9485378398263212E-6</c:v>
                </c:pt>
                <c:pt idx="45">
                  <c:v>-3.7325538924373626E-6</c:v>
                </c:pt>
                <c:pt idx="46">
                  <c:v>-2.6354808344133738E-6</c:v>
                </c:pt>
                <c:pt idx="47">
                  <c:v>-1.6845090218311876E-6</c:v>
                </c:pt>
                <c:pt idx="48">
                  <c:v>-9.0815516960058072E-7</c:v>
                </c:pt>
                <c:pt idx="49">
                  <c:v>-3.3626235146488225E-7</c:v>
                </c:pt>
                <c:pt idx="50">
                  <c:v>-1.3216940769347098E-19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7F1-404B-86A9-4368CB995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427400"/>
        <c:axId val="510427792"/>
      </c:scatterChart>
      <c:valAx>
        <c:axId val="510427400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crossAx val="510427792"/>
        <c:crosses val="autoZero"/>
        <c:crossBetween val="midCat"/>
      </c:valAx>
      <c:valAx>
        <c:axId val="510427792"/>
        <c:scaling>
          <c:orientation val="minMax"/>
          <c:max val="0"/>
          <c:min val="-3.0000000000000092E-3"/>
        </c:scaling>
        <c:delete val="0"/>
        <c:axPos val="l"/>
        <c:majorGridlines/>
        <c:numFmt formatCode="#,000E+00" sourceLinked="0"/>
        <c:majorTickMark val="out"/>
        <c:minorTickMark val="none"/>
        <c:tickLblPos val="nextTo"/>
        <c:crossAx val="510427400"/>
        <c:crosses val="autoZero"/>
        <c:crossBetween val="midCat"/>
        <c:majorUnit val="5.0000000000000034E-4"/>
      </c:valAx>
      <c:spPr>
        <a:gradFill flip="none" rotWithShape="1">
          <a:gsLst>
            <a:gs pos="0">
              <a:srgbClr val="FF0000"/>
            </a:gs>
            <a:gs pos="20000">
              <a:srgbClr val="FFFF00"/>
            </a:gs>
            <a:gs pos="83000">
              <a:srgbClr val="92D050"/>
            </a:gs>
          </a:gsLst>
          <a:lin ang="16200000" scaled="1"/>
          <a:tileRect/>
        </a:gradFill>
      </c:spPr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'Fan Data &amp; Deformation'!$E$62</c:f>
              <c:strCache>
                <c:ptCount val="1"/>
                <c:pt idx="0">
                  <c:v>Moment @ d2/2</c:v>
                </c:pt>
              </c:strCache>
            </c:strRef>
          </c:tx>
          <c:marker>
            <c:symbol val="none"/>
          </c:marker>
          <c:xVal>
            <c:numRef>
              <c:f>'Fan Data &amp; Deformation'!$F$63:$F$113</c:f>
              <c:numCache>
                <c:formatCode>0.00E+00</c:formatCode>
                <c:ptCount val="51"/>
                <c:pt idx="0">
                  <c:v>0</c:v>
                </c:pt>
                <c:pt idx="1">
                  <c:v>1.6422698121488139E-3</c:v>
                </c:pt>
                <c:pt idx="2">
                  <c:v>3.2845396242976279E-3</c:v>
                </c:pt>
                <c:pt idx="3">
                  <c:v>4.9268094364464422E-3</c:v>
                </c:pt>
                <c:pt idx="4">
                  <c:v>6.5690792485952557E-3</c:v>
                </c:pt>
                <c:pt idx="5">
                  <c:v>8.2113490607440692E-3</c:v>
                </c:pt>
                <c:pt idx="6">
                  <c:v>9.8536188728928827E-3</c:v>
                </c:pt>
                <c:pt idx="7">
                  <c:v>1.1495888685041696E-2</c:v>
                </c:pt>
                <c:pt idx="8">
                  <c:v>1.313815849719051E-2</c:v>
                </c:pt>
                <c:pt idx="9">
                  <c:v>1.4780428309339323E-2</c:v>
                </c:pt>
                <c:pt idx="10">
                  <c:v>1.6422698121488138E-2</c:v>
                </c:pt>
                <c:pt idx="11">
                  <c:v>1.8064967933636954E-2</c:v>
                </c:pt>
                <c:pt idx="12">
                  <c:v>1.9707237745785769E-2</c:v>
                </c:pt>
                <c:pt idx="13">
                  <c:v>2.1349507557934584E-2</c:v>
                </c:pt>
                <c:pt idx="14">
                  <c:v>2.2991777370083399E-2</c:v>
                </c:pt>
                <c:pt idx="15">
                  <c:v>2.4634047182232215E-2</c:v>
                </c:pt>
                <c:pt idx="16">
                  <c:v>2.627631699438103E-2</c:v>
                </c:pt>
                <c:pt idx="17">
                  <c:v>2.7918586806529845E-2</c:v>
                </c:pt>
                <c:pt idx="18">
                  <c:v>2.956085661867866E-2</c:v>
                </c:pt>
                <c:pt idx="19">
                  <c:v>3.1203126430827476E-2</c:v>
                </c:pt>
                <c:pt idx="20">
                  <c:v>3.2845396242976291E-2</c:v>
                </c:pt>
                <c:pt idx="21">
                  <c:v>3.4487666055125106E-2</c:v>
                </c:pt>
                <c:pt idx="22">
                  <c:v>3.6129935867273921E-2</c:v>
                </c:pt>
                <c:pt idx="23">
                  <c:v>3.7772205679422736E-2</c:v>
                </c:pt>
                <c:pt idx="24">
                  <c:v>3.9414475491571552E-2</c:v>
                </c:pt>
                <c:pt idx="25">
                  <c:v>4.1056745303720367E-2</c:v>
                </c:pt>
                <c:pt idx="26">
                  <c:v>4.2699015115869182E-2</c:v>
                </c:pt>
                <c:pt idx="27">
                  <c:v>4.4341284928017997E-2</c:v>
                </c:pt>
                <c:pt idx="28">
                  <c:v>4.5983554740166813E-2</c:v>
                </c:pt>
                <c:pt idx="29">
                  <c:v>4.7625824552315628E-2</c:v>
                </c:pt>
                <c:pt idx="30">
                  <c:v>4.9268094364464443E-2</c:v>
                </c:pt>
                <c:pt idx="31">
                  <c:v>5.0910364176613258E-2</c:v>
                </c:pt>
                <c:pt idx="32">
                  <c:v>5.2552633988762074E-2</c:v>
                </c:pt>
                <c:pt idx="33">
                  <c:v>5.4194903800910889E-2</c:v>
                </c:pt>
                <c:pt idx="34">
                  <c:v>5.5837173613059704E-2</c:v>
                </c:pt>
                <c:pt idx="35">
                  <c:v>5.7479443425208519E-2</c:v>
                </c:pt>
                <c:pt idx="36">
                  <c:v>5.9121713237357335E-2</c:v>
                </c:pt>
                <c:pt idx="37">
                  <c:v>6.076398304950615E-2</c:v>
                </c:pt>
                <c:pt idx="38">
                  <c:v>6.2406252861654965E-2</c:v>
                </c:pt>
                <c:pt idx="39">
                  <c:v>6.4048522673803773E-2</c:v>
                </c:pt>
                <c:pt idx="40">
                  <c:v>6.5690792485952582E-2</c:v>
                </c:pt>
                <c:pt idx="41">
                  <c:v>6.733306229810139E-2</c:v>
                </c:pt>
                <c:pt idx="42">
                  <c:v>6.8975332110250198E-2</c:v>
                </c:pt>
                <c:pt idx="43">
                  <c:v>7.0617601922399006E-2</c:v>
                </c:pt>
                <c:pt idx="44">
                  <c:v>7.2259871734547815E-2</c:v>
                </c:pt>
                <c:pt idx="45">
                  <c:v>7.3902141546696623E-2</c:v>
                </c:pt>
                <c:pt idx="46">
                  <c:v>7.5544411358845431E-2</c:v>
                </c:pt>
                <c:pt idx="47">
                  <c:v>7.718668117099424E-2</c:v>
                </c:pt>
                <c:pt idx="48">
                  <c:v>7.8828950983143048E-2</c:v>
                </c:pt>
                <c:pt idx="49">
                  <c:v>8.0471220795291856E-2</c:v>
                </c:pt>
                <c:pt idx="50">
                  <c:v>8.2113490607440665E-2</c:v>
                </c:pt>
              </c:numCache>
            </c:numRef>
          </c:xVal>
          <c:yVal>
            <c:numRef>
              <c:f>'Fan Data &amp; Deformation'!$E$63:$E$113</c:f>
              <c:numCache>
                <c:formatCode>0.00E+00</c:formatCode>
                <c:ptCount val="51"/>
                <c:pt idx="0">
                  <c:v>-111.29849295837501</c:v>
                </c:pt>
                <c:pt idx="1">
                  <c:v>-97.804013974193353</c:v>
                </c:pt>
                <c:pt idx="2">
                  <c:v>-84.860330050590534</c:v>
                </c:pt>
                <c:pt idx="3">
                  <c:v>-72.467441187566564</c:v>
                </c:pt>
                <c:pt idx="4">
                  <c:v>-60.625347385121437</c:v>
                </c:pt>
                <c:pt idx="5">
                  <c:v>-49.334048643255151</c:v>
                </c:pt>
                <c:pt idx="6">
                  <c:v>-38.593544961967723</c:v>
                </c:pt>
                <c:pt idx="7">
                  <c:v>-28.403836341259122</c:v>
                </c:pt>
                <c:pt idx="8">
                  <c:v>-18.764922781129371</c:v>
                </c:pt>
                <c:pt idx="9">
                  <c:v>-9.6768042815784696</c:v>
                </c:pt>
                <c:pt idx="10">
                  <c:v>-1.1394808426063747</c:v>
                </c:pt>
                <c:pt idx="11">
                  <c:v>6.8470475357868423</c:v>
                </c:pt>
                <c:pt idx="12">
                  <c:v>14.282780853601224</c:v>
                </c:pt>
                <c:pt idx="13">
                  <c:v>21.167719110836785</c:v>
                </c:pt>
                <c:pt idx="14">
                  <c:v>27.501862307493482</c:v>
                </c:pt>
                <c:pt idx="15">
                  <c:v>33.28521044357133</c:v>
                </c:pt>
                <c:pt idx="16">
                  <c:v>38.517763519070328</c:v>
                </c:pt>
                <c:pt idx="17">
                  <c:v>43.199521533990534</c:v>
                </c:pt>
                <c:pt idx="18">
                  <c:v>47.330484488331805</c:v>
                </c:pt>
                <c:pt idx="19">
                  <c:v>50.910652382094312</c:v>
                </c:pt>
                <c:pt idx="20">
                  <c:v>53.94002521527797</c:v>
                </c:pt>
                <c:pt idx="21">
                  <c:v>56.418602987882693</c:v>
                </c:pt>
                <c:pt idx="22">
                  <c:v>58.346385699908652</c:v>
                </c:pt>
                <c:pt idx="23">
                  <c:v>59.723373351355761</c:v>
                </c:pt>
                <c:pt idx="24">
                  <c:v>60.549565942224021</c:v>
                </c:pt>
                <c:pt idx="25">
                  <c:v>60.824963472513431</c:v>
                </c:pt>
                <c:pt idx="26">
                  <c:v>60.549565942224021</c:v>
                </c:pt>
                <c:pt idx="27">
                  <c:v>59.723373351355761</c:v>
                </c:pt>
                <c:pt idx="28">
                  <c:v>58.346385699908652</c:v>
                </c:pt>
                <c:pt idx="29">
                  <c:v>56.418602987882664</c:v>
                </c:pt>
                <c:pt idx="30">
                  <c:v>53.940025215277856</c:v>
                </c:pt>
                <c:pt idx="31">
                  <c:v>50.910652382094256</c:v>
                </c:pt>
                <c:pt idx="32">
                  <c:v>47.330484488331749</c:v>
                </c:pt>
                <c:pt idx="33">
                  <c:v>43.199521533990421</c:v>
                </c:pt>
                <c:pt idx="34">
                  <c:v>38.517763519070215</c:v>
                </c:pt>
                <c:pt idx="35">
                  <c:v>33.285210443571188</c:v>
                </c:pt>
                <c:pt idx="36">
                  <c:v>27.501862307493283</c:v>
                </c:pt>
                <c:pt idx="37">
                  <c:v>21.167719110836558</c:v>
                </c:pt>
                <c:pt idx="38">
                  <c:v>14.282780853601068</c:v>
                </c:pt>
                <c:pt idx="39">
                  <c:v>6.8470475357866434</c:v>
                </c:pt>
                <c:pt idx="40">
                  <c:v>-1.1394808426064884</c:v>
                </c:pt>
                <c:pt idx="41">
                  <c:v>-9.6768042815786117</c:v>
                </c:pt>
                <c:pt idx="42">
                  <c:v>-18.764922781129556</c:v>
                </c:pt>
                <c:pt idx="43">
                  <c:v>-28.403836341259208</c:v>
                </c:pt>
                <c:pt idx="44">
                  <c:v>-38.593544961967794</c:v>
                </c:pt>
                <c:pt idx="45">
                  <c:v>-49.334048643255144</c:v>
                </c:pt>
                <c:pt idx="46">
                  <c:v>-60.625347385121543</c:v>
                </c:pt>
                <c:pt idx="47">
                  <c:v>-72.467441187566422</c:v>
                </c:pt>
                <c:pt idx="48">
                  <c:v>-84.860330050590463</c:v>
                </c:pt>
                <c:pt idx="49">
                  <c:v>-97.804013974193097</c:v>
                </c:pt>
                <c:pt idx="50">
                  <c:v>-111.29849295837489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F94-4AF0-9235-07C368EC0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428576"/>
        <c:axId val="510428968"/>
      </c:scatterChart>
      <c:valAx>
        <c:axId val="510428576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crossAx val="510428968"/>
        <c:crosses val="autoZero"/>
        <c:crossBetween val="midCat"/>
      </c:valAx>
      <c:valAx>
        <c:axId val="51042896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10428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12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53340</xdr:rowOff>
    </xdr:from>
    <xdr:to>
      <xdr:col>0</xdr:col>
      <xdr:colOff>836331</xdr:colOff>
      <xdr:row>3</xdr:row>
      <xdr:rowOff>60960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xmlns="" id="{061F07B8-E53A-435E-9815-84AEDD635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53340"/>
          <a:ext cx="729651" cy="441960"/>
        </a:xfrm>
        <a:prstGeom prst="rect">
          <a:avLst/>
        </a:prstGeom>
      </xdr:spPr>
    </xdr:pic>
    <xdr:clientData/>
  </xdr:twoCellAnchor>
  <xdr:twoCellAnchor>
    <xdr:from>
      <xdr:col>3</xdr:col>
      <xdr:colOff>68580</xdr:colOff>
      <xdr:row>0</xdr:row>
      <xdr:rowOff>83820</xdr:rowOff>
    </xdr:from>
    <xdr:to>
      <xdr:col>4</xdr:col>
      <xdr:colOff>434340</xdr:colOff>
      <xdr:row>4</xdr:row>
      <xdr:rowOff>60960</xdr:rowOff>
    </xdr:to>
    <xdr:sp macro="" textlink="">
      <xdr:nvSpPr>
        <xdr:cNvPr id="3" name="矩形: 圆角 2">
          <a:extLst>
            <a:ext uri="{FF2B5EF4-FFF2-40B4-BE49-F238E27FC236}">
              <a16:creationId xmlns:a16="http://schemas.microsoft.com/office/drawing/2014/main" xmlns="" id="{8CFA4F3D-9F51-4E18-BDEB-C0982D925C0F}"/>
            </a:ext>
          </a:extLst>
        </xdr:cNvPr>
        <xdr:cNvSpPr/>
      </xdr:nvSpPr>
      <xdr:spPr>
        <a:xfrm>
          <a:off x="4396740" y="83820"/>
          <a:ext cx="1043940" cy="5638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RESET</a:t>
          </a:r>
          <a:endParaRPr lang="zh-CN" altLang="en-US" sz="1100"/>
        </a:p>
      </xdr:txBody>
    </xdr:sp>
    <xdr:clientData/>
  </xdr:twoCellAnchor>
  <xdr:twoCellAnchor>
    <xdr:from>
      <xdr:col>1</xdr:col>
      <xdr:colOff>297180</xdr:colOff>
      <xdr:row>13</xdr:row>
      <xdr:rowOff>53340</xdr:rowOff>
    </xdr:from>
    <xdr:to>
      <xdr:col>4</xdr:col>
      <xdr:colOff>594360</xdr:colOff>
      <xdr:row>16</xdr:row>
      <xdr:rowOff>15240</xdr:rowOff>
    </xdr:to>
    <xdr:sp macro="[0]!Find_Fan" textlink="">
      <xdr:nvSpPr>
        <xdr:cNvPr id="4" name="矩形: 圆角 3">
          <a:extLst>
            <a:ext uri="{FF2B5EF4-FFF2-40B4-BE49-F238E27FC236}">
              <a16:creationId xmlns:a16="http://schemas.microsoft.com/office/drawing/2014/main" xmlns="" id="{6D0E266D-061C-439A-B266-8EDF3BC2D294}"/>
            </a:ext>
          </a:extLst>
        </xdr:cNvPr>
        <xdr:cNvSpPr/>
      </xdr:nvSpPr>
      <xdr:spPr>
        <a:xfrm>
          <a:off x="3611880" y="2011680"/>
          <a:ext cx="1988820" cy="4191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Select</a:t>
          </a:r>
          <a:r>
            <a:rPr lang="en-US" altLang="zh-CN" sz="1100" baseline="0"/>
            <a:t> Fan TYPE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1024911</xdr:colOff>
      <xdr:row>23</xdr:row>
      <xdr:rowOff>21724</xdr:rowOff>
    </xdr:from>
    <xdr:to>
      <xdr:col>4</xdr:col>
      <xdr:colOff>1016000</xdr:colOff>
      <xdr:row>27</xdr:row>
      <xdr:rowOff>178246</xdr:rowOff>
    </xdr:to>
    <xdr:sp macro="[0]!Find_Fan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4578683" y="5681022"/>
          <a:ext cx="3065826" cy="958628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2400" b="1">
              <a:solidFill>
                <a:sysClr val="windowText" lastClr="000000"/>
              </a:solidFill>
            </a:rPr>
            <a:t>Find Fan</a:t>
          </a:r>
          <a:endParaRPr lang="da-D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412751</xdr:colOff>
      <xdr:row>35</xdr:row>
      <xdr:rowOff>21167</xdr:rowOff>
    </xdr:from>
    <xdr:to>
      <xdr:col>4</xdr:col>
      <xdr:colOff>1005417</xdr:colOff>
      <xdr:row>37</xdr:row>
      <xdr:rowOff>190500</xdr:rowOff>
    </xdr:to>
    <xdr:sp macro="[0]!Create_file" textlink="">
      <xdr:nvSpPr>
        <xdr:cNvPr id="4" name="Rounded Rectangl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3968751" y="8096250"/>
          <a:ext cx="3672416" cy="5715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2400" b="1">
              <a:solidFill>
                <a:sysClr val="windowText" lastClr="000000"/>
              </a:solidFill>
            </a:rPr>
            <a:t>Create Fan File</a:t>
          </a:r>
          <a:endParaRPr lang="da-D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21166</xdr:colOff>
      <xdr:row>35</xdr:row>
      <xdr:rowOff>10584</xdr:rowOff>
    </xdr:from>
    <xdr:to>
      <xdr:col>1</xdr:col>
      <xdr:colOff>391583</xdr:colOff>
      <xdr:row>37</xdr:row>
      <xdr:rowOff>190500</xdr:rowOff>
    </xdr:to>
    <xdr:sp macro="[0]!View_Curves" textlink="">
      <xdr:nvSpPr>
        <xdr:cNvPr id="5" name="Rounded Rectangl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21166" y="8085667"/>
          <a:ext cx="3926417" cy="582083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2400" b="1">
              <a:solidFill>
                <a:sysClr val="windowText" lastClr="000000"/>
              </a:solidFill>
            </a:rPr>
            <a:t>Select Fan &amp; View Curves</a:t>
          </a:r>
        </a:p>
      </xdr:txBody>
    </xdr:sp>
    <xdr:clientData/>
  </xdr:twoCellAnchor>
  <xdr:oneCellAnchor>
    <xdr:from>
      <xdr:col>11</xdr:col>
      <xdr:colOff>95250</xdr:colOff>
      <xdr:row>3</xdr:row>
      <xdr:rowOff>111125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 txBox="1"/>
      </xdr:nvSpPr>
      <xdr:spPr>
        <a:xfrm>
          <a:off x="10302875" y="1444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a-DK" sz="1100" b="0" i="1"/>
        </a:p>
      </xdr:txBody>
    </xdr:sp>
    <xdr:clientData/>
  </xdr:oneCellAnchor>
  <xdr:oneCellAnchor>
    <xdr:from>
      <xdr:col>21</xdr:col>
      <xdr:colOff>333375</xdr:colOff>
      <xdr:row>3</xdr:row>
      <xdr:rowOff>142875</xdr:rowOff>
    </xdr:from>
    <xdr:ext cx="2288383" cy="405432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9399250" y="1476375"/>
          <a:ext cx="228838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da-DK" sz="2000" i="1"/>
            <a:t>Standard</a:t>
          </a:r>
          <a:r>
            <a:rPr lang="da-DK" sz="2000" i="1" baseline="0"/>
            <a:t> Conditions</a:t>
          </a:r>
          <a:endParaRPr lang="da-DK" sz="1200" i="1"/>
        </a:p>
      </xdr:txBody>
    </xdr:sp>
    <xdr:clientData/>
  </xdr:oneCellAnchor>
  <xdr:twoCellAnchor>
    <xdr:from>
      <xdr:col>2</xdr:col>
      <xdr:colOff>15874</xdr:colOff>
      <xdr:row>3</xdr:row>
      <xdr:rowOff>10584</xdr:rowOff>
    </xdr:from>
    <xdr:to>
      <xdr:col>2</xdr:col>
      <xdr:colOff>1016000</xdr:colOff>
      <xdr:row>3</xdr:row>
      <xdr:rowOff>492125</xdr:rowOff>
    </xdr:to>
    <xdr:sp macro="[0]!Reset_Units_Data" textlink="">
      <xdr:nvSpPr>
        <xdr:cNvPr id="14" name="Rectangle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4598457" y="1354667"/>
          <a:ext cx="1000126" cy="48154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a-DK" sz="1100"/>
        </a:p>
      </xdr:txBody>
    </xdr:sp>
    <xdr:clientData/>
  </xdr:twoCellAnchor>
  <xdr:twoCellAnchor>
    <xdr:from>
      <xdr:col>15</xdr:col>
      <xdr:colOff>407459</xdr:colOff>
      <xdr:row>4</xdr:row>
      <xdr:rowOff>10583</xdr:rowOff>
    </xdr:from>
    <xdr:to>
      <xdr:col>16</xdr:col>
      <xdr:colOff>385232</xdr:colOff>
      <xdr:row>8</xdr:row>
      <xdr:rowOff>21167</xdr:rowOff>
    </xdr:to>
    <xdr:sp macro="[0]!New_Customer" textlink="">
      <xdr:nvSpPr>
        <xdr:cNvPr id="15" name="Rounded Rectangle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7626542" y="1852083"/>
          <a:ext cx="1004357" cy="814917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200" b="1"/>
            <a:t>New Customer</a:t>
          </a:r>
          <a:endParaRPr lang="da-DK" sz="800" b="1"/>
        </a:p>
      </xdr:txBody>
    </xdr:sp>
    <xdr:clientData/>
  </xdr:twoCellAnchor>
  <xdr:twoCellAnchor>
    <xdr:from>
      <xdr:col>15</xdr:col>
      <xdr:colOff>412749</xdr:colOff>
      <xdr:row>8</xdr:row>
      <xdr:rowOff>42334</xdr:rowOff>
    </xdr:from>
    <xdr:to>
      <xdr:col>16</xdr:col>
      <xdr:colOff>391582</xdr:colOff>
      <xdr:row>12</xdr:row>
      <xdr:rowOff>52917</xdr:rowOff>
    </xdr:to>
    <xdr:sp macro="[0]!New_Order" textlink="">
      <xdr:nvSpPr>
        <xdr:cNvPr id="16" name="Rounded Rectangle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7631832" y="2688167"/>
          <a:ext cx="1005417" cy="814917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200" b="1"/>
            <a:t>New Order</a:t>
          </a:r>
          <a:endParaRPr lang="da-DK" sz="800" b="1"/>
        </a:p>
      </xdr:txBody>
    </xdr:sp>
    <xdr:clientData/>
  </xdr:twoCellAnchor>
  <xdr:twoCellAnchor>
    <xdr:from>
      <xdr:col>15</xdr:col>
      <xdr:colOff>402167</xdr:colOff>
      <xdr:row>12</xdr:row>
      <xdr:rowOff>63498</xdr:rowOff>
    </xdr:from>
    <xdr:to>
      <xdr:col>16</xdr:col>
      <xdr:colOff>381000</xdr:colOff>
      <xdr:row>16</xdr:row>
      <xdr:rowOff>74082</xdr:rowOff>
    </xdr:to>
    <xdr:sp macro="[0]!Reset_Units_Data" textlink="">
      <xdr:nvSpPr>
        <xdr:cNvPr id="12" name="Rounded Rectangle 16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17621250" y="3513665"/>
          <a:ext cx="1005417" cy="814917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200" b="1"/>
            <a:t>Reset</a:t>
          </a:r>
          <a:r>
            <a:rPr lang="da-DK" sz="1200" b="1" baseline="0"/>
            <a:t> Units &amp; Data</a:t>
          </a:r>
          <a:endParaRPr lang="da-DK" sz="800" b="1"/>
        </a:p>
      </xdr:txBody>
    </xdr:sp>
    <xdr:clientData/>
  </xdr:twoCellAnchor>
  <xdr:twoCellAnchor>
    <xdr:from>
      <xdr:col>6</xdr:col>
      <xdr:colOff>21770</xdr:colOff>
      <xdr:row>2</xdr:row>
      <xdr:rowOff>21772</xdr:rowOff>
    </xdr:from>
    <xdr:to>
      <xdr:col>15</xdr:col>
      <xdr:colOff>418645</xdr:colOff>
      <xdr:row>40</xdr:row>
      <xdr:rowOff>21772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984250</xdr:colOff>
      <xdr:row>40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21167</xdr:colOff>
      <xdr:row>29</xdr:row>
      <xdr:rowOff>10583</xdr:rowOff>
    </xdr:from>
    <xdr:to>
      <xdr:col>3</xdr:col>
      <xdr:colOff>529166</xdr:colOff>
      <xdr:row>34</xdr:row>
      <xdr:rowOff>0</xdr:rowOff>
    </xdr:to>
    <xdr:sp macro="[0]!Load_BERGJET_Fan_Builder" textlink="">
      <xdr:nvSpPr>
        <xdr:cNvPr id="13" name="Rounded Rectangle 11">
          <a:extLst>
            <a:ext uri="{FF2B5EF4-FFF2-40B4-BE49-F238E27FC236}">
              <a16:creationId xmlns:a16="http://schemas.microsoft.com/office/drawing/2014/main" xmlns="" id="{5AABC992-9F52-40BC-8A71-09CD12A8324D}"/>
            </a:ext>
          </a:extLst>
        </xdr:cNvPr>
        <xdr:cNvSpPr/>
      </xdr:nvSpPr>
      <xdr:spPr>
        <a:xfrm>
          <a:off x="4603750" y="6879166"/>
          <a:ext cx="1534583" cy="994834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2400" b="1">
              <a:solidFill>
                <a:sysClr val="windowText" lastClr="000000"/>
              </a:solidFill>
            </a:rPr>
            <a:t>Load </a:t>
          </a:r>
          <a:r>
            <a:rPr lang="da-DK" sz="2400" b="1" baseline="0">
              <a:solidFill>
                <a:sysClr val="windowText" lastClr="000000"/>
              </a:solidFill>
            </a:rPr>
            <a:t>FB</a:t>
          </a:r>
        </a:p>
      </xdr:txBody>
    </xdr:sp>
    <xdr:clientData/>
  </xdr:twoCellAnchor>
  <xdr:twoCellAnchor>
    <xdr:from>
      <xdr:col>3</xdr:col>
      <xdr:colOff>543984</xdr:colOff>
      <xdr:row>29</xdr:row>
      <xdr:rowOff>14817</xdr:rowOff>
    </xdr:from>
    <xdr:to>
      <xdr:col>5</xdr:col>
      <xdr:colOff>25401</xdr:colOff>
      <xdr:row>34</xdr:row>
      <xdr:rowOff>4234</xdr:rowOff>
    </xdr:to>
    <xdr:sp macro="[0]!Load_BERGJET_Fan_Cost_Calculator" textlink="">
      <xdr:nvSpPr>
        <xdr:cNvPr id="17" name="Rounded Rectangle 12">
          <a:extLst>
            <a:ext uri="{FF2B5EF4-FFF2-40B4-BE49-F238E27FC236}">
              <a16:creationId xmlns:a16="http://schemas.microsoft.com/office/drawing/2014/main" xmlns="" id="{9C9983AE-1776-4632-BF6F-6D3E96D772E3}"/>
            </a:ext>
          </a:extLst>
        </xdr:cNvPr>
        <xdr:cNvSpPr/>
      </xdr:nvSpPr>
      <xdr:spPr>
        <a:xfrm>
          <a:off x="6153151" y="6883400"/>
          <a:ext cx="1534583" cy="994834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2400" b="1">
              <a:solidFill>
                <a:sysClr val="windowText" lastClr="000000"/>
              </a:solidFill>
            </a:rPr>
            <a:t>Load </a:t>
          </a:r>
          <a:r>
            <a:rPr lang="da-DK" sz="2400" b="1" baseline="0">
              <a:solidFill>
                <a:sysClr val="windowText" lastClr="000000"/>
              </a:solidFill>
            </a:rPr>
            <a:t>FCC</a:t>
          </a:r>
        </a:p>
      </xdr:txBody>
    </xdr:sp>
    <xdr:clientData/>
  </xdr:twoCellAnchor>
  <xdr:twoCellAnchor editAs="oneCell">
    <xdr:from>
      <xdr:col>0</xdr:col>
      <xdr:colOff>32657</xdr:colOff>
      <xdr:row>1</xdr:row>
      <xdr:rowOff>402771</xdr:rowOff>
    </xdr:from>
    <xdr:to>
      <xdr:col>0</xdr:col>
      <xdr:colOff>925286</xdr:colOff>
      <xdr:row>3</xdr:row>
      <xdr:rowOff>18163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xmlns="" id="{3A0DBD6A-B4DC-4FB4-AFC5-24A0A295E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7" y="827314"/>
          <a:ext cx="892629" cy="540678"/>
        </a:xfrm>
        <a:prstGeom prst="rect">
          <a:avLst/>
        </a:prstGeom>
      </xdr:spPr>
    </xdr:pic>
    <xdr:clientData/>
  </xdr:twoCellAnchor>
  <xdr:twoCellAnchor editAs="oneCell">
    <xdr:from>
      <xdr:col>17</xdr:col>
      <xdr:colOff>185058</xdr:colOff>
      <xdr:row>2</xdr:row>
      <xdr:rowOff>54429</xdr:rowOff>
    </xdr:from>
    <xdr:to>
      <xdr:col>17</xdr:col>
      <xdr:colOff>1077687</xdr:colOff>
      <xdr:row>3</xdr:row>
      <xdr:rowOff>94364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xmlns="" id="{EE2AE8CD-A349-4748-9FC8-9BFCAAC73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85972" y="903515"/>
          <a:ext cx="892629" cy="540678"/>
        </a:xfrm>
        <a:prstGeom prst="rect">
          <a:avLst/>
        </a:prstGeom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0.39355</cdr:x>
      <cdr:y>0.1156</cdr:y>
    </cdr:from>
    <cdr:to>
      <cdr:x>0.42194</cdr:x>
      <cdr:y>0.15229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866B006D-5E4F-486F-A86A-16B8F057C23A}"/>
            </a:ext>
          </a:extLst>
        </cdr:cNvPr>
        <cdr:cNvSpPr txBox="1"/>
      </cdr:nvSpPr>
      <cdr:spPr>
        <a:xfrm xmlns:a="http://schemas.openxmlformats.org/drawingml/2006/main">
          <a:off x="3631406" y="750092"/>
          <a:ext cx="261938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0.38323</cdr:x>
      <cdr:y>0.08257</cdr:y>
    </cdr:from>
    <cdr:to>
      <cdr:x>0.61032</cdr:x>
      <cdr:y>0.13761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B47577AE-94BE-4131-BB5B-5C3636C4AE53}"/>
            </a:ext>
          </a:extLst>
        </cdr:cNvPr>
        <cdr:cNvSpPr txBox="1"/>
      </cdr:nvSpPr>
      <cdr:spPr>
        <a:xfrm xmlns:a="http://schemas.openxmlformats.org/drawingml/2006/main">
          <a:off x="3536156" y="535781"/>
          <a:ext cx="2095499" cy="3571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da-DK" sz="2000" i="1"/>
            <a:t>Operating Conditions</a:t>
          </a:r>
        </a:p>
      </cdr:txBody>
    </cdr:sp>
  </cdr:relSizeAnchor>
  <cdr:relSizeAnchor xmlns:cdr="http://schemas.openxmlformats.org/drawingml/2006/chartDrawing">
    <cdr:from>
      <cdr:x>0.0184</cdr:x>
      <cdr:y>0.00766</cdr:y>
    </cdr:from>
    <cdr:to>
      <cdr:x>0.1609</cdr:x>
      <cdr:y>0.10697</cdr:y>
    </cdr:to>
    <cdr:pic>
      <cdr:nvPicPr>
        <cdr:cNvPr id="5" name="图片 4">
          <a:extLst xmlns:a="http://schemas.openxmlformats.org/drawingml/2006/main">
            <a:ext uri="{FF2B5EF4-FFF2-40B4-BE49-F238E27FC236}">
              <a16:creationId xmlns:a16="http://schemas.microsoft.com/office/drawing/2014/main" xmlns="" id="{3A0DBD6A-B4DC-4FB4-AFC5-24A0A295E9E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70542" y="61686"/>
          <a:ext cx="1320801" cy="800028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0.42452</cdr:x>
      <cdr:y>0.11743</cdr:y>
    </cdr:from>
    <cdr:to>
      <cdr:x>0.52361</cdr:x>
      <cdr:y>0.15596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7BDA516C-8FA5-4C0A-B2D7-3EF5FABCCA7C}"/>
            </a:ext>
          </a:extLst>
        </cdr:cNvPr>
        <cdr:cNvSpPr txBox="1"/>
      </cdr:nvSpPr>
      <cdr:spPr>
        <a:xfrm xmlns:a="http://schemas.openxmlformats.org/drawingml/2006/main">
          <a:off x="3917156" y="762000"/>
          <a:ext cx="914400" cy="2500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0.3871</cdr:x>
      <cdr:y>0.08073</cdr:y>
    </cdr:from>
    <cdr:to>
      <cdr:x>0.62968</cdr:x>
      <cdr:y>0.13761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DFAB43BB-3FC8-46F1-8672-E0B666349D8A}"/>
            </a:ext>
          </a:extLst>
        </cdr:cNvPr>
        <cdr:cNvSpPr txBox="1"/>
      </cdr:nvSpPr>
      <cdr:spPr>
        <a:xfrm xmlns:a="http://schemas.openxmlformats.org/drawingml/2006/main">
          <a:off x="3571874" y="523874"/>
          <a:ext cx="2238375" cy="3690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da-DK" sz="2000" i="1"/>
            <a:t>Standard Conditions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35</xdr:row>
      <xdr:rowOff>0</xdr:rowOff>
    </xdr:from>
    <xdr:to>
      <xdr:col>31</xdr:col>
      <xdr:colOff>204107</xdr:colOff>
      <xdr:row>68</xdr:row>
      <xdr:rowOff>13608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</xdr:row>
      <xdr:rowOff>0</xdr:rowOff>
    </xdr:from>
    <xdr:to>
      <xdr:col>15</xdr:col>
      <xdr:colOff>843642</xdr:colOff>
      <xdr:row>38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0.55348</cdr:x>
      <cdr:y>0.29356</cdr:y>
    </cdr:from>
    <cdr:to>
      <cdr:x>0.91751</cdr:x>
      <cdr:y>0.37117</cdr:y>
    </cdr:to>
    <cdr:grpSp>
      <cdr:nvGrpSpPr>
        <cdr:cNvPr id="10" name="Group 9">
          <a:extLst xmlns:a="http://schemas.openxmlformats.org/drawingml/2006/main">
            <a:ext uri="{FF2B5EF4-FFF2-40B4-BE49-F238E27FC236}">
              <a16:creationId xmlns:a16="http://schemas.microsoft.com/office/drawing/2014/main" xmlns="" id="{700C2B00-573D-45E3-83DC-46A767506680}"/>
            </a:ext>
          </a:extLst>
        </cdr:cNvPr>
        <cdr:cNvGrpSpPr/>
      </cdr:nvGrpSpPr>
      <cdr:grpSpPr>
        <a:xfrm xmlns:a="http://schemas.openxmlformats.org/drawingml/2006/main">
          <a:off x="8823649" y="1789542"/>
          <a:ext cx="5803413" cy="473110"/>
          <a:chOff x="6091363" y="3516841"/>
          <a:chExt cx="4031414" cy="563790"/>
        </a:xfrm>
      </cdr:grpSpPr>
      <cdr:sp macro="" textlink="">
        <cdr:nvSpPr>
          <cdr:cNvPr id="2" name="TextBox 1">
            <a:extLst xmlns:a="http://schemas.openxmlformats.org/drawingml/2006/main">
              <a:ext uri="{FF2B5EF4-FFF2-40B4-BE49-F238E27FC236}">
                <a16:creationId xmlns:a16="http://schemas.microsoft.com/office/drawing/2014/main" xmlns="" id="{0A032BD0-DEFA-472E-86C7-3417C4AB5641}"/>
              </a:ext>
            </a:extLst>
          </cdr:cNvPr>
          <cdr:cNvSpPr txBox="1"/>
        </cdr:nvSpPr>
        <cdr:spPr>
          <a:xfrm xmlns:a="http://schemas.openxmlformats.org/drawingml/2006/main">
            <a:off x="7553037" y="3609702"/>
            <a:ext cx="959154" cy="367506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none" rtlCol="0"/>
          <a:lstStyle xmlns:a="http://schemas.openxmlformats.org/drawingml/2006/main"/>
          <a:p xmlns:a="http://schemas.openxmlformats.org/drawingml/2006/main">
            <a:r>
              <a:rPr lang="da-DK" sz="1600"/>
              <a:t>AXIAL  FANS</a:t>
            </a:r>
          </a:p>
        </cdr:txBody>
      </cdr:sp>
      <cdr:sp macro="" textlink="">
        <cdr:nvSpPr>
          <cdr:cNvPr id="3" name="Right Arrow 2">
            <a:extLst xmlns:a="http://schemas.openxmlformats.org/drawingml/2006/main">
              <a:ext uri="{FF2B5EF4-FFF2-40B4-BE49-F238E27FC236}">
                <a16:creationId xmlns:a16="http://schemas.microsoft.com/office/drawing/2014/main" xmlns="" id="{EB79BC4C-9E4B-40EB-90E4-93EFACD34120}"/>
              </a:ext>
            </a:extLst>
          </cdr:cNvPr>
          <cdr:cNvSpPr/>
        </cdr:nvSpPr>
        <cdr:spPr>
          <a:xfrm xmlns:a="http://schemas.openxmlformats.org/drawingml/2006/main">
            <a:off x="9483562" y="3516841"/>
            <a:ext cx="639215" cy="563790"/>
          </a:xfrm>
          <a:prstGeom xmlns:a="http://schemas.openxmlformats.org/drawingml/2006/main" prst="rightArrow">
            <a:avLst/>
          </a:prstGeom>
          <a:solidFill xmlns:a="http://schemas.openxmlformats.org/drawingml/2006/main">
            <a:srgbClr val="FF0000"/>
          </a:solidFill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da-DK"/>
          </a:p>
        </cdr:txBody>
      </cdr:sp>
      <cdr:sp macro="" textlink="">
        <cdr:nvSpPr>
          <cdr:cNvPr id="5" name="Right Arrow 4">
            <a:extLst xmlns:a="http://schemas.openxmlformats.org/drawingml/2006/main">
              <a:ext uri="{FF2B5EF4-FFF2-40B4-BE49-F238E27FC236}">
                <a16:creationId xmlns:a16="http://schemas.microsoft.com/office/drawing/2014/main" xmlns="" id="{4ED5FAA0-1BAB-4276-A299-E511F2C560C6}"/>
              </a:ext>
            </a:extLst>
          </cdr:cNvPr>
          <cdr:cNvSpPr/>
        </cdr:nvSpPr>
        <cdr:spPr>
          <a:xfrm xmlns:a="http://schemas.openxmlformats.org/drawingml/2006/main" rot="10800000">
            <a:off x="6091363" y="3516841"/>
            <a:ext cx="639214" cy="563790"/>
          </a:xfrm>
          <a:prstGeom xmlns:a="http://schemas.openxmlformats.org/drawingml/2006/main" prst="rightArrow">
            <a:avLst/>
          </a:prstGeom>
          <a:solidFill xmlns:a="http://schemas.openxmlformats.org/drawingml/2006/main">
            <a:srgbClr val="FF0000"/>
          </a:solidFill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da-DK"/>
          </a:p>
        </cdr:txBody>
      </cdr:sp>
    </cdr:grpSp>
  </cdr:relSizeAnchor>
  <cdr:relSizeAnchor xmlns:cdr="http://schemas.openxmlformats.org/drawingml/2006/chartDrawing">
    <cdr:from>
      <cdr:x>0.14242</cdr:x>
      <cdr:y>0.29152</cdr:y>
    </cdr:from>
    <cdr:to>
      <cdr:x>0.45396</cdr:x>
      <cdr:y>0.36947</cdr:y>
    </cdr:to>
    <cdr:grpSp>
      <cdr:nvGrpSpPr>
        <cdr:cNvPr id="9" name="Group 8">
          <a:extLst xmlns:a="http://schemas.openxmlformats.org/drawingml/2006/main">
            <a:ext uri="{FF2B5EF4-FFF2-40B4-BE49-F238E27FC236}">
              <a16:creationId xmlns:a16="http://schemas.microsoft.com/office/drawing/2014/main" xmlns="" id="{2952BFBC-DEFF-49DC-9F4A-8B88A9A30A55}"/>
            </a:ext>
          </a:extLst>
        </cdr:cNvPr>
        <cdr:cNvGrpSpPr/>
      </cdr:nvGrpSpPr>
      <cdr:grpSpPr>
        <a:xfrm xmlns:a="http://schemas.openxmlformats.org/drawingml/2006/main">
          <a:off x="2270478" y="1777106"/>
          <a:ext cx="4966610" cy="475183"/>
          <a:chOff x="1526385" y="3502021"/>
          <a:chExt cx="3450118" cy="566260"/>
        </a:xfrm>
      </cdr:grpSpPr>
      <cdr:sp macro="" textlink="">
        <cdr:nvSpPr>
          <cdr:cNvPr id="4" name="Right Arrow 3">
            <a:extLst xmlns:a="http://schemas.openxmlformats.org/drawingml/2006/main">
              <a:ext uri="{FF2B5EF4-FFF2-40B4-BE49-F238E27FC236}">
                <a16:creationId xmlns:a16="http://schemas.microsoft.com/office/drawing/2014/main" xmlns="" id="{858A3FD2-C41D-4F75-945B-51004081D6CC}"/>
              </a:ext>
            </a:extLst>
          </cdr:cNvPr>
          <cdr:cNvSpPr/>
        </cdr:nvSpPr>
        <cdr:spPr>
          <a:xfrm xmlns:a="http://schemas.openxmlformats.org/drawingml/2006/main">
            <a:off x="4353236" y="3502021"/>
            <a:ext cx="623267" cy="563863"/>
          </a:xfrm>
          <a:prstGeom xmlns:a="http://schemas.openxmlformats.org/drawingml/2006/main" prst="rightArrow">
            <a:avLst>
              <a:gd name="adj1" fmla="val 50000"/>
              <a:gd name="adj2" fmla="val 50000"/>
            </a:avLst>
          </a:prstGeom>
          <a:solidFill xmlns:a="http://schemas.openxmlformats.org/drawingml/2006/main">
            <a:srgbClr val="00B050"/>
          </a:solidFill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da-DK"/>
          </a:p>
        </cdr:txBody>
      </cdr:sp>
      <cdr:sp macro="" textlink="">
        <cdr:nvSpPr>
          <cdr:cNvPr id="6" name="Right Arrow 5">
            <a:extLst xmlns:a="http://schemas.openxmlformats.org/drawingml/2006/main">
              <a:ext uri="{FF2B5EF4-FFF2-40B4-BE49-F238E27FC236}">
                <a16:creationId xmlns:a16="http://schemas.microsoft.com/office/drawing/2014/main" xmlns="" id="{6F5B6931-F552-4DAA-AE56-13DE7DDC91AB}"/>
              </a:ext>
            </a:extLst>
          </cdr:cNvPr>
          <cdr:cNvSpPr/>
        </cdr:nvSpPr>
        <cdr:spPr>
          <a:xfrm xmlns:a="http://schemas.openxmlformats.org/drawingml/2006/main" rot="10800000">
            <a:off x="1526385" y="3504419"/>
            <a:ext cx="639214" cy="563862"/>
          </a:xfrm>
          <a:prstGeom xmlns:a="http://schemas.openxmlformats.org/drawingml/2006/main" prst="rightArrow">
            <a:avLst/>
          </a:prstGeom>
          <a:solidFill xmlns:a="http://schemas.openxmlformats.org/drawingml/2006/main">
            <a:srgbClr val="00B050"/>
          </a:solidFill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da-DK"/>
          </a:p>
        </cdr:txBody>
      </cdr:sp>
      <cdr:sp macro="" textlink="">
        <cdr:nvSpPr>
          <cdr:cNvPr id="7" name="TextBox 1">
            <a:extLst xmlns:a="http://schemas.openxmlformats.org/drawingml/2006/main">
              <a:ext uri="{FF2B5EF4-FFF2-40B4-BE49-F238E27FC236}">
                <a16:creationId xmlns:a16="http://schemas.microsoft.com/office/drawing/2014/main" xmlns="" id="{24C26327-A07C-4947-B063-22AF0733E2F7}"/>
              </a:ext>
            </a:extLst>
          </cdr:cNvPr>
          <cdr:cNvSpPr txBox="1"/>
        </cdr:nvSpPr>
        <cdr:spPr>
          <a:xfrm xmlns:a="http://schemas.openxmlformats.org/drawingml/2006/main">
            <a:off x="2319778" y="3606941"/>
            <a:ext cx="1345207" cy="348256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da-DK" sz="1600"/>
              <a:t>CENTRIFUGAL  FANS</a:t>
            </a:r>
          </a:p>
        </cdr:txBody>
      </cdr:sp>
    </cdr:grpSp>
  </cdr:relSizeAnchor>
  <cdr:relSizeAnchor xmlns:cdr="http://schemas.openxmlformats.org/drawingml/2006/chartDrawing">
    <cdr:from>
      <cdr:x>0.04036</cdr:x>
      <cdr:y>0.53519</cdr:y>
    </cdr:from>
    <cdr:to>
      <cdr:x>0.06949</cdr:x>
      <cdr:y>0.6809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B28977D9-E75A-4D9F-A683-86E6218B745A}"/>
            </a:ext>
          </a:extLst>
        </cdr:cNvPr>
        <cdr:cNvSpPr txBox="1"/>
      </cdr:nvSpPr>
      <cdr:spPr>
        <a:xfrm xmlns:a="http://schemas.openxmlformats.org/drawingml/2006/main" rot="16200000">
          <a:off x="135399" y="5996280"/>
          <a:ext cx="1492990" cy="4677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a-DK" sz="1600"/>
            <a:t>COMPRESSORS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179294</xdr:rowOff>
    </xdr:from>
    <xdr:to>
      <xdr:col>12</xdr:col>
      <xdr:colOff>0</xdr:colOff>
      <xdr:row>45</xdr:row>
      <xdr:rowOff>8965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143435</xdr:colOff>
      <xdr:row>0</xdr:row>
      <xdr:rowOff>224117</xdr:rowOff>
    </xdr:from>
    <xdr:to>
      <xdr:col>4</xdr:col>
      <xdr:colOff>268369</xdr:colOff>
      <xdr:row>4</xdr:row>
      <xdr:rowOff>4621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xmlns="" id="{AADD498D-87F4-489F-9B3C-DCA8C3921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4870" y="224117"/>
          <a:ext cx="1120016" cy="676975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0.42452</cdr:x>
      <cdr:y>0.11743</cdr:y>
    </cdr:from>
    <cdr:to>
      <cdr:x>0.52361</cdr:x>
      <cdr:y>0.15596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420CD997-FE61-4BE1-99D2-5486CA6F81A7}"/>
            </a:ext>
          </a:extLst>
        </cdr:cNvPr>
        <cdr:cNvSpPr txBox="1"/>
      </cdr:nvSpPr>
      <cdr:spPr>
        <a:xfrm xmlns:a="http://schemas.openxmlformats.org/drawingml/2006/main">
          <a:off x="3917156" y="762000"/>
          <a:ext cx="914400" cy="2500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0.35022</cdr:x>
      <cdr:y>0.05631</cdr:y>
    </cdr:from>
    <cdr:to>
      <cdr:x>0.6741</cdr:x>
      <cdr:y>0.11319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0A3D11E2-8CFC-491C-A569-D35166141E34}"/>
            </a:ext>
          </a:extLst>
        </cdr:cNvPr>
        <cdr:cNvSpPr txBox="1"/>
      </cdr:nvSpPr>
      <cdr:spPr>
        <a:xfrm xmlns:a="http://schemas.openxmlformats.org/drawingml/2006/main">
          <a:off x="4257010" y="413434"/>
          <a:ext cx="3936732" cy="4176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da-DK" sz="2000" b="1" i="0"/>
            <a:t>Standard Conditions/</a:t>
          </a:r>
          <a:r>
            <a:rPr lang="zh-CN" altLang="en-US" sz="2000" b="1" i="0"/>
            <a:t>标准工况曲线</a:t>
          </a:r>
          <a:endParaRPr lang="da-DK" sz="2000" b="1" i="0"/>
        </a:p>
      </cdr:txBody>
    </cdr:sp>
  </cdr:relSizeAnchor>
  <cdr:relSizeAnchor xmlns:cdr="http://schemas.openxmlformats.org/drawingml/2006/chartDrawing">
    <cdr:from>
      <cdr:x>0.01079</cdr:x>
      <cdr:y>0</cdr:y>
    </cdr:from>
    <cdr:to>
      <cdr:x>0.10252</cdr:x>
      <cdr:y>0.09198</cdr:y>
    </cdr:to>
    <cdr:pic>
      <cdr:nvPicPr>
        <cdr:cNvPr id="5" name="图片 4">
          <a:extLst xmlns:a="http://schemas.openxmlformats.org/drawingml/2006/main">
            <a:ext uri="{FF2B5EF4-FFF2-40B4-BE49-F238E27FC236}">
              <a16:creationId xmlns:a16="http://schemas.microsoft.com/office/drawing/2014/main" xmlns="" id="{3A0DBD6A-B4DC-4FB4-AFC5-24A0A295E9E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31720" y="0"/>
          <a:ext cx="1120016" cy="676975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12</xdr:col>
      <xdr:colOff>15874</xdr:colOff>
      <xdr:row>45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125506</xdr:colOff>
      <xdr:row>0</xdr:row>
      <xdr:rowOff>259977</xdr:rowOff>
    </xdr:from>
    <xdr:to>
      <xdr:col>5</xdr:col>
      <xdr:colOff>253924</xdr:colOff>
      <xdr:row>4</xdr:row>
      <xdr:rowOff>17151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xmlns="" id="{6DA5E6A1-82BC-4A6A-AAD3-1C7A524AB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2024" y="259977"/>
          <a:ext cx="1123500" cy="680539"/>
        </a:xfrm>
        <a:prstGeom prst="rect">
          <a:avLst/>
        </a:prstGeom>
      </xdr:spPr>
    </xdr:pic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0.39355</cdr:x>
      <cdr:y>0.1156</cdr:y>
    </cdr:from>
    <cdr:to>
      <cdr:x>0.42194</cdr:x>
      <cdr:y>0.15229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6CB6CC9D-FA0F-4E4F-B57D-81F19ADE1CD9}"/>
            </a:ext>
          </a:extLst>
        </cdr:cNvPr>
        <cdr:cNvSpPr txBox="1"/>
      </cdr:nvSpPr>
      <cdr:spPr>
        <a:xfrm xmlns:a="http://schemas.openxmlformats.org/drawingml/2006/main">
          <a:off x="3631406" y="750092"/>
          <a:ext cx="261938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0.36237</cdr:x>
      <cdr:y>0.04343</cdr:y>
    </cdr:from>
    <cdr:to>
      <cdr:x>0.66663</cdr:x>
      <cdr:y>0.09847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DBEFD348-A9C8-47CD-B49C-D7AC3F9D596C}"/>
            </a:ext>
          </a:extLst>
        </cdr:cNvPr>
        <cdr:cNvSpPr txBox="1"/>
      </cdr:nvSpPr>
      <cdr:spPr>
        <a:xfrm xmlns:a="http://schemas.openxmlformats.org/drawingml/2006/main">
          <a:off x="4412742" y="326993"/>
          <a:ext cx="3705097" cy="4143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da-DK" sz="2000" b="1" i="0"/>
            <a:t>Operating Conditions</a:t>
          </a:r>
          <a:r>
            <a:rPr lang="en-US" altLang="zh-CN" sz="2000" b="1" i="0"/>
            <a:t>/</a:t>
          </a:r>
          <a:r>
            <a:rPr lang="zh-CN" altLang="en-US" sz="2000" b="1" i="0"/>
            <a:t>实际工况</a:t>
          </a:r>
          <a:endParaRPr lang="da-DK" sz="2000" b="1" i="0"/>
        </a:p>
      </cdr:txBody>
    </cdr:sp>
  </cdr:relSizeAnchor>
  <cdr:relSizeAnchor xmlns:cdr="http://schemas.openxmlformats.org/drawingml/2006/chartDrawing">
    <cdr:from>
      <cdr:x>0.00418</cdr:x>
      <cdr:y>0.00692</cdr:y>
    </cdr:from>
    <cdr:to>
      <cdr:x>0.09655</cdr:x>
      <cdr:y>0.09961</cdr:y>
    </cdr:to>
    <cdr:pic>
      <cdr:nvPicPr>
        <cdr:cNvPr id="5" name="图片 4">
          <a:extLst xmlns:a="http://schemas.openxmlformats.org/drawingml/2006/main">
            <a:ext uri="{FF2B5EF4-FFF2-40B4-BE49-F238E27FC236}">
              <a16:creationId xmlns:a16="http://schemas.microsoft.com/office/drawing/2014/main" xmlns="" id="{3A0DBD6A-B4DC-4FB4-AFC5-24A0A295E9E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1123576" cy="680566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12</xdr:col>
      <xdr:colOff>0</xdr:colOff>
      <xdr:row>45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0.42452</cdr:x>
      <cdr:y>0.11743</cdr:y>
    </cdr:from>
    <cdr:to>
      <cdr:x>0.52361</cdr:x>
      <cdr:y>0.15596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ECA272B5-DA84-4A71-9374-836DE912B1B7}"/>
            </a:ext>
          </a:extLst>
        </cdr:cNvPr>
        <cdr:cNvSpPr txBox="1"/>
      </cdr:nvSpPr>
      <cdr:spPr>
        <a:xfrm xmlns:a="http://schemas.openxmlformats.org/drawingml/2006/main">
          <a:off x="3917156" y="762000"/>
          <a:ext cx="914400" cy="2500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0.3871</cdr:x>
      <cdr:y>0.08073</cdr:y>
    </cdr:from>
    <cdr:to>
      <cdr:x>0.62968</cdr:x>
      <cdr:y>0.13761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1956F26A-4B6C-406B-9AC1-A5F2C44BC0C2}"/>
            </a:ext>
          </a:extLst>
        </cdr:cNvPr>
        <cdr:cNvSpPr txBox="1"/>
      </cdr:nvSpPr>
      <cdr:spPr>
        <a:xfrm xmlns:a="http://schemas.openxmlformats.org/drawingml/2006/main">
          <a:off x="3571874" y="523874"/>
          <a:ext cx="2238375" cy="3690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da-DK" sz="2000" i="1"/>
            <a:t>Fan Torque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12</xdr:col>
      <xdr:colOff>15874</xdr:colOff>
      <xdr:row>45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0.39355</cdr:x>
      <cdr:y>0.1156</cdr:y>
    </cdr:from>
    <cdr:to>
      <cdr:x>0.42194</cdr:x>
      <cdr:y>0.15229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825011B3-1330-4682-9C39-DBDF6007AE82}"/>
            </a:ext>
          </a:extLst>
        </cdr:cNvPr>
        <cdr:cNvSpPr txBox="1"/>
      </cdr:nvSpPr>
      <cdr:spPr>
        <a:xfrm xmlns:a="http://schemas.openxmlformats.org/drawingml/2006/main">
          <a:off x="3631406" y="750092"/>
          <a:ext cx="261938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0.38323</cdr:x>
      <cdr:y>0.08257</cdr:y>
    </cdr:from>
    <cdr:to>
      <cdr:x>0.61032</cdr:x>
      <cdr:y>0.13761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1752FDC4-C0FB-41DF-A009-B11AB615ADD3}"/>
            </a:ext>
          </a:extLst>
        </cdr:cNvPr>
        <cdr:cNvSpPr txBox="1"/>
      </cdr:nvSpPr>
      <cdr:spPr>
        <a:xfrm xmlns:a="http://schemas.openxmlformats.org/drawingml/2006/main">
          <a:off x="3536156" y="535781"/>
          <a:ext cx="2095499" cy="3571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da-DK" sz="2000" i="1"/>
            <a:t>Operating Conditions</a:t>
          </a: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12</xdr:col>
      <xdr:colOff>15874</xdr:colOff>
      <xdr:row>45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0.39355</cdr:x>
      <cdr:y>0.1156</cdr:y>
    </cdr:from>
    <cdr:to>
      <cdr:x>0.42194</cdr:x>
      <cdr:y>0.15229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5E9543D4-E887-4C40-AD79-CB32735FC203}"/>
            </a:ext>
          </a:extLst>
        </cdr:cNvPr>
        <cdr:cNvSpPr txBox="1"/>
      </cdr:nvSpPr>
      <cdr:spPr>
        <a:xfrm xmlns:a="http://schemas.openxmlformats.org/drawingml/2006/main">
          <a:off x="3631406" y="750092"/>
          <a:ext cx="261938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0.38323</cdr:x>
      <cdr:y>0.08257</cdr:y>
    </cdr:from>
    <cdr:to>
      <cdr:x>0.61032</cdr:x>
      <cdr:y>0.13761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C0C32140-EAAE-4282-9A82-13DFED52AF63}"/>
            </a:ext>
          </a:extLst>
        </cdr:cNvPr>
        <cdr:cNvSpPr txBox="1"/>
      </cdr:nvSpPr>
      <cdr:spPr>
        <a:xfrm xmlns:a="http://schemas.openxmlformats.org/drawingml/2006/main">
          <a:off x="3536156" y="535781"/>
          <a:ext cx="2095499" cy="3571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da-DK" sz="2000" i="1"/>
            <a:t>Operating Conditions</a:t>
          </a: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12</xdr:col>
      <xdr:colOff>0</xdr:colOff>
      <xdr:row>60</xdr:row>
      <xdr:rowOff>11906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0.439</cdr:x>
      <cdr:y>0.03935</cdr:y>
    </cdr:from>
    <cdr:to>
      <cdr:x>0.559</cdr:x>
      <cdr:y>0.07292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53B993A-4312-4395-8CDA-0EDBB5D4006B}"/>
            </a:ext>
          </a:extLst>
        </cdr:cNvPr>
        <cdr:cNvSpPr txBox="1"/>
      </cdr:nvSpPr>
      <cdr:spPr>
        <a:xfrm xmlns:a="http://schemas.openxmlformats.org/drawingml/2006/main">
          <a:off x="5226845" y="404813"/>
          <a:ext cx="1428750" cy="3452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da-DK" sz="1100"/>
            <a:t>@ OP1Temp. &amp;</a:t>
          </a:r>
          <a:r>
            <a:rPr lang="da-DK" sz="1100" baseline="0"/>
            <a:t> Density</a:t>
          </a:r>
          <a:endParaRPr lang="da-DK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12</xdr:col>
      <xdr:colOff>0</xdr:colOff>
      <xdr:row>60</xdr:row>
      <xdr:rowOff>11906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0.439</cdr:x>
      <cdr:y>0.03935</cdr:y>
    </cdr:from>
    <cdr:to>
      <cdr:x>0.559</cdr:x>
      <cdr:y>0.07292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E1C3492-96BF-40BE-A6B7-3E6FD3A0098C}"/>
            </a:ext>
          </a:extLst>
        </cdr:cNvPr>
        <cdr:cNvSpPr txBox="1"/>
      </cdr:nvSpPr>
      <cdr:spPr>
        <a:xfrm xmlns:a="http://schemas.openxmlformats.org/drawingml/2006/main">
          <a:off x="5226845" y="404813"/>
          <a:ext cx="1428750" cy="3452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da-DK" sz="1100"/>
            <a:t>@ OP1Temp. &amp;</a:t>
          </a:r>
          <a:r>
            <a:rPr lang="da-DK" sz="1100" baseline="0"/>
            <a:t> Density</a:t>
          </a:r>
          <a:endParaRPr lang="da-DK" sz="1100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16</xdr:col>
      <xdr:colOff>707571</xdr:colOff>
      <xdr:row>27</xdr:row>
      <xdr:rowOff>217714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19052</xdr:colOff>
      <xdr:row>89</xdr:row>
      <xdr:rowOff>35965</xdr:rowOff>
    </xdr:from>
    <xdr:to>
      <xdr:col>12</xdr:col>
      <xdr:colOff>84787</xdr:colOff>
      <xdr:row>90</xdr:row>
      <xdr:rowOff>100593</xdr:rowOff>
    </xdr:to>
    <xdr:sp macro="" textlink="">
      <xdr:nvSpPr>
        <xdr:cNvPr id="3" name="Text Box 25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 txBox="1">
          <a:spLocks noChangeArrowheads="1"/>
        </xdr:cNvSpPr>
      </xdr:nvSpPr>
      <xdr:spPr bwMode="auto">
        <a:xfrm>
          <a:off x="2457452" y="5179465"/>
          <a:ext cx="65735" cy="25512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10</xdr:col>
      <xdr:colOff>350547</xdr:colOff>
      <xdr:row>73</xdr:row>
      <xdr:rowOff>25942</xdr:rowOff>
    </xdr:from>
    <xdr:to>
      <xdr:col>10</xdr:col>
      <xdr:colOff>416282</xdr:colOff>
      <xdr:row>74</xdr:row>
      <xdr:rowOff>52205</xdr:rowOff>
    </xdr:to>
    <xdr:sp macro="" textlink="">
      <xdr:nvSpPr>
        <xdr:cNvPr id="4" name="Text Box 19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 txBox="1">
          <a:spLocks noChangeArrowheads="1"/>
        </xdr:cNvSpPr>
      </xdr:nvSpPr>
      <xdr:spPr bwMode="auto">
        <a:xfrm>
          <a:off x="960147" y="4216942"/>
          <a:ext cx="65735" cy="2167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16</xdr:col>
      <xdr:colOff>108857</xdr:colOff>
      <xdr:row>67</xdr:row>
      <xdr:rowOff>61678</xdr:rowOff>
    </xdr:from>
    <xdr:to>
      <xdr:col>16</xdr:col>
      <xdr:colOff>108857</xdr:colOff>
      <xdr:row>67</xdr:row>
      <xdr:rowOff>61678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CxnSpPr>
          <a:stCxn id="33" idx="3"/>
          <a:endCxn id="33" idx="3"/>
        </xdr:cNvCxnSpPr>
      </xdr:nvCxnSpPr>
      <xdr:spPr>
        <a:xfrm>
          <a:off x="12300857" y="15560214"/>
          <a:ext cx="0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477811</xdr:colOff>
      <xdr:row>93</xdr:row>
      <xdr:rowOff>195758</xdr:rowOff>
    </xdr:from>
    <xdr:to>
      <xdr:col>12</xdr:col>
      <xdr:colOff>980066</xdr:colOff>
      <xdr:row>93</xdr:row>
      <xdr:rowOff>223925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CxnSpPr/>
      </xdr:nvCxnSpPr>
      <xdr:spPr>
        <a:xfrm flipV="1">
          <a:off x="8846204" y="21708651"/>
          <a:ext cx="1223433" cy="28167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462643</xdr:colOff>
      <xdr:row>63</xdr:row>
      <xdr:rowOff>18142</xdr:rowOff>
    </xdr:from>
    <xdr:to>
      <xdr:col>16</xdr:col>
      <xdr:colOff>707234</xdr:colOff>
      <xdr:row>92</xdr:row>
      <xdr:rowOff>176872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xmlns="" id="{00000000-0008-0000-0A00-00005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l="23578" t="5884" r="11995" b="4602"/>
        <a:stretch/>
      </xdr:blipFill>
      <xdr:spPr>
        <a:xfrm>
          <a:off x="7148286" y="14686642"/>
          <a:ext cx="6259402" cy="6735516"/>
        </a:xfrm>
        <a:prstGeom prst="rect">
          <a:avLst/>
        </a:prstGeom>
      </xdr:spPr>
    </xdr:pic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0.41176</cdr:x>
      <cdr:y>0.06702</cdr:y>
    </cdr:from>
    <cdr:to>
      <cdr:x>0.54832</cdr:x>
      <cdr:y>0.12869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3FFA1708-D7AA-4488-A746-221497E62CA9}"/>
            </a:ext>
          </a:extLst>
        </cdr:cNvPr>
        <cdr:cNvSpPr txBox="1"/>
      </cdr:nvSpPr>
      <cdr:spPr>
        <a:xfrm xmlns:a="http://schemas.openxmlformats.org/drawingml/2006/main">
          <a:off x="2667001" y="340177"/>
          <a:ext cx="884464" cy="3129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da-DK" sz="1400"/>
            <a:t>@ Des. OP</a:t>
          </a:r>
          <a:endParaRPr lang="da-DK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2</xdr:row>
      <xdr:rowOff>0</xdr:rowOff>
    </xdr:from>
    <xdr:to>
      <xdr:col>22</xdr:col>
      <xdr:colOff>0</xdr:colOff>
      <xdr:row>19</xdr:row>
      <xdr:rowOff>0</xdr:rowOff>
    </xdr:to>
    <xdr:graphicFrame macro="">
      <xdr:nvGraphicFramePr>
        <xdr:cNvPr id="5123" name="Chart 1">
          <a:extLst>
            <a:ext uri="{FF2B5EF4-FFF2-40B4-BE49-F238E27FC236}">
              <a16:creationId xmlns:a16="http://schemas.microsoft.com/office/drawing/2014/main" xmlns="" id="{00000000-0008-0000-0B00-000003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18</xdr:row>
      <xdr:rowOff>185614</xdr:rowOff>
    </xdr:from>
    <xdr:to>
      <xdr:col>22</xdr:col>
      <xdr:colOff>0</xdr:colOff>
      <xdr:row>34</xdr:row>
      <xdr:rowOff>166076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9770</xdr:colOff>
      <xdr:row>34</xdr:row>
      <xdr:rowOff>175846</xdr:rowOff>
    </xdr:from>
    <xdr:to>
      <xdr:col>22</xdr:col>
      <xdr:colOff>9770</xdr:colOff>
      <xdr:row>52</xdr:row>
      <xdr:rowOff>70338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62</xdr:row>
      <xdr:rowOff>0</xdr:rowOff>
    </xdr:from>
    <xdr:to>
      <xdr:col>15</xdr:col>
      <xdr:colOff>203200</xdr:colOff>
      <xdr:row>78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78</xdr:row>
      <xdr:rowOff>88900</xdr:rowOff>
    </xdr:from>
    <xdr:to>
      <xdr:col>15</xdr:col>
      <xdr:colOff>203200</xdr:colOff>
      <xdr:row>95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62</xdr:row>
      <xdr:rowOff>0</xdr:rowOff>
    </xdr:from>
    <xdr:to>
      <xdr:col>24</xdr:col>
      <xdr:colOff>215900</xdr:colOff>
      <xdr:row>78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78</xdr:row>
      <xdr:rowOff>88900</xdr:rowOff>
    </xdr:from>
    <xdr:to>
      <xdr:col>24</xdr:col>
      <xdr:colOff>215900</xdr:colOff>
      <xdr:row>95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12700</xdr:colOff>
      <xdr:row>0</xdr:row>
      <xdr:rowOff>12700</xdr:rowOff>
    </xdr:from>
    <xdr:to>
      <xdr:col>13</xdr:col>
      <xdr:colOff>12700</xdr:colOff>
      <xdr:row>3</xdr:row>
      <xdr:rowOff>12700</xdr:rowOff>
    </xdr:to>
    <xdr:sp macro="[0]!Fan_Data_Deformation_and_Max_Speed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6756400" y="12700"/>
          <a:ext cx="3886200" cy="600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Calculate Deformation &amp; Stress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b/Dropbox/Fan%20Tools/New%20Fan%20Line/Barker%20JET%20Bill%20of%20Material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AS%20Fan%20Selecto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b/Dropbox/Fan%20Tools/JB%20development/BERGJET%20Bill%20of%20Materials%20170806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1.&#21338;&#36808;&#24605;&#39118;&#26426;\3.&#38144;&#21806;&#37096;\&#36873;&#22411;&#24037;&#20855;\BMS-------&#21629;&#21517;&#36716;&#2544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 Calculator"/>
      <sheetName val="Cost structures, ALL"/>
      <sheetName val="Subsystem Cost"/>
      <sheetName val="Impeller Manufacturing data"/>
      <sheetName val="Fan List"/>
      <sheetName val="House C Data"/>
      <sheetName val="Impeller C &amp; Run Data"/>
      <sheetName val="Fan Hydraulic Data"/>
      <sheetName val="Forbrug"/>
      <sheetName val="INLET"/>
      <sheetName val="HOUSE&amp;INLET"/>
      <sheetName val="IMPELLER"/>
      <sheetName val="FRAME"/>
      <sheetName val="DRIVE&amp;MOUNTING"/>
      <sheetName val="MOTOR HANDLING"/>
      <sheetName val="Fan Data &amp; Deformation"/>
      <sheetName val="Impeller sketch"/>
      <sheetName val="CH vs Calc cost"/>
      <sheetName val="Graphics"/>
      <sheetName val="Currencies"/>
      <sheetName val="Mechanical data, limits"/>
      <sheetName val="stop"/>
      <sheetName val="Barker JET Bill of Materials"/>
      <sheetName val="Fan Name List"/>
    </sheetNames>
    <sheetDataSet>
      <sheetData sheetId="0">
        <row r="1">
          <cell r="A1">
            <v>160706</v>
          </cell>
        </row>
        <row r="41">
          <cell r="E41">
            <v>250</v>
          </cell>
          <cell r="H41">
            <v>1275</v>
          </cell>
          <cell r="I41">
            <v>1625</v>
          </cell>
          <cell r="J41">
            <v>0.76151635614453639</v>
          </cell>
          <cell r="K41">
            <v>0.15219728288207379</v>
          </cell>
          <cell r="L41">
            <v>1.1681407662289616</v>
          </cell>
          <cell r="M41">
            <v>6.2831853071795862</v>
          </cell>
          <cell r="N41">
            <v>0.96717802986980728</v>
          </cell>
        </row>
        <row r="44">
          <cell r="D44" t="str">
            <v>blank</v>
          </cell>
          <cell r="G44">
            <v>1120</v>
          </cell>
          <cell r="I44">
            <v>648.81472596764172</v>
          </cell>
          <cell r="L44">
            <v>17.849920852480309</v>
          </cell>
          <cell r="M44">
            <v>28.895364003328858</v>
          </cell>
          <cell r="O44">
            <v>492.70374472371321</v>
          </cell>
        </row>
        <row r="46">
          <cell r="D46">
            <v>4</v>
          </cell>
          <cell r="E46">
            <v>4</v>
          </cell>
          <cell r="F46">
            <v>13.000000000000002</v>
          </cell>
          <cell r="G46">
            <v>420.44576839331609</v>
          </cell>
          <cell r="K46">
            <v>0.53708322392200936</v>
          </cell>
          <cell r="L46">
            <v>0.3220262421283856</v>
          </cell>
          <cell r="M46">
            <v>-0.79502526412746499</v>
          </cell>
          <cell r="N46">
            <v>0.64295733038064973</v>
          </cell>
        </row>
      </sheetData>
      <sheetData sheetId="1">
        <row r="2">
          <cell r="C2">
            <v>41000</v>
          </cell>
        </row>
      </sheetData>
      <sheetData sheetId="2">
        <row r="2">
          <cell r="C2" t="str">
            <v>drive offset</v>
          </cell>
        </row>
      </sheetData>
      <sheetData sheetId="3"/>
      <sheetData sheetId="4" refreshError="1"/>
      <sheetData sheetId="5">
        <row r="17">
          <cell r="A17" t="str">
            <v>TESTFAN</v>
          </cell>
        </row>
      </sheetData>
      <sheetData sheetId="6">
        <row r="1">
          <cell r="B1">
            <v>7850</v>
          </cell>
        </row>
      </sheetData>
      <sheetData sheetId="7"/>
      <sheetData sheetId="8">
        <row r="2">
          <cell r="C2">
            <v>3</v>
          </cell>
        </row>
      </sheetData>
      <sheetData sheetId="9">
        <row r="2">
          <cell r="C2">
            <v>3</v>
          </cell>
        </row>
      </sheetData>
      <sheetData sheetId="10">
        <row r="2">
          <cell r="C2">
            <v>3</v>
          </cell>
        </row>
      </sheetData>
      <sheetData sheetId="11">
        <row r="2">
          <cell r="C2">
            <v>3</v>
          </cell>
        </row>
      </sheetData>
      <sheetData sheetId="12">
        <row r="2">
          <cell r="C2">
            <v>3</v>
          </cell>
        </row>
      </sheetData>
      <sheetData sheetId="13">
        <row r="2">
          <cell r="C2">
            <v>3</v>
          </cell>
        </row>
      </sheetData>
      <sheetData sheetId="14"/>
      <sheetData sheetId="15">
        <row r="4">
          <cell r="B4">
            <v>240000000</v>
          </cell>
        </row>
      </sheetData>
      <sheetData sheetId="16"/>
      <sheetData sheetId="17"/>
      <sheetData sheetId="18"/>
      <sheetData sheetId="19">
        <row r="2">
          <cell r="C2">
            <v>1.1000000000000001</v>
          </cell>
        </row>
      </sheetData>
      <sheetData sheetId="20">
        <row r="1">
          <cell r="A1">
            <v>160305</v>
          </cell>
        </row>
      </sheetData>
      <sheetData sheetId="21"/>
      <sheetData sheetId="22" refreshError="1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n Selection"/>
      <sheetName val="Fan Type Calc."/>
      <sheetName val="Curves (Std. conditions)"/>
      <sheetName val="Curves (Ops. conditions)"/>
      <sheetName val="Fan Torque Curve"/>
      <sheetName val="Curves (Simulation) (a)"/>
      <sheetName val="Curves (Simulation) (b)"/>
      <sheetName val="Curves (Simulation) (1)"/>
      <sheetName val="Curves (Simulation) (2)"/>
      <sheetName val="Data for BOSS"/>
      <sheetName val="Fan template"/>
      <sheetName val="stop"/>
      <sheetName val="Fan Data &amp; Deformation"/>
      <sheetName val="Calc. sheet"/>
      <sheetName val="Ventilator relevance"/>
      <sheetName val="Fan Name List"/>
      <sheetName val="House C Data"/>
      <sheetName val="Impeller C &amp; Run Data"/>
      <sheetName val="Fan Hydraulic Data"/>
      <sheetName val="Mechanical data, limits"/>
      <sheetName val="Material Options"/>
      <sheetName val="STOCK LIST"/>
      <sheetName val="stop1"/>
    </sheetNames>
    <sheetDataSet>
      <sheetData sheetId="0">
        <row r="4">
          <cell r="B4" t="str">
            <v>Direct</v>
          </cell>
        </row>
        <row r="7">
          <cell r="I7">
            <v>0</v>
          </cell>
        </row>
        <row r="8">
          <cell r="I8">
            <v>1020</v>
          </cell>
        </row>
        <row r="9">
          <cell r="I9">
            <v>0</v>
          </cell>
        </row>
        <row r="10">
          <cell r="I10">
            <v>50</v>
          </cell>
        </row>
        <row r="12">
          <cell r="I12">
            <v>204630</v>
          </cell>
        </row>
        <row r="13">
          <cell r="D13">
            <v>0</v>
          </cell>
        </row>
        <row r="14">
          <cell r="C14">
            <v>1</v>
          </cell>
          <cell r="D14">
            <v>0</v>
          </cell>
        </row>
        <row r="15">
          <cell r="C15">
            <v>0</v>
          </cell>
        </row>
        <row r="24">
          <cell r="B24" t="str">
            <v>Steel</v>
          </cell>
        </row>
        <row r="26">
          <cell r="C26">
            <v>70</v>
          </cell>
          <cell r="D26" t="str">
            <v>XOE 306-125</v>
          </cell>
          <cell r="E26" t="str">
            <v>HS</v>
          </cell>
        </row>
        <row r="27">
          <cell r="C27">
            <v>1466.6608017497426</v>
          </cell>
        </row>
        <row r="39">
          <cell r="B39" t="str">
            <v>XOE 306-125 HS</v>
          </cell>
        </row>
        <row r="50">
          <cell r="D50">
            <v>0.85235296150373752</v>
          </cell>
        </row>
        <row r="57">
          <cell r="B57">
            <v>20</v>
          </cell>
        </row>
        <row r="61">
          <cell r="B61">
            <v>1.2050000000000001</v>
          </cell>
        </row>
        <row r="81">
          <cell r="A81">
            <v>0</v>
          </cell>
        </row>
        <row r="82">
          <cell r="A82">
            <v>0</v>
          </cell>
        </row>
        <row r="83">
          <cell r="A83">
            <v>0</v>
          </cell>
        </row>
      </sheetData>
      <sheetData sheetId="1"/>
      <sheetData sheetId="2">
        <row r="65">
          <cell r="C65">
            <v>1</v>
          </cell>
        </row>
      </sheetData>
      <sheetData sheetId="3"/>
      <sheetData sheetId="4"/>
      <sheetData sheetId="5"/>
      <sheetData sheetId="6"/>
      <sheetData sheetId="7"/>
      <sheetData sheetId="8"/>
      <sheetData sheetId="9">
        <row r="7">
          <cell r="F7" t="str">
            <v>XOE 306-125 HS</v>
          </cell>
        </row>
        <row r="9">
          <cell r="D9">
            <v>1250</v>
          </cell>
          <cell r="G9">
            <v>1.25</v>
          </cell>
        </row>
        <row r="10">
          <cell r="D10">
            <v>1800</v>
          </cell>
        </row>
        <row r="11">
          <cell r="D11">
            <v>5</v>
          </cell>
        </row>
        <row r="12">
          <cell r="D12">
            <v>3088.9291369814141</v>
          </cell>
        </row>
        <row r="18">
          <cell r="D18">
            <v>1800</v>
          </cell>
        </row>
        <row r="19">
          <cell r="D19">
            <v>0</v>
          </cell>
        </row>
        <row r="20">
          <cell r="D20">
            <v>1139.5691194683543</v>
          </cell>
        </row>
        <row r="21">
          <cell r="D21">
            <v>1020</v>
          </cell>
        </row>
        <row r="22">
          <cell r="D22">
            <v>119.56911946835436</v>
          </cell>
        </row>
        <row r="23">
          <cell r="D23">
            <v>50</v>
          </cell>
        </row>
        <row r="24">
          <cell r="D24">
            <v>204630</v>
          </cell>
        </row>
        <row r="25">
          <cell r="D25">
            <v>1466.6608017497426</v>
          </cell>
        </row>
        <row r="26">
          <cell r="D26">
            <v>1.2050000000000001</v>
          </cell>
        </row>
        <row r="27">
          <cell r="D27">
            <v>0.85235296150373752</v>
          </cell>
        </row>
        <row r="28">
          <cell r="D28">
            <v>745.28808189214294</v>
          </cell>
        </row>
        <row r="33">
          <cell r="D33" t="str">
            <v>Pa</v>
          </cell>
        </row>
        <row r="36">
          <cell r="P36">
            <v>1.0931289843411525</v>
          </cell>
        </row>
        <row r="38">
          <cell r="J38">
            <v>1.2050000000000001</v>
          </cell>
        </row>
        <row r="40">
          <cell r="J40">
            <v>11026.863135703079</v>
          </cell>
        </row>
        <row r="44">
          <cell r="J44">
            <v>12319.483052991385</v>
          </cell>
        </row>
        <row r="46">
          <cell r="J46">
            <v>821.56099741634398</v>
          </cell>
        </row>
        <row r="66">
          <cell r="G66">
            <v>1789.7333880293902</v>
          </cell>
        </row>
        <row r="67">
          <cell r="G67">
            <v>268</v>
          </cell>
        </row>
        <row r="68">
          <cell r="D68">
            <v>973</v>
          </cell>
          <cell r="G68">
            <v>367</v>
          </cell>
        </row>
        <row r="70">
          <cell r="D70">
            <v>6</v>
          </cell>
          <cell r="G70">
            <v>6</v>
          </cell>
        </row>
        <row r="74">
          <cell r="D74" t="str">
            <v>Steel</v>
          </cell>
          <cell r="G74">
            <v>668</v>
          </cell>
        </row>
        <row r="75">
          <cell r="D75">
            <v>12</v>
          </cell>
          <cell r="G75">
            <v>99.89439000000003</v>
          </cell>
        </row>
        <row r="77">
          <cell r="D77">
            <v>1</v>
          </cell>
        </row>
        <row r="78">
          <cell r="D78">
            <v>8</v>
          </cell>
          <cell r="G78">
            <v>115.403470514506</v>
          </cell>
        </row>
        <row r="81">
          <cell r="D81">
            <v>1</v>
          </cell>
        </row>
        <row r="82">
          <cell r="D82">
            <v>8</v>
          </cell>
          <cell r="G82">
            <v>93.531574076715074</v>
          </cell>
        </row>
      </sheetData>
      <sheetData sheetId="10"/>
      <sheetData sheetId="11"/>
      <sheetData sheetId="12">
        <row r="4">
          <cell r="H4">
            <v>0.9</v>
          </cell>
        </row>
        <row r="11">
          <cell r="E11">
            <v>1466.6608017497426</v>
          </cell>
        </row>
        <row r="12">
          <cell r="B12">
            <v>153.58836000283691</v>
          </cell>
          <cell r="E12">
            <v>153.58836000283691</v>
          </cell>
        </row>
        <row r="47">
          <cell r="B47">
            <v>212494870.23354831</v>
          </cell>
        </row>
        <row r="56">
          <cell r="B56">
            <v>1552.9734664732769</v>
          </cell>
        </row>
      </sheetData>
      <sheetData sheetId="13"/>
      <sheetData sheetId="14"/>
      <sheetData sheetId="15"/>
      <sheetData sheetId="16">
        <row r="17">
          <cell r="A17" t="str">
            <v>TESTFAN</v>
          </cell>
        </row>
      </sheetData>
      <sheetData sheetId="17"/>
      <sheetData sheetId="18">
        <row r="18">
          <cell r="B18">
            <v>2400</v>
          </cell>
        </row>
      </sheetData>
      <sheetData sheetId="19">
        <row r="1">
          <cell r="E1">
            <v>9.8070000000000004</v>
          </cell>
        </row>
        <row r="39">
          <cell r="A39" t="str">
            <v>Data Type</v>
          </cell>
          <cell r="B39" t="str">
            <v>Density</v>
          </cell>
          <cell r="C39" t="str">
            <v>YS regr.</v>
          </cell>
          <cell r="D39">
            <v>0</v>
          </cell>
          <cell r="E39">
            <v>0</v>
          </cell>
          <cell r="F39" t="str">
            <v>safety factor</v>
          </cell>
          <cell r="G39" t="str">
            <v>minT</v>
          </cell>
          <cell r="H39" t="str">
            <v>maxT</v>
          </cell>
          <cell r="I39" t="str">
            <v>Plate T, mm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</row>
        <row r="40">
          <cell r="I40">
            <v>0</v>
          </cell>
          <cell r="J40">
            <v>1</v>
          </cell>
          <cell r="K40">
            <v>2</v>
          </cell>
          <cell r="L40">
            <v>3</v>
          </cell>
          <cell r="M40">
            <v>4</v>
          </cell>
          <cell r="N40">
            <v>5</v>
          </cell>
          <cell r="O40">
            <v>6</v>
          </cell>
          <cell r="P40">
            <v>7</v>
          </cell>
          <cell r="Q40">
            <v>8</v>
          </cell>
          <cell r="R40">
            <v>8</v>
          </cell>
          <cell r="S40">
            <v>8</v>
          </cell>
        </row>
        <row r="41">
          <cell r="A41" t="str">
            <v>Steel</v>
          </cell>
          <cell r="B41">
            <v>7850</v>
          </cell>
          <cell r="C41">
            <v>5.7490138375806119E-4</v>
          </cell>
          <cell r="D41">
            <v>-0.48039999582576742</v>
          </cell>
          <cell r="E41">
            <v>250</v>
          </cell>
          <cell r="F41">
            <v>0.9</v>
          </cell>
          <cell r="G41">
            <v>3</v>
          </cell>
          <cell r="H41">
            <v>10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3</v>
          </cell>
          <cell r="N41">
            <v>4</v>
          </cell>
          <cell r="O41">
            <v>5</v>
          </cell>
          <cell r="P41">
            <v>6</v>
          </cell>
          <cell r="Q41">
            <v>8</v>
          </cell>
          <cell r="R41">
            <v>8</v>
          </cell>
          <cell r="S41">
            <v>8</v>
          </cell>
        </row>
        <row r="42">
          <cell r="A42" t="str">
            <v>AISI304</v>
          </cell>
          <cell r="B42">
            <v>7850</v>
          </cell>
          <cell r="C42">
            <v>5.7490138375806119E-4</v>
          </cell>
          <cell r="D42">
            <v>-0.48039999582576742</v>
          </cell>
          <cell r="E42">
            <v>240</v>
          </cell>
          <cell r="F42">
            <v>0.9</v>
          </cell>
          <cell r="G42">
            <v>3</v>
          </cell>
          <cell r="H42">
            <v>10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3</v>
          </cell>
          <cell r="N42">
            <v>4</v>
          </cell>
          <cell r="O42">
            <v>5</v>
          </cell>
          <cell r="P42">
            <v>6</v>
          </cell>
          <cell r="Q42">
            <v>8</v>
          </cell>
          <cell r="R42">
            <v>8</v>
          </cell>
          <cell r="S42">
            <v>8</v>
          </cell>
        </row>
        <row r="43">
          <cell r="A43" t="str">
            <v>AISI304L</v>
          </cell>
          <cell r="B43">
            <v>7850</v>
          </cell>
          <cell r="C43">
            <v>5.7490138375806119E-4</v>
          </cell>
          <cell r="D43">
            <v>-0.48039999582576742</v>
          </cell>
          <cell r="E43">
            <v>260</v>
          </cell>
          <cell r="F43">
            <v>0.9</v>
          </cell>
          <cell r="G43">
            <v>2</v>
          </cell>
          <cell r="H43">
            <v>10</v>
          </cell>
          <cell r="I43">
            <v>0</v>
          </cell>
          <cell r="J43">
            <v>0</v>
          </cell>
          <cell r="K43">
            <v>0</v>
          </cell>
          <cell r="L43">
            <v>2</v>
          </cell>
          <cell r="M43">
            <v>3</v>
          </cell>
          <cell r="N43">
            <v>4</v>
          </cell>
          <cell r="O43">
            <v>5</v>
          </cell>
          <cell r="P43">
            <v>6</v>
          </cell>
          <cell r="Q43">
            <v>8</v>
          </cell>
          <cell r="R43">
            <v>8</v>
          </cell>
          <cell r="S43">
            <v>8</v>
          </cell>
        </row>
        <row r="44">
          <cell r="A44" t="str">
            <v>AISI316L</v>
          </cell>
          <cell r="B44">
            <v>7850</v>
          </cell>
          <cell r="C44">
            <v>5.7490138375806119E-4</v>
          </cell>
          <cell r="D44">
            <v>-0.48039999582576742</v>
          </cell>
          <cell r="E44">
            <v>295</v>
          </cell>
          <cell r="F44">
            <v>0.9</v>
          </cell>
          <cell r="G44">
            <v>2</v>
          </cell>
          <cell r="H44">
            <v>10</v>
          </cell>
          <cell r="I44">
            <v>0</v>
          </cell>
          <cell r="J44">
            <v>0</v>
          </cell>
          <cell r="K44">
            <v>0</v>
          </cell>
          <cell r="L44">
            <v>2</v>
          </cell>
          <cell r="M44">
            <v>3</v>
          </cell>
          <cell r="N44">
            <v>4</v>
          </cell>
          <cell r="O44">
            <v>5</v>
          </cell>
          <cell r="P44">
            <v>6</v>
          </cell>
          <cell r="Q44">
            <v>8</v>
          </cell>
          <cell r="R44">
            <v>8</v>
          </cell>
          <cell r="S44">
            <v>8</v>
          </cell>
        </row>
        <row r="45">
          <cell r="A45" t="str">
            <v>AISI2205</v>
          </cell>
          <cell r="B45">
            <v>7850</v>
          </cell>
          <cell r="C45">
            <v>5.7490138375806119E-4</v>
          </cell>
          <cell r="D45">
            <v>-0.48039999582576742</v>
          </cell>
          <cell r="E45">
            <v>450</v>
          </cell>
          <cell r="F45">
            <v>0.9</v>
          </cell>
          <cell r="G45">
            <v>2</v>
          </cell>
          <cell r="H45">
            <v>10</v>
          </cell>
          <cell r="I45">
            <v>0</v>
          </cell>
          <cell r="J45">
            <v>0</v>
          </cell>
          <cell r="K45">
            <v>0</v>
          </cell>
          <cell r="L45">
            <v>2</v>
          </cell>
          <cell r="M45">
            <v>3</v>
          </cell>
          <cell r="N45">
            <v>4</v>
          </cell>
          <cell r="O45">
            <v>5</v>
          </cell>
          <cell r="P45">
            <v>6</v>
          </cell>
          <cell r="Q45">
            <v>8</v>
          </cell>
          <cell r="R45">
            <v>8</v>
          </cell>
          <cell r="S45">
            <v>8</v>
          </cell>
        </row>
        <row r="46">
          <cell r="A46" t="str">
            <v>CORTEN</v>
          </cell>
          <cell r="B46">
            <v>7850</v>
          </cell>
          <cell r="C46">
            <v>5.7490138375806119E-4</v>
          </cell>
          <cell r="D46">
            <v>-0.48039999582576742</v>
          </cell>
          <cell r="E46">
            <v>350</v>
          </cell>
          <cell r="F46">
            <v>0.9</v>
          </cell>
          <cell r="G46">
            <v>2</v>
          </cell>
          <cell r="H46">
            <v>6</v>
          </cell>
          <cell r="I46">
            <v>0</v>
          </cell>
          <cell r="J46">
            <v>0</v>
          </cell>
          <cell r="K46">
            <v>0</v>
          </cell>
          <cell r="L46">
            <v>2</v>
          </cell>
          <cell r="M46">
            <v>3</v>
          </cell>
          <cell r="N46">
            <v>4</v>
          </cell>
          <cell r="O46">
            <v>5</v>
          </cell>
          <cell r="P46">
            <v>6</v>
          </cell>
          <cell r="Q46">
            <v>6</v>
          </cell>
          <cell r="R46">
            <v>6</v>
          </cell>
          <cell r="S46">
            <v>6</v>
          </cell>
        </row>
        <row r="47">
          <cell r="A47" t="str">
            <v>DOMEX</v>
          </cell>
          <cell r="B47">
            <v>7850</v>
          </cell>
          <cell r="C47">
            <v>5.7490138375806119E-4</v>
          </cell>
          <cell r="D47">
            <v>-0.48039999582576742</v>
          </cell>
          <cell r="E47">
            <v>650</v>
          </cell>
          <cell r="F47">
            <v>0.9</v>
          </cell>
          <cell r="G47">
            <v>2</v>
          </cell>
          <cell r="H47">
            <v>6</v>
          </cell>
          <cell r="I47">
            <v>0</v>
          </cell>
          <cell r="J47">
            <v>0</v>
          </cell>
          <cell r="K47">
            <v>0</v>
          </cell>
          <cell r="L47">
            <v>2</v>
          </cell>
          <cell r="M47">
            <v>3</v>
          </cell>
          <cell r="N47">
            <v>4</v>
          </cell>
          <cell r="O47">
            <v>5</v>
          </cell>
          <cell r="P47">
            <v>6</v>
          </cell>
          <cell r="Q47">
            <v>6</v>
          </cell>
          <cell r="R47">
            <v>6</v>
          </cell>
          <cell r="S47">
            <v>6</v>
          </cell>
        </row>
        <row r="48">
          <cell r="A48" t="str">
            <v>Al6061</v>
          </cell>
          <cell r="B48">
            <v>2699</v>
          </cell>
          <cell r="C48">
            <v>5.7490138375806119E-4</v>
          </cell>
          <cell r="D48">
            <v>-0.48039999582576742</v>
          </cell>
          <cell r="E48">
            <v>55</v>
          </cell>
          <cell r="F48">
            <v>0.9</v>
          </cell>
          <cell r="G48">
            <v>3</v>
          </cell>
          <cell r="H48">
            <v>8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3</v>
          </cell>
          <cell r="N48">
            <v>4</v>
          </cell>
          <cell r="O48">
            <v>5</v>
          </cell>
          <cell r="P48">
            <v>6</v>
          </cell>
          <cell r="Q48">
            <v>8</v>
          </cell>
          <cell r="R48">
            <v>8</v>
          </cell>
          <cell r="S48">
            <v>8</v>
          </cell>
        </row>
        <row r="49">
          <cell r="A49" t="str">
            <v>Al57</v>
          </cell>
          <cell r="B49">
            <v>2699</v>
          </cell>
          <cell r="C49">
            <v>5.7490138375806119E-4</v>
          </cell>
          <cell r="D49">
            <v>-0.48039999582576742</v>
          </cell>
          <cell r="E49">
            <v>100</v>
          </cell>
          <cell r="F49">
            <v>0.9</v>
          </cell>
          <cell r="G49">
            <v>3</v>
          </cell>
          <cell r="H49">
            <v>8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3</v>
          </cell>
          <cell r="N49">
            <v>4</v>
          </cell>
          <cell r="O49">
            <v>5</v>
          </cell>
          <cell r="P49">
            <v>6</v>
          </cell>
          <cell r="Q49">
            <v>8</v>
          </cell>
          <cell r="R49">
            <v>8</v>
          </cell>
          <cell r="S49">
            <v>8</v>
          </cell>
        </row>
        <row r="60">
          <cell r="H60" t="str">
            <v>Max air Speed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</row>
        <row r="61">
          <cell r="H61" t="str">
            <v>Pt&lt;mmh2o&gt;</v>
          </cell>
          <cell r="I61" t="str">
            <v>Des. airspeed @ inlet&lt;m/s&gt;</v>
          </cell>
          <cell r="J61">
            <v>0</v>
          </cell>
          <cell r="K61">
            <v>0</v>
          </cell>
          <cell r="L61" t="str">
            <v>min</v>
          </cell>
          <cell r="M61" t="str">
            <v>-delta</v>
          </cell>
          <cell r="N61" t="str">
            <v>max</v>
          </cell>
          <cell r="O61" t="str">
            <v>+delta</v>
          </cell>
        </row>
        <row r="62">
          <cell r="H62">
            <v>0</v>
          </cell>
          <cell r="I62">
            <v>15</v>
          </cell>
          <cell r="J62">
            <v>5</v>
          </cell>
          <cell r="K62">
            <v>0</v>
          </cell>
          <cell r="L62">
            <v>10</v>
          </cell>
          <cell r="M62">
            <v>5</v>
          </cell>
          <cell r="N62">
            <v>25</v>
          </cell>
          <cell r="O62">
            <v>10</v>
          </cell>
        </row>
        <row r="63">
          <cell r="H63">
            <v>250</v>
          </cell>
          <cell r="I63">
            <v>20</v>
          </cell>
          <cell r="J63">
            <v>0</v>
          </cell>
          <cell r="K63">
            <v>0</v>
          </cell>
          <cell r="L63">
            <v>10</v>
          </cell>
          <cell r="M63">
            <v>10</v>
          </cell>
          <cell r="N63">
            <v>30</v>
          </cell>
          <cell r="O63">
            <v>10</v>
          </cell>
        </row>
        <row r="64">
          <cell r="H64">
            <v>500</v>
          </cell>
          <cell r="I64">
            <v>25</v>
          </cell>
          <cell r="J64">
            <v>0</v>
          </cell>
          <cell r="K64">
            <v>0</v>
          </cell>
          <cell r="L64">
            <v>15</v>
          </cell>
          <cell r="M64">
            <v>10</v>
          </cell>
          <cell r="N64">
            <v>35</v>
          </cell>
          <cell r="O64">
            <v>10</v>
          </cell>
        </row>
        <row r="65">
          <cell r="H65">
            <v>750</v>
          </cell>
          <cell r="I65">
            <v>26</v>
          </cell>
          <cell r="J65">
            <v>1</v>
          </cell>
          <cell r="K65">
            <v>0</v>
          </cell>
          <cell r="L65">
            <v>16</v>
          </cell>
          <cell r="M65">
            <v>10</v>
          </cell>
          <cell r="N65">
            <v>36</v>
          </cell>
          <cell r="O65">
            <v>10</v>
          </cell>
        </row>
        <row r="66">
          <cell r="H66">
            <v>1000</v>
          </cell>
          <cell r="I66">
            <v>27</v>
          </cell>
          <cell r="J66">
            <v>0</v>
          </cell>
          <cell r="K66">
            <v>0</v>
          </cell>
          <cell r="L66">
            <v>17</v>
          </cell>
          <cell r="M66">
            <v>10</v>
          </cell>
          <cell r="N66">
            <v>37</v>
          </cell>
          <cell r="O66">
            <v>10</v>
          </cell>
        </row>
        <row r="67">
          <cell r="H67">
            <v>1250</v>
          </cell>
          <cell r="I67">
            <v>28</v>
          </cell>
          <cell r="J67">
            <v>0</v>
          </cell>
          <cell r="K67">
            <v>0</v>
          </cell>
          <cell r="L67">
            <v>18</v>
          </cell>
          <cell r="M67">
            <v>10</v>
          </cell>
          <cell r="N67">
            <v>38</v>
          </cell>
          <cell r="O67">
            <v>10</v>
          </cell>
        </row>
        <row r="68">
          <cell r="H68">
            <v>1500</v>
          </cell>
          <cell r="I68">
            <v>30</v>
          </cell>
          <cell r="J68">
            <v>2</v>
          </cell>
          <cell r="K68">
            <v>0</v>
          </cell>
          <cell r="L68">
            <v>20</v>
          </cell>
          <cell r="M68">
            <v>10</v>
          </cell>
          <cell r="N68">
            <v>40</v>
          </cell>
          <cell r="O68">
            <v>10</v>
          </cell>
        </row>
        <row r="69">
          <cell r="H69">
            <v>1750</v>
          </cell>
          <cell r="I69">
            <v>32</v>
          </cell>
          <cell r="J69">
            <v>0</v>
          </cell>
          <cell r="K69">
            <v>0</v>
          </cell>
          <cell r="L69">
            <v>22</v>
          </cell>
          <cell r="M69">
            <v>10</v>
          </cell>
          <cell r="N69">
            <v>42</v>
          </cell>
          <cell r="O69">
            <v>10</v>
          </cell>
        </row>
        <row r="70">
          <cell r="H70">
            <v>2000</v>
          </cell>
          <cell r="I70">
            <v>34</v>
          </cell>
          <cell r="J70">
            <v>0</v>
          </cell>
          <cell r="K70">
            <v>0</v>
          </cell>
          <cell r="L70">
            <v>24</v>
          </cell>
          <cell r="M70">
            <v>10</v>
          </cell>
          <cell r="N70">
            <v>44</v>
          </cell>
          <cell r="O70">
            <v>10</v>
          </cell>
        </row>
        <row r="71">
          <cell r="H71">
            <v>2250</v>
          </cell>
          <cell r="I71">
            <v>36</v>
          </cell>
          <cell r="J71">
            <v>2</v>
          </cell>
          <cell r="K71">
            <v>0</v>
          </cell>
          <cell r="L71">
            <v>26</v>
          </cell>
          <cell r="M71">
            <v>10</v>
          </cell>
          <cell r="N71">
            <v>46</v>
          </cell>
          <cell r="O71">
            <v>10</v>
          </cell>
        </row>
        <row r="72">
          <cell r="H72">
            <v>2500</v>
          </cell>
          <cell r="I72">
            <v>38</v>
          </cell>
          <cell r="J72">
            <v>0</v>
          </cell>
          <cell r="K72">
            <v>0</v>
          </cell>
          <cell r="L72">
            <v>28</v>
          </cell>
          <cell r="M72">
            <v>10</v>
          </cell>
          <cell r="N72">
            <v>48</v>
          </cell>
          <cell r="O72">
            <v>10</v>
          </cell>
        </row>
        <row r="73">
          <cell r="H73">
            <v>2750</v>
          </cell>
          <cell r="I73">
            <v>40</v>
          </cell>
          <cell r="J73">
            <v>0</v>
          </cell>
          <cell r="K73">
            <v>0</v>
          </cell>
          <cell r="L73">
            <v>30</v>
          </cell>
          <cell r="M73">
            <v>10</v>
          </cell>
          <cell r="N73">
            <v>50</v>
          </cell>
          <cell r="O73">
            <v>10</v>
          </cell>
        </row>
        <row r="74">
          <cell r="H74">
            <v>3000</v>
          </cell>
          <cell r="I74">
            <v>41</v>
          </cell>
          <cell r="J74">
            <v>1</v>
          </cell>
          <cell r="K74">
            <v>0</v>
          </cell>
          <cell r="L74">
            <v>31</v>
          </cell>
          <cell r="M74">
            <v>10</v>
          </cell>
          <cell r="N74">
            <v>51</v>
          </cell>
          <cell r="O74">
            <v>10</v>
          </cell>
        </row>
        <row r="75">
          <cell r="H75">
            <v>3250</v>
          </cell>
          <cell r="I75">
            <v>42</v>
          </cell>
          <cell r="J75">
            <v>0</v>
          </cell>
          <cell r="K75">
            <v>0</v>
          </cell>
          <cell r="L75">
            <v>32</v>
          </cell>
          <cell r="M75">
            <v>10</v>
          </cell>
          <cell r="N75">
            <v>52</v>
          </cell>
          <cell r="O75">
            <v>10</v>
          </cell>
        </row>
        <row r="76">
          <cell r="H76">
            <v>3500</v>
          </cell>
          <cell r="I76">
            <v>43</v>
          </cell>
          <cell r="J76">
            <v>0</v>
          </cell>
          <cell r="K76">
            <v>0</v>
          </cell>
          <cell r="L76">
            <v>33</v>
          </cell>
          <cell r="M76">
            <v>10</v>
          </cell>
          <cell r="N76">
            <v>53</v>
          </cell>
          <cell r="O76">
            <v>10</v>
          </cell>
        </row>
        <row r="77">
          <cell r="H77">
            <v>3750</v>
          </cell>
          <cell r="I77">
            <v>44</v>
          </cell>
          <cell r="J77">
            <v>1</v>
          </cell>
          <cell r="K77">
            <v>0</v>
          </cell>
          <cell r="L77">
            <v>34</v>
          </cell>
          <cell r="M77">
            <v>10</v>
          </cell>
          <cell r="N77">
            <v>54</v>
          </cell>
          <cell r="O77">
            <v>10</v>
          </cell>
        </row>
        <row r="78">
          <cell r="H78">
            <v>4000</v>
          </cell>
          <cell r="I78">
            <v>45</v>
          </cell>
          <cell r="J78">
            <v>0</v>
          </cell>
          <cell r="K78">
            <v>0</v>
          </cell>
          <cell r="L78">
            <v>35</v>
          </cell>
          <cell r="M78">
            <v>10</v>
          </cell>
          <cell r="N78">
            <v>55</v>
          </cell>
          <cell r="O78">
            <v>10</v>
          </cell>
        </row>
        <row r="79">
          <cell r="H79">
            <v>4250</v>
          </cell>
          <cell r="I79">
            <v>46</v>
          </cell>
          <cell r="J79">
            <v>0</v>
          </cell>
          <cell r="K79">
            <v>0</v>
          </cell>
          <cell r="L79">
            <v>36</v>
          </cell>
          <cell r="M79">
            <v>10</v>
          </cell>
          <cell r="N79">
            <v>56</v>
          </cell>
          <cell r="O79">
            <v>10</v>
          </cell>
        </row>
        <row r="80">
          <cell r="H80">
            <v>4500</v>
          </cell>
          <cell r="I80">
            <v>47</v>
          </cell>
          <cell r="J80">
            <v>0</v>
          </cell>
          <cell r="K80">
            <v>0</v>
          </cell>
          <cell r="L80">
            <v>37</v>
          </cell>
          <cell r="M80">
            <v>10</v>
          </cell>
          <cell r="N80">
            <v>57</v>
          </cell>
          <cell r="O80">
            <v>10</v>
          </cell>
        </row>
      </sheetData>
      <sheetData sheetId="20">
        <row r="2">
          <cell r="A2" t="str">
            <v>Steel</v>
          </cell>
          <cell r="E2" t="str">
            <v>Steel</v>
          </cell>
          <cell r="G2" t="str">
            <v>Steel</v>
          </cell>
          <cell r="I2" t="str">
            <v>Steel</v>
          </cell>
          <cell r="K2" t="str">
            <v>Steel</v>
          </cell>
        </row>
        <row r="3">
          <cell r="A3" t="str">
            <v>AISI304</v>
          </cell>
          <cell r="E3" t="str">
            <v>AISI304</v>
          </cell>
          <cell r="G3" t="str">
            <v>AISI304</v>
          </cell>
          <cell r="I3" t="str">
            <v>AISI304</v>
          </cell>
          <cell r="K3" t="str">
            <v>AISI304</v>
          </cell>
        </row>
        <row r="4">
          <cell r="A4" t="str">
            <v>AISI304L</v>
          </cell>
          <cell r="E4" t="str">
            <v>AISI304L</v>
          </cell>
          <cell r="G4" t="str">
            <v>AISI304L</v>
          </cell>
        </row>
        <row r="5">
          <cell r="A5" t="str">
            <v>AISI316L</v>
          </cell>
          <cell r="G5" t="str">
            <v>AISI316L</v>
          </cell>
        </row>
        <row r="6">
          <cell r="A6" t="str">
            <v>AISI2205</v>
          </cell>
          <cell r="G6" t="str">
            <v>AISI2205</v>
          </cell>
        </row>
        <row r="7">
          <cell r="A7" t="str">
            <v>CORTEN</v>
          </cell>
          <cell r="G7" t="str">
            <v>CORTEN</v>
          </cell>
        </row>
        <row r="8">
          <cell r="A8" t="str">
            <v>DOMEX</v>
          </cell>
          <cell r="G8" t="str">
            <v>DOMEX</v>
          </cell>
        </row>
      </sheetData>
      <sheetData sheetId="21">
        <row r="1">
          <cell r="A1" t="str">
            <v>OE 96-35</v>
          </cell>
        </row>
        <row r="2">
          <cell r="A2" t="str">
            <v>OE 116-35</v>
          </cell>
        </row>
        <row r="3">
          <cell r="A3" t="str">
            <v>OE 116-40</v>
          </cell>
        </row>
        <row r="4">
          <cell r="A4" t="str">
            <v>OE 116-60</v>
          </cell>
        </row>
        <row r="5">
          <cell r="A5" t="str">
            <v>OE 116-60A</v>
          </cell>
        </row>
        <row r="6">
          <cell r="A6" t="str">
            <v>OE 138-45</v>
          </cell>
        </row>
        <row r="7">
          <cell r="A7" t="str">
            <v>OE 135-45</v>
          </cell>
        </row>
        <row r="8">
          <cell r="A8" t="str">
            <v>OE 135-45A</v>
          </cell>
        </row>
        <row r="9">
          <cell r="A9" t="str">
            <v>OE 135-55</v>
          </cell>
        </row>
        <row r="10">
          <cell r="A10" t="str">
            <v>OE 135-65</v>
          </cell>
        </row>
        <row r="11">
          <cell r="A11" t="str">
            <v>OE 153-55</v>
          </cell>
        </row>
        <row r="12">
          <cell r="A12" t="str">
            <v>OE 153-63</v>
          </cell>
        </row>
        <row r="13">
          <cell r="A13" t="str">
            <v>OE 153-70</v>
          </cell>
        </row>
        <row r="14">
          <cell r="A14" t="str">
            <v>OE 153-70A</v>
          </cell>
        </row>
        <row r="15">
          <cell r="A15" t="str">
            <v>OE 166-60</v>
          </cell>
        </row>
        <row r="16">
          <cell r="A16" t="str">
            <v>OE 166-45A</v>
          </cell>
        </row>
        <row r="17">
          <cell r="A17" t="str">
            <v>OE 166-50</v>
          </cell>
        </row>
        <row r="18">
          <cell r="A18" t="str">
            <v>OE 166-55</v>
          </cell>
        </row>
        <row r="19">
          <cell r="A19" t="str">
            <v>OE 166-60</v>
          </cell>
        </row>
        <row r="20">
          <cell r="A20" t="str">
            <v>OE 166-70</v>
          </cell>
        </row>
        <row r="21">
          <cell r="A21" t="str">
            <v>OE 166-63</v>
          </cell>
        </row>
        <row r="22">
          <cell r="A22" t="str">
            <v>OE 166-80</v>
          </cell>
        </row>
        <row r="23">
          <cell r="A23" t="str">
            <v>OE 184-45</v>
          </cell>
        </row>
        <row r="24">
          <cell r="A24" t="str">
            <v>OE 191-55</v>
          </cell>
        </row>
        <row r="25">
          <cell r="A25" t="str">
            <v>OE 191-60</v>
          </cell>
        </row>
        <row r="26">
          <cell r="A26" t="str">
            <v>OE 191-63</v>
          </cell>
        </row>
        <row r="27">
          <cell r="A27" t="str">
            <v>OE 191-80</v>
          </cell>
        </row>
        <row r="28">
          <cell r="A28" t="str">
            <v>OE 191-80A</v>
          </cell>
        </row>
        <row r="29">
          <cell r="A29" t="str">
            <v>OE 191-85</v>
          </cell>
        </row>
        <row r="30">
          <cell r="A30" t="str">
            <v>OE 210-60</v>
          </cell>
        </row>
        <row r="31">
          <cell r="A31" t="str">
            <v>OE 210-60A</v>
          </cell>
        </row>
        <row r="32">
          <cell r="A32" t="str">
            <v>OE 210-63</v>
          </cell>
        </row>
        <row r="33">
          <cell r="A33" t="str">
            <v>OE 210-75</v>
          </cell>
        </row>
        <row r="34">
          <cell r="A34" t="str">
            <v>OE 210-95</v>
          </cell>
        </row>
        <row r="35">
          <cell r="A35" t="str">
            <v>OE 210-95A</v>
          </cell>
        </row>
        <row r="36">
          <cell r="A36" t="str">
            <v>OE 210-90</v>
          </cell>
        </row>
        <row r="37">
          <cell r="A37" t="str">
            <v>OE 233-60</v>
          </cell>
        </row>
        <row r="38">
          <cell r="A38" t="str">
            <v>OE 233-75</v>
          </cell>
        </row>
        <row r="39">
          <cell r="A39" t="str">
            <v>OE 233-90</v>
          </cell>
        </row>
        <row r="40">
          <cell r="A40" t="str">
            <v>OE 233-110</v>
          </cell>
        </row>
        <row r="41">
          <cell r="A41" t="str">
            <v>OE 233-100</v>
          </cell>
        </row>
        <row r="42">
          <cell r="A42" t="str">
            <v>OE 270-65</v>
          </cell>
        </row>
        <row r="43">
          <cell r="A43" t="str">
            <v>OE 270-80</v>
          </cell>
        </row>
        <row r="44">
          <cell r="A44" t="str">
            <v>OE 270-90</v>
          </cell>
        </row>
        <row r="45">
          <cell r="A45" t="str">
            <v>OE 270-110</v>
          </cell>
        </row>
        <row r="46">
          <cell r="A46" t="str">
            <v>OE 270-120</v>
          </cell>
        </row>
        <row r="47">
          <cell r="A47" t="str">
            <v>OE 270-120A</v>
          </cell>
        </row>
        <row r="48">
          <cell r="A48" t="str">
            <v>OE 302-85</v>
          </cell>
        </row>
        <row r="49">
          <cell r="A49" t="str">
            <v>OE 302-95</v>
          </cell>
        </row>
        <row r="50">
          <cell r="A50" t="str">
            <v>OE 302-100</v>
          </cell>
        </row>
        <row r="51">
          <cell r="A51" t="str">
            <v>OE 302-130</v>
          </cell>
        </row>
        <row r="52">
          <cell r="A52" t="str">
            <v>OE 302-125</v>
          </cell>
        </row>
        <row r="53">
          <cell r="A53" t="str">
            <v>OE 302-120</v>
          </cell>
        </row>
        <row r="54">
          <cell r="A54" t="str">
            <v>OE 320-75</v>
          </cell>
        </row>
        <row r="55">
          <cell r="A55" t="str">
            <v>OE 330-95</v>
          </cell>
        </row>
        <row r="56">
          <cell r="A56" t="str">
            <v>OE 330-125</v>
          </cell>
        </row>
      </sheetData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 Fan entry"/>
      <sheetName val="Impeller Manufacturing data"/>
      <sheetName val="Fan Name List"/>
      <sheetName val="House C Data"/>
      <sheetName val="Impeller C &amp; Run Data"/>
      <sheetName val="Fan Hydraulic Data"/>
      <sheetName val="Fan Data &amp; Deformation"/>
      <sheetName val="Impeller sketch"/>
      <sheetName val="Mechanical data, limits"/>
      <sheetName val="st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>
            <v>170809</v>
          </cell>
          <cell r="C1">
            <v>0</v>
          </cell>
          <cell r="D1" t="str">
            <v>g</v>
          </cell>
          <cell r="E1">
            <v>9.8070000000000004</v>
          </cell>
          <cell r="F1" t="str">
            <v>kgm/s2</v>
          </cell>
          <cell r="G1">
            <v>0</v>
          </cell>
          <cell r="H1">
            <v>0</v>
          </cell>
          <cell r="I1">
            <v>0</v>
          </cell>
          <cell r="J1">
            <v>0</v>
          </cell>
          <cell r="K1">
            <v>0</v>
          </cell>
          <cell r="L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Q1">
            <v>0</v>
          </cell>
          <cell r="R1">
            <v>0</v>
          </cell>
          <cell r="S1">
            <v>0</v>
          </cell>
          <cell r="T1">
            <v>0</v>
          </cell>
          <cell r="U1">
            <v>0</v>
          </cell>
          <cell r="V1">
            <v>0</v>
          </cell>
          <cell r="W1">
            <v>0</v>
          </cell>
          <cell r="X1">
            <v>0</v>
          </cell>
          <cell r="Y1">
            <v>0</v>
          </cell>
        </row>
        <row r="2">
          <cell r="A2">
            <v>0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0</v>
          </cell>
        </row>
        <row r="3">
          <cell r="A3">
            <v>0</v>
          </cell>
          <cell r="B3" t="str">
            <v>d2</v>
          </cell>
          <cell r="C3">
            <v>0</v>
          </cell>
          <cell r="D3" t="str">
            <v>FP, BP</v>
          </cell>
          <cell r="E3" t="str">
            <v>Hub th.</v>
          </cell>
          <cell r="F3" t="str">
            <v>F</v>
          </cell>
          <cell r="G3" t="str">
            <v>X</v>
          </cell>
          <cell r="H3" t="str">
            <v>Y</v>
          </cell>
          <cell r="I3" t="str">
            <v>House B min.</v>
          </cell>
          <cell r="J3">
            <v>0</v>
          </cell>
          <cell r="K3">
            <v>0</v>
          </cell>
          <cell r="L3" t="str">
            <v>House plate thickness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</row>
        <row r="4">
          <cell r="A4">
            <v>0</v>
          </cell>
          <cell r="B4">
            <v>0</v>
          </cell>
          <cell r="C4">
            <v>0</v>
          </cell>
          <cell r="D4" t="str">
            <v xml:space="preserve">T &lt;m&gt; </v>
          </cell>
          <cell r="E4" t="str">
            <v>T&lt;m&gt;</v>
          </cell>
          <cell r="F4">
            <v>0</v>
          </cell>
          <cell r="G4">
            <v>0</v>
          </cell>
          <cell r="H4">
            <v>0</v>
          </cell>
          <cell r="I4" t="str">
            <v>b-in+2*t+Y+N+F+X</v>
          </cell>
          <cell r="J4">
            <v>0</v>
          </cell>
          <cell r="K4" t="str">
            <v>Pt &lt;mmh2o&gt;</v>
          </cell>
          <cell r="L4">
            <v>0</v>
          </cell>
          <cell r="M4">
            <v>500</v>
          </cell>
          <cell r="N4">
            <v>1000</v>
          </cell>
          <cell r="O4">
            <v>1500</v>
          </cell>
          <cell r="P4">
            <v>2000</v>
          </cell>
          <cell r="Q4">
            <v>2500</v>
          </cell>
          <cell r="R4">
            <v>3000</v>
          </cell>
          <cell r="S4">
            <v>3500</v>
          </cell>
          <cell r="T4">
            <v>4000</v>
          </cell>
          <cell r="U4">
            <v>4500</v>
          </cell>
          <cell r="V4">
            <v>5000</v>
          </cell>
          <cell r="W4">
            <v>5500</v>
          </cell>
          <cell r="X4">
            <v>6000</v>
          </cell>
          <cell r="Y4">
            <v>0</v>
          </cell>
        </row>
        <row r="5">
          <cell r="A5">
            <v>0</v>
          </cell>
          <cell r="B5">
            <v>0.10100000000000001</v>
          </cell>
          <cell r="C5">
            <v>0</v>
          </cell>
          <cell r="D5">
            <v>3.0000000000000001E-3</v>
          </cell>
          <cell r="E5">
            <v>8.0000000000000002E-3</v>
          </cell>
          <cell r="F5">
            <v>0.02</v>
          </cell>
          <cell r="G5">
            <v>3.0000000000000001E-3</v>
          </cell>
          <cell r="H5">
            <v>5.0000000000000001E-3</v>
          </cell>
          <cell r="I5">
            <v>0.42591309852252224</v>
          </cell>
          <cell r="J5" t="str">
            <v>m</v>
          </cell>
          <cell r="K5">
            <v>0</v>
          </cell>
          <cell r="L5">
            <v>3.0000000000000001E-3</v>
          </cell>
          <cell r="M5">
            <v>3.0000000000000001E-3</v>
          </cell>
          <cell r="N5">
            <v>3.0000000000000001E-3</v>
          </cell>
          <cell r="O5">
            <v>4.0000000000000001E-3</v>
          </cell>
          <cell r="P5">
            <v>4.0000000000000001E-3</v>
          </cell>
          <cell r="Q5">
            <v>4.0000000000000001E-3</v>
          </cell>
          <cell r="R5">
            <v>5.0000000000000001E-3</v>
          </cell>
          <cell r="S5">
            <v>5.0000000000000001E-3</v>
          </cell>
          <cell r="T5">
            <v>5.0000000000000001E-3</v>
          </cell>
          <cell r="U5">
            <v>6.0000000000000001E-3</v>
          </cell>
          <cell r="V5">
            <v>6.0000000000000001E-3</v>
          </cell>
          <cell r="W5">
            <v>6.0000000000000001E-3</v>
          </cell>
          <cell r="X5">
            <v>7.0000000000000001E-3</v>
          </cell>
          <cell r="Y5">
            <v>0</v>
          </cell>
        </row>
        <row r="6">
          <cell r="A6">
            <v>0</v>
          </cell>
          <cell r="B6">
            <v>0.20100000000000001</v>
          </cell>
          <cell r="C6">
            <v>0</v>
          </cell>
          <cell r="D6">
            <v>4.0000000000000001E-3</v>
          </cell>
          <cell r="E6">
            <v>0.01</v>
          </cell>
          <cell r="F6">
            <v>0.02</v>
          </cell>
          <cell r="G6">
            <v>3.0000000000000001E-3</v>
          </cell>
          <cell r="H6">
            <v>5.0000000000000001E-3</v>
          </cell>
          <cell r="I6">
            <v>0.42991309852252224</v>
          </cell>
          <cell r="J6" t="str">
            <v>m</v>
          </cell>
          <cell r="K6">
            <v>0</v>
          </cell>
          <cell r="L6">
            <v>3.0000000000000001E-3</v>
          </cell>
          <cell r="M6">
            <v>3.0000000000000001E-3</v>
          </cell>
          <cell r="N6">
            <v>4.0000000000000001E-3</v>
          </cell>
          <cell r="O6">
            <v>4.0000000000000001E-3</v>
          </cell>
          <cell r="P6">
            <v>4.0000000000000001E-3</v>
          </cell>
          <cell r="Q6">
            <v>5.0000000000000001E-3</v>
          </cell>
          <cell r="R6">
            <v>5.0000000000000001E-3</v>
          </cell>
          <cell r="S6">
            <v>5.0000000000000001E-3</v>
          </cell>
          <cell r="T6">
            <v>6.0000000000000001E-3</v>
          </cell>
          <cell r="U6">
            <v>6.0000000000000001E-3</v>
          </cell>
          <cell r="V6">
            <v>6.0000000000000001E-3</v>
          </cell>
          <cell r="W6">
            <v>7.0000000000000001E-3</v>
          </cell>
          <cell r="X6">
            <v>7.0000000000000001E-3</v>
          </cell>
          <cell r="Y6">
            <v>0</v>
          </cell>
        </row>
        <row r="7">
          <cell r="A7">
            <v>0</v>
          </cell>
          <cell r="B7">
            <v>0.30100000000000005</v>
          </cell>
          <cell r="C7">
            <v>0</v>
          </cell>
          <cell r="D7">
            <v>4.0000000000000001E-3</v>
          </cell>
          <cell r="E7">
            <v>0.01</v>
          </cell>
          <cell r="F7">
            <v>0.02</v>
          </cell>
          <cell r="G7">
            <v>3.0000000000000001E-3</v>
          </cell>
          <cell r="H7">
            <v>0.01</v>
          </cell>
          <cell r="I7">
            <v>0.43491309852252225</v>
          </cell>
          <cell r="J7" t="str">
            <v>m</v>
          </cell>
          <cell r="K7">
            <v>0</v>
          </cell>
          <cell r="L7">
            <v>3.0000000000000001E-3</v>
          </cell>
          <cell r="M7">
            <v>4.0000000000000001E-3</v>
          </cell>
          <cell r="N7">
            <v>4.0000000000000001E-3</v>
          </cell>
          <cell r="O7">
            <v>4.0000000000000001E-3</v>
          </cell>
          <cell r="P7">
            <v>4.0000000000000001E-3</v>
          </cell>
          <cell r="Q7">
            <v>5.0000000000000001E-3</v>
          </cell>
          <cell r="R7">
            <v>5.0000000000000001E-3</v>
          </cell>
          <cell r="S7">
            <v>5.0000000000000001E-3</v>
          </cell>
          <cell r="T7">
            <v>6.0000000000000001E-3</v>
          </cell>
          <cell r="U7">
            <v>6.0000000000000001E-3</v>
          </cell>
          <cell r="V7">
            <v>6.0000000000000001E-3</v>
          </cell>
          <cell r="W7">
            <v>7.0000000000000001E-3</v>
          </cell>
          <cell r="X7">
            <v>7.0000000000000001E-3</v>
          </cell>
          <cell r="Y7">
            <v>0</v>
          </cell>
        </row>
        <row r="8">
          <cell r="A8">
            <v>0</v>
          </cell>
          <cell r="B8">
            <v>0.40100000000000002</v>
          </cell>
          <cell r="C8">
            <v>0</v>
          </cell>
          <cell r="D8">
            <v>4.0000000000000001E-3</v>
          </cell>
          <cell r="E8">
            <v>1.3000000000000001E-2</v>
          </cell>
          <cell r="F8">
            <v>0.02</v>
          </cell>
          <cell r="G8">
            <v>5.0000000000000001E-3</v>
          </cell>
          <cell r="H8">
            <v>1.4999999999999999E-2</v>
          </cell>
          <cell r="I8">
            <v>0.44491309852252225</v>
          </cell>
          <cell r="J8" t="str">
            <v>m</v>
          </cell>
          <cell r="K8">
            <v>0</v>
          </cell>
          <cell r="L8">
            <v>4.0000000000000001E-3</v>
          </cell>
          <cell r="M8">
            <v>4.0000000000000001E-3</v>
          </cell>
          <cell r="N8">
            <v>4.0000000000000001E-3</v>
          </cell>
          <cell r="O8">
            <v>4.0000000000000001E-3</v>
          </cell>
          <cell r="P8">
            <v>5.0000000000000001E-3</v>
          </cell>
          <cell r="Q8">
            <v>5.0000000000000001E-3</v>
          </cell>
          <cell r="R8">
            <v>5.0000000000000001E-3</v>
          </cell>
          <cell r="S8">
            <v>6.0000000000000001E-3</v>
          </cell>
          <cell r="T8">
            <v>6.0000000000000001E-3</v>
          </cell>
          <cell r="U8">
            <v>6.0000000000000001E-3</v>
          </cell>
          <cell r="V8">
            <v>7.0000000000000001E-3</v>
          </cell>
          <cell r="W8">
            <v>7.0000000000000001E-3</v>
          </cell>
          <cell r="X8">
            <v>7.0000000000000001E-3</v>
          </cell>
          <cell r="Y8">
            <v>0</v>
          </cell>
        </row>
        <row r="9">
          <cell r="A9">
            <v>0</v>
          </cell>
          <cell r="B9">
            <v>0.501</v>
          </cell>
          <cell r="C9">
            <v>0</v>
          </cell>
          <cell r="D9">
            <v>4.0000000000000001E-3</v>
          </cell>
          <cell r="E9">
            <v>1.3000000000000001E-2</v>
          </cell>
          <cell r="F9">
            <v>0.02</v>
          </cell>
          <cell r="G9">
            <v>5.0000000000000001E-3</v>
          </cell>
          <cell r="H9">
            <v>1.4999999999999999E-2</v>
          </cell>
          <cell r="I9">
            <v>0.44491309852252225</v>
          </cell>
          <cell r="J9" t="str">
            <v>m</v>
          </cell>
          <cell r="K9">
            <v>0</v>
          </cell>
          <cell r="L9">
            <v>4.0000000000000001E-3</v>
          </cell>
          <cell r="M9">
            <v>4.0000000000000001E-3</v>
          </cell>
          <cell r="N9">
            <v>4.0000000000000001E-3</v>
          </cell>
          <cell r="O9">
            <v>4.0000000000000001E-3</v>
          </cell>
          <cell r="P9">
            <v>5.0000000000000001E-3</v>
          </cell>
          <cell r="Q9">
            <v>5.0000000000000001E-3</v>
          </cell>
          <cell r="R9">
            <v>5.0000000000000001E-3</v>
          </cell>
          <cell r="S9">
            <v>6.0000000000000001E-3</v>
          </cell>
          <cell r="T9">
            <v>6.0000000000000001E-3</v>
          </cell>
          <cell r="U9">
            <v>6.0000000000000001E-3</v>
          </cell>
          <cell r="V9">
            <v>7.0000000000000001E-3</v>
          </cell>
          <cell r="W9">
            <v>7.0000000000000001E-3</v>
          </cell>
          <cell r="X9">
            <v>7.0000000000000001E-3</v>
          </cell>
          <cell r="Y9">
            <v>0</v>
          </cell>
        </row>
        <row r="10">
          <cell r="A10">
            <v>0</v>
          </cell>
          <cell r="B10">
            <v>0.60099999999999998</v>
          </cell>
          <cell r="C10">
            <v>0</v>
          </cell>
          <cell r="D10">
            <v>4.0000000000000001E-3</v>
          </cell>
          <cell r="E10">
            <v>1.3000000000000001E-2</v>
          </cell>
          <cell r="F10">
            <v>0.02</v>
          </cell>
          <cell r="G10">
            <v>6.0000000000000001E-3</v>
          </cell>
          <cell r="H10">
            <v>1.4999999999999999E-2</v>
          </cell>
          <cell r="I10">
            <v>0.44591309852252226</v>
          </cell>
          <cell r="J10" t="str">
            <v>m</v>
          </cell>
          <cell r="K10">
            <v>0</v>
          </cell>
          <cell r="L10">
            <v>4.0000000000000001E-3</v>
          </cell>
          <cell r="M10">
            <v>4.0000000000000001E-3</v>
          </cell>
          <cell r="N10">
            <v>4.0000000000000001E-3</v>
          </cell>
          <cell r="O10">
            <v>5.0000000000000001E-3</v>
          </cell>
          <cell r="P10">
            <v>5.0000000000000001E-3</v>
          </cell>
          <cell r="Q10">
            <v>5.0000000000000001E-3</v>
          </cell>
          <cell r="R10">
            <v>6.0000000000000001E-3</v>
          </cell>
          <cell r="S10">
            <v>6.0000000000000001E-3</v>
          </cell>
          <cell r="T10">
            <v>6.0000000000000001E-3</v>
          </cell>
          <cell r="U10">
            <v>7.0000000000000001E-3</v>
          </cell>
          <cell r="V10">
            <v>7.0000000000000001E-3</v>
          </cell>
          <cell r="W10">
            <v>7.0000000000000001E-3</v>
          </cell>
          <cell r="X10">
            <v>8.0000000000000002E-3</v>
          </cell>
          <cell r="Y10">
            <v>0</v>
          </cell>
        </row>
        <row r="11">
          <cell r="A11">
            <v>0</v>
          </cell>
          <cell r="B11">
            <v>0.70099999999999996</v>
          </cell>
          <cell r="C11">
            <v>0</v>
          </cell>
          <cell r="D11">
            <v>5.0000000000000001E-3</v>
          </cell>
          <cell r="E11">
            <v>1.3000000000000001E-2</v>
          </cell>
          <cell r="F11">
            <v>0.02</v>
          </cell>
          <cell r="G11">
            <v>6.0000000000000001E-3</v>
          </cell>
          <cell r="H11">
            <v>1.4999999999999999E-2</v>
          </cell>
          <cell r="I11">
            <v>0.44791309852252226</v>
          </cell>
          <cell r="J11" t="str">
            <v>m</v>
          </cell>
          <cell r="K11">
            <v>0</v>
          </cell>
          <cell r="L11">
            <v>4.0000000000000001E-3</v>
          </cell>
          <cell r="M11">
            <v>4.0000000000000001E-3</v>
          </cell>
          <cell r="N11">
            <v>4.0000000000000001E-3</v>
          </cell>
          <cell r="O11">
            <v>5.0000000000000001E-3</v>
          </cell>
          <cell r="P11">
            <v>5.0000000000000001E-3</v>
          </cell>
          <cell r="Q11">
            <v>5.0000000000000001E-3</v>
          </cell>
          <cell r="R11">
            <v>6.0000000000000001E-3</v>
          </cell>
          <cell r="S11">
            <v>6.0000000000000001E-3</v>
          </cell>
          <cell r="T11">
            <v>6.0000000000000001E-3</v>
          </cell>
          <cell r="U11">
            <v>7.0000000000000001E-3</v>
          </cell>
          <cell r="V11">
            <v>7.0000000000000001E-3</v>
          </cell>
          <cell r="W11">
            <v>7.0000000000000001E-3</v>
          </cell>
          <cell r="X11">
            <v>8.0000000000000002E-3</v>
          </cell>
          <cell r="Y11">
            <v>0</v>
          </cell>
        </row>
        <row r="12">
          <cell r="A12">
            <v>0</v>
          </cell>
          <cell r="B12">
            <v>0.80099999999999993</v>
          </cell>
          <cell r="C12">
            <v>0</v>
          </cell>
          <cell r="D12">
            <v>5.0000000000000001E-3</v>
          </cell>
          <cell r="E12">
            <v>1.8000000000000002E-2</v>
          </cell>
          <cell r="F12">
            <v>0.02</v>
          </cell>
          <cell r="G12">
            <v>7.000000000000001E-3</v>
          </cell>
          <cell r="H12">
            <v>1.8000000000000002E-2</v>
          </cell>
          <cell r="I12">
            <v>0.45691309852252227</v>
          </cell>
          <cell r="J12" t="str">
            <v>m</v>
          </cell>
          <cell r="K12">
            <v>0</v>
          </cell>
          <cell r="L12">
            <v>4.0000000000000001E-3</v>
          </cell>
          <cell r="M12">
            <v>4.0000000000000001E-3</v>
          </cell>
          <cell r="N12">
            <v>5.0000000000000001E-3</v>
          </cell>
          <cell r="O12">
            <v>5.0000000000000001E-3</v>
          </cell>
          <cell r="P12">
            <v>5.0000000000000001E-3</v>
          </cell>
          <cell r="Q12">
            <v>6.0000000000000001E-3</v>
          </cell>
          <cell r="R12">
            <v>6.0000000000000001E-3</v>
          </cell>
          <cell r="S12">
            <v>6.0000000000000001E-3</v>
          </cell>
          <cell r="T12">
            <v>7.0000000000000001E-3</v>
          </cell>
          <cell r="U12">
            <v>7.0000000000000001E-3</v>
          </cell>
          <cell r="V12">
            <v>7.0000000000000001E-3</v>
          </cell>
          <cell r="W12">
            <v>8.0000000000000002E-3</v>
          </cell>
          <cell r="X12">
            <v>8.0000000000000002E-3</v>
          </cell>
          <cell r="Y12">
            <v>0</v>
          </cell>
        </row>
        <row r="13">
          <cell r="A13">
            <v>0</v>
          </cell>
          <cell r="B13">
            <v>0.90099999999999991</v>
          </cell>
          <cell r="C13">
            <v>0</v>
          </cell>
          <cell r="D13">
            <v>6.0000000000000001E-3</v>
          </cell>
          <cell r="E13">
            <v>1.8000000000000002E-2</v>
          </cell>
          <cell r="F13">
            <v>0.02</v>
          </cell>
          <cell r="G13">
            <v>7.000000000000001E-3</v>
          </cell>
          <cell r="H13">
            <v>1.8000000000000002E-2</v>
          </cell>
          <cell r="I13">
            <v>0.45891309852252227</v>
          </cell>
          <cell r="J13" t="str">
            <v>m</v>
          </cell>
          <cell r="K13">
            <v>0</v>
          </cell>
          <cell r="L13">
            <v>4.0000000000000001E-3</v>
          </cell>
          <cell r="M13">
            <v>4.0000000000000001E-3</v>
          </cell>
          <cell r="N13">
            <v>5.0000000000000001E-3</v>
          </cell>
          <cell r="O13">
            <v>5.0000000000000001E-3</v>
          </cell>
          <cell r="P13">
            <v>5.0000000000000001E-3</v>
          </cell>
          <cell r="Q13">
            <v>6.0000000000000001E-3</v>
          </cell>
          <cell r="R13">
            <v>6.0000000000000001E-3</v>
          </cell>
          <cell r="S13">
            <v>6.0000000000000001E-3</v>
          </cell>
          <cell r="T13">
            <v>7.0000000000000001E-3</v>
          </cell>
          <cell r="U13">
            <v>7.0000000000000001E-3</v>
          </cell>
          <cell r="V13">
            <v>7.0000000000000001E-3</v>
          </cell>
          <cell r="W13">
            <v>8.0000000000000002E-3</v>
          </cell>
          <cell r="X13">
            <v>8.0000000000000002E-3</v>
          </cell>
          <cell r="Y13">
            <v>0</v>
          </cell>
        </row>
        <row r="14">
          <cell r="A14">
            <v>0</v>
          </cell>
          <cell r="B14">
            <v>1.0009999999999999</v>
          </cell>
          <cell r="C14">
            <v>0</v>
          </cell>
          <cell r="D14">
            <v>6.0000000000000001E-3</v>
          </cell>
          <cell r="E14">
            <v>1.8000000000000002E-2</v>
          </cell>
          <cell r="F14">
            <v>0.02</v>
          </cell>
          <cell r="G14">
            <v>8.0000000000000002E-3</v>
          </cell>
          <cell r="H14">
            <v>1.8000000000000002E-2</v>
          </cell>
          <cell r="I14">
            <v>0.45991309852252227</v>
          </cell>
          <cell r="J14" t="str">
            <v>m</v>
          </cell>
          <cell r="K14">
            <v>0</v>
          </cell>
          <cell r="L14">
            <v>4.0000000000000001E-3</v>
          </cell>
          <cell r="M14">
            <v>5.0000000000000001E-3</v>
          </cell>
          <cell r="N14">
            <v>5.0000000000000001E-3</v>
          </cell>
          <cell r="O14">
            <v>5.0000000000000001E-3</v>
          </cell>
          <cell r="P14">
            <v>6.0000000000000001E-3</v>
          </cell>
          <cell r="Q14">
            <v>6.0000000000000001E-3</v>
          </cell>
          <cell r="R14">
            <v>6.0000000000000001E-3</v>
          </cell>
          <cell r="S14">
            <v>7.0000000000000001E-3</v>
          </cell>
          <cell r="T14">
            <v>7.0000000000000001E-3</v>
          </cell>
          <cell r="U14">
            <v>7.0000000000000001E-3</v>
          </cell>
          <cell r="V14">
            <v>8.0000000000000002E-3</v>
          </cell>
          <cell r="W14">
            <v>8.0000000000000002E-3</v>
          </cell>
          <cell r="X14">
            <v>8.0000000000000002E-3</v>
          </cell>
          <cell r="Y14">
            <v>0</v>
          </cell>
        </row>
        <row r="15">
          <cell r="A15">
            <v>0</v>
          </cell>
          <cell r="B15">
            <v>1.101</v>
          </cell>
          <cell r="C15">
            <v>0</v>
          </cell>
          <cell r="D15">
            <v>6.0000000000000001E-3</v>
          </cell>
          <cell r="E15">
            <v>1.8000000000000002E-2</v>
          </cell>
          <cell r="F15">
            <v>0.03</v>
          </cell>
          <cell r="G15">
            <v>8.9999999999999993E-3</v>
          </cell>
          <cell r="H15">
            <v>1.8000000000000002E-2</v>
          </cell>
          <cell r="I15">
            <v>0.47091309852252228</v>
          </cell>
          <cell r="J15" t="str">
            <v>m</v>
          </cell>
          <cell r="K15">
            <v>0</v>
          </cell>
          <cell r="L15">
            <v>4.0000000000000001E-3</v>
          </cell>
          <cell r="M15">
            <v>5.0000000000000001E-3</v>
          </cell>
          <cell r="N15">
            <v>5.0000000000000001E-3</v>
          </cell>
          <cell r="O15">
            <v>5.0000000000000001E-3</v>
          </cell>
          <cell r="P15">
            <v>6.0000000000000001E-3</v>
          </cell>
          <cell r="Q15">
            <v>6.0000000000000001E-3</v>
          </cell>
          <cell r="R15">
            <v>6.0000000000000001E-3</v>
          </cell>
          <cell r="S15">
            <v>7.0000000000000001E-3</v>
          </cell>
          <cell r="T15">
            <v>7.0000000000000001E-3</v>
          </cell>
          <cell r="U15">
            <v>7.0000000000000001E-3</v>
          </cell>
          <cell r="V15">
            <v>8.0000000000000002E-3</v>
          </cell>
          <cell r="W15">
            <v>8.0000000000000002E-3</v>
          </cell>
          <cell r="X15">
            <v>8.0000000000000002E-3</v>
          </cell>
          <cell r="Y15">
            <v>0</v>
          </cell>
        </row>
        <row r="16">
          <cell r="A16">
            <v>0</v>
          </cell>
          <cell r="B16">
            <v>1.2010000000000001</v>
          </cell>
          <cell r="C16">
            <v>0</v>
          </cell>
          <cell r="D16">
            <v>6.0000000000000001E-3</v>
          </cell>
          <cell r="E16">
            <v>1.8000000000000002E-2</v>
          </cell>
          <cell r="F16">
            <v>0.03</v>
          </cell>
          <cell r="G16">
            <v>8.9999999999999993E-3</v>
          </cell>
          <cell r="H16">
            <v>1.8000000000000002E-2</v>
          </cell>
          <cell r="I16">
            <v>0.47091309852252228</v>
          </cell>
          <cell r="J16" t="str">
            <v>m</v>
          </cell>
          <cell r="K16">
            <v>0</v>
          </cell>
          <cell r="L16">
            <v>5.0000000000000001E-3</v>
          </cell>
          <cell r="M16">
            <v>5.0000000000000001E-3</v>
          </cell>
          <cell r="N16">
            <v>5.0000000000000001E-3</v>
          </cell>
          <cell r="O16">
            <v>6.0000000000000001E-3</v>
          </cell>
          <cell r="P16">
            <v>6.0000000000000001E-3</v>
          </cell>
          <cell r="Q16">
            <v>6.0000000000000001E-3</v>
          </cell>
          <cell r="R16">
            <v>7.0000000000000001E-3</v>
          </cell>
          <cell r="S16">
            <v>7.0000000000000001E-3</v>
          </cell>
          <cell r="T16">
            <v>7.0000000000000001E-3</v>
          </cell>
          <cell r="U16">
            <v>8.0000000000000002E-3</v>
          </cell>
          <cell r="V16">
            <v>8.0000000000000002E-3</v>
          </cell>
          <cell r="W16">
            <v>8.0000000000000002E-3</v>
          </cell>
          <cell r="X16">
            <v>0.01</v>
          </cell>
          <cell r="Y16">
            <v>0</v>
          </cell>
        </row>
        <row r="17">
          <cell r="A17">
            <v>0</v>
          </cell>
          <cell r="B17">
            <v>1.3010000000000002</v>
          </cell>
          <cell r="C17">
            <v>0</v>
          </cell>
          <cell r="D17">
            <v>6.0000000000000001E-3</v>
          </cell>
          <cell r="E17">
            <v>0.02</v>
          </cell>
          <cell r="F17">
            <v>0.03</v>
          </cell>
          <cell r="G17">
            <v>0.01</v>
          </cell>
          <cell r="H17">
            <v>0.02</v>
          </cell>
          <cell r="I17">
            <v>0.47591309852252228</v>
          </cell>
          <cell r="J17" t="str">
            <v>m</v>
          </cell>
          <cell r="K17">
            <v>0</v>
          </cell>
          <cell r="L17">
            <v>5.0000000000000001E-3</v>
          </cell>
          <cell r="M17">
            <v>5.0000000000000001E-3</v>
          </cell>
          <cell r="N17">
            <v>5.0000000000000001E-3</v>
          </cell>
          <cell r="O17">
            <v>6.0000000000000001E-3</v>
          </cell>
          <cell r="P17">
            <v>6.0000000000000001E-3</v>
          </cell>
          <cell r="Q17">
            <v>6.0000000000000001E-3</v>
          </cell>
          <cell r="R17">
            <v>7.0000000000000001E-3</v>
          </cell>
          <cell r="S17">
            <v>7.0000000000000001E-3</v>
          </cell>
          <cell r="T17">
            <v>7.0000000000000001E-3</v>
          </cell>
          <cell r="U17">
            <v>8.0000000000000002E-3</v>
          </cell>
          <cell r="V17">
            <v>8.0000000000000002E-3</v>
          </cell>
          <cell r="W17">
            <v>8.0000000000000002E-3</v>
          </cell>
          <cell r="X17">
            <v>0.01</v>
          </cell>
          <cell r="Y17">
            <v>0</v>
          </cell>
        </row>
        <row r="18">
          <cell r="A18">
            <v>0</v>
          </cell>
          <cell r="B18">
            <v>1.4010000000000002</v>
          </cell>
          <cell r="C18">
            <v>0</v>
          </cell>
          <cell r="D18">
            <v>6.0000000000000001E-3</v>
          </cell>
          <cell r="E18">
            <v>0.02</v>
          </cell>
          <cell r="F18">
            <v>0.03</v>
          </cell>
          <cell r="G18">
            <v>1.0999999999999999E-2</v>
          </cell>
          <cell r="H18">
            <v>0.02</v>
          </cell>
          <cell r="I18">
            <v>0.47691309852252228</v>
          </cell>
          <cell r="J18" t="str">
            <v>m</v>
          </cell>
          <cell r="K18">
            <v>0</v>
          </cell>
          <cell r="L18">
            <v>5.0000000000000001E-3</v>
          </cell>
          <cell r="M18">
            <v>5.0000000000000001E-3</v>
          </cell>
          <cell r="N18">
            <v>6.0000000000000001E-3</v>
          </cell>
          <cell r="O18">
            <v>6.0000000000000001E-3</v>
          </cell>
          <cell r="P18">
            <v>6.0000000000000001E-3</v>
          </cell>
          <cell r="Q18">
            <v>7.0000000000000001E-3</v>
          </cell>
          <cell r="R18">
            <v>7.0000000000000001E-3</v>
          </cell>
          <cell r="S18">
            <v>7.0000000000000001E-3</v>
          </cell>
          <cell r="T18">
            <v>8.0000000000000002E-3</v>
          </cell>
          <cell r="U18">
            <v>8.0000000000000002E-3</v>
          </cell>
          <cell r="V18">
            <v>8.0000000000000002E-3</v>
          </cell>
          <cell r="W18">
            <v>0.01</v>
          </cell>
          <cell r="X18">
            <v>0.01</v>
          </cell>
          <cell r="Y18">
            <v>0</v>
          </cell>
        </row>
        <row r="19">
          <cell r="A19">
            <v>0</v>
          </cell>
          <cell r="B19">
            <v>1.5010000000000003</v>
          </cell>
          <cell r="C19">
            <v>0</v>
          </cell>
          <cell r="D19">
            <v>6.0000000000000001E-3</v>
          </cell>
          <cell r="E19">
            <v>0.02</v>
          </cell>
          <cell r="F19">
            <v>0.03</v>
          </cell>
          <cell r="G19">
            <v>1.2E-2</v>
          </cell>
          <cell r="H19">
            <v>0.02</v>
          </cell>
          <cell r="I19">
            <v>0.47791309852252228</v>
          </cell>
          <cell r="J19" t="str">
            <v>m</v>
          </cell>
          <cell r="K19">
            <v>0</v>
          </cell>
          <cell r="L19">
            <v>5.0000000000000001E-3</v>
          </cell>
          <cell r="M19">
            <v>5.0000000000000001E-3</v>
          </cell>
          <cell r="N19">
            <v>6.0000000000000001E-3</v>
          </cell>
          <cell r="O19">
            <v>6.0000000000000001E-3</v>
          </cell>
          <cell r="P19">
            <v>6.0000000000000001E-3</v>
          </cell>
          <cell r="Q19">
            <v>7.0000000000000001E-3</v>
          </cell>
          <cell r="R19">
            <v>7.0000000000000001E-3</v>
          </cell>
          <cell r="S19">
            <v>7.0000000000000001E-3</v>
          </cell>
          <cell r="T19">
            <v>8.0000000000000002E-3</v>
          </cell>
          <cell r="U19">
            <v>8.0000000000000002E-3</v>
          </cell>
          <cell r="V19">
            <v>8.0000000000000002E-3</v>
          </cell>
          <cell r="W19">
            <v>0.01</v>
          </cell>
          <cell r="X19">
            <v>0.01</v>
          </cell>
          <cell r="Y19">
            <v>0</v>
          </cell>
        </row>
        <row r="20">
          <cell r="A20">
            <v>0</v>
          </cell>
          <cell r="B20">
            <v>1.6010000000000004</v>
          </cell>
          <cell r="C20">
            <v>0</v>
          </cell>
          <cell r="D20">
            <v>6.0000000000000001E-3</v>
          </cell>
          <cell r="E20">
            <v>2.1999999999999999E-2</v>
          </cell>
          <cell r="F20">
            <v>0.03</v>
          </cell>
          <cell r="G20">
            <v>1.2E-2</v>
          </cell>
          <cell r="H20">
            <v>0.02</v>
          </cell>
          <cell r="I20">
            <v>0.47991309852252229</v>
          </cell>
          <cell r="J20" t="str">
            <v>m</v>
          </cell>
          <cell r="K20">
            <v>0</v>
          </cell>
          <cell r="L20">
            <v>5.0000000000000001E-3</v>
          </cell>
          <cell r="M20">
            <v>6.0000000000000001E-3</v>
          </cell>
          <cell r="N20">
            <v>6.0000000000000001E-3</v>
          </cell>
          <cell r="O20">
            <v>6.0000000000000001E-3</v>
          </cell>
          <cell r="P20">
            <v>7.0000000000000001E-3</v>
          </cell>
          <cell r="Q20">
            <v>7.0000000000000001E-3</v>
          </cell>
          <cell r="R20">
            <v>7.0000000000000001E-3</v>
          </cell>
          <cell r="S20">
            <v>8.0000000000000002E-3</v>
          </cell>
          <cell r="T20">
            <v>8.0000000000000002E-3</v>
          </cell>
          <cell r="U20">
            <v>8.0000000000000002E-3</v>
          </cell>
          <cell r="V20">
            <v>0.01</v>
          </cell>
          <cell r="W20">
            <v>0.01</v>
          </cell>
          <cell r="X20">
            <v>0.01</v>
          </cell>
          <cell r="Y20">
            <v>0</v>
          </cell>
        </row>
        <row r="21">
          <cell r="A21">
            <v>0</v>
          </cell>
          <cell r="B21">
            <v>1.7010000000000005</v>
          </cell>
          <cell r="C21">
            <v>0</v>
          </cell>
          <cell r="D21">
            <v>6.0000000000000001E-3</v>
          </cell>
          <cell r="E21">
            <v>2.1999999999999999E-2</v>
          </cell>
          <cell r="F21">
            <v>0.03</v>
          </cell>
          <cell r="G21">
            <v>1.3000000000000001E-2</v>
          </cell>
          <cell r="H21">
            <v>0.02</v>
          </cell>
          <cell r="I21">
            <v>0.48091309852252229</v>
          </cell>
          <cell r="J21" t="str">
            <v>m</v>
          </cell>
          <cell r="K21">
            <v>0</v>
          </cell>
          <cell r="L21">
            <v>5.0000000000000001E-3</v>
          </cell>
          <cell r="M21">
            <v>6.0000000000000001E-3</v>
          </cell>
          <cell r="N21">
            <v>6.0000000000000001E-3</v>
          </cell>
          <cell r="O21">
            <v>6.0000000000000001E-3</v>
          </cell>
          <cell r="P21">
            <v>7.0000000000000001E-3</v>
          </cell>
          <cell r="Q21">
            <v>7.0000000000000001E-3</v>
          </cell>
          <cell r="R21">
            <v>7.0000000000000001E-3</v>
          </cell>
          <cell r="S21">
            <v>8.0000000000000002E-3</v>
          </cell>
          <cell r="T21">
            <v>8.0000000000000002E-3</v>
          </cell>
          <cell r="U21">
            <v>8.0000000000000002E-3</v>
          </cell>
          <cell r="V21">
            <v>0.01</v>
          </cell>
          <cell r="W21">
            <v>0.01</v>
          </cell>
          <cell r="X21">
            <v>0.01</v>
          </cell>
          <cell r="Y21">
            <v>0</v>
          </cell>
        </row>
        <row r="22">
          <cell r="A22">
            <v>0</v>
          </cell>
          <cell r="B22">
            <v>1.8010000000000006</v>
          </cell>
          <cell r="C22">
            <v>0</v>
          </cell>
          <cell r="D22">
            <v>6.0000000000000001E-3</v>
          </cell>
          <cell r="E22">
            <v>2.1999999999999999E-2</v>
          </cell>
          <cell r="F22">
            <v>0.03</v>
          </cell>
          <cell r="G22">
            <v>1.4000000000000002E-2</v>
          </cell>
          <cell r="H22">
            <v>0.02</v>
          </cell>
          <cell r="I22">
            <v>0.48191309852252229</v>
          </cell>
          <cell r="J22" t="str">
            <v>m</v>
          </cell>
          <cell r="K22">
            <v>0</v>
          </cell>
          <cell r="L22">
            <v>6.0000000000000001E-3</v>
          </cell>
          <cell r="M22">
            <v>6.0000000000000001E-3</v>
          </cell>
          <cell r="N22">
            <v>6.0000000000000001E-3</v>
          </cell>
          <cell r="O22">
            <v>7.0000000000000001E-3</v>
          </cell>
          <cell r="P22">
            <v>7.0000000000000001E-3</v>
          </cell>
          <cell r="Q22">
            <v>7.0000000000000001E-3</v>
          </cell>
          <cell r="R22">
            <v>8.0000000000000002E-3</v>
          </cell>
          <cell r="S22">
            <v>8.0000000000000002E-3</v>
          </cell>
          <cell r="T22">
            <v>8.0000000000000002E-3</v>
          </cell>
          <cell r="U22">
            <v>0.01</v>
          </cell>
          <cell r="V22">
            <v>0.01</v>
          </cell>
          <cell r="W22">
            <v>0.01</v>
          </cell>
          <cell r="X22">
            <v>1.2E-2</v>
          </cell>
          <cell r="Y22">
            <v>0</v>
          </cell>
        </row>
        <row r="23">
          <cell r="A23">
            <v>0</v>
          </cell>
          <cell r="B23">
            <v>1.9010000000000007</v>
          </cell>
          <cell r="C23">
            <v>0</v>
          </cell>
          <cell r="D23">
            <v>6.0000000000000001E-3</v>
          </cell>
          <cell r="E23">
            <v>2.1999999999999999E-2</v>
          </cell>
          <cell r="F23">
            <v>0.03</v>
          </cell>
          <cell r="G23">
            <v>1.4999999999999999E-2</v>
          </cell>
          <cell r="H23">
            <v>0.02</v>
          </cell>
          <cell r="I23">
            <v>0.48291309852252229</v>
          </cell>
          <cell r="J23" t="str">
            <v>m</v>
          </cell>
          <cell r="K23">
            <v>0</v>
          </cell>
          <cell r="L23">
            <v>6.0000000000000001E-3</v>
          </cell>
          <cell r="M23">
            <v>6.0000000000000001E-3</v>
          </cell>
          <cell r="N23">
            <v>6.0000000000000001E-3</v>
          </cell>
          <cell r="O23">
            <v>7.0000000000000001E-3</v>
          </cell>
          <cell r="P23">
            <v>7.0000000000000001E-3</v>
          </cell>
          <cell r="Q23">
            <v>7.0000000000000001E-3</v>
          </cell>
          <cell r="R23">
            <v>8.0000000000000002E-3</v>
          </cell>
          <cell r="S23">
            <v>8.0000000000000002E-3</v>
          </cell>
          <cell r="T23">
            <v>8.0000000000000002E-3</v>
          </cell>
          <cell r="U23">
            <v>0.01</v>
          </cell>
          <cell r="V23">
            <v>0.01</v>
          </cell>
          <cell r="W23">
            <v>0.01</v>
          </cell>
          <cell r="X23">
            <v>1.2E-2</v>
          </cell>
          <cell r="Y23">
            <v>0</v>
          </cell>
        </row>
        <row r="24">
          <cell r="A24">
            <v>0</v>
          </cell>
          <cell r="B24">
            <v>2.0010000000000008</v>
          </cell>
          <cell r="C24">
            <v>0</v>
          </cell>
          <cell r="D24">
            <v>8.0000000000000002E-3</v>
          </cell>
          <cell r="E24">
            <v>2.5000000000000001E-2</v>
          </cell>
          <cell r="F24">
            <v>0.03</v>
          </cell>
          <cell r="G24">
            <v>1.6E-2</v>
          </cell>
          <cell r="H24">
            <v>0.02</v>
          </cell>
          <cell r="I24">
            <v>0.4909130985225223</v>
          </cell>
          <cell r="J24" t="str">
            <v>m</v>
          </cell>
          <cell r="K24">
            <v>0</v>
          </cell>
          <cell r="L24">
            <v>6.0000000000000001E-3</v>
          </cell>
          <cell r="M24">
            <v>6.0000000000000001E-3</v>
          </cell>
          <cell r="N24">
            <v>7.0000000000000001E-3</v>
          </cell>
          <cell r="O24">
            <v>7.0000000000000001E-3</v>
          </cell>
          <cell r="P24">
            <v>7.0000000000000001E-3</v>
          </cell>
          <cell r="Q24">
            <v>8.0000000000000002E-3</v>
          </cell>
          <cell r="R24">
            <v>8.0000000000000002E-3</v>
          </cell>
          <cell r="S24">
            <v>8.0000000000000002E-3</v>
          </cell>
          <cell r="T24">
            <v>0.01</v>
          </cell>
          <cell r="U24">
            <v>0.01</v>
          </cell>
          <cell r="V24">
            <v>0.01</v>
          </cell>
          <cell r="W24">
            <v>1.2E-2</v>
          </cell>
          <cell r="X24">
            <v>1.2E-2</v>
          </cell>
          <cell r="Y24">
            <v>0</v>
          </cell>
        </row>
        <row r="25">
          <cell r="A25">
            <v>0</v>
          </cell>
          <cell r="B25">
            <v>2.1010000000000009</v>
          </cell>
          <cell r="C25">
            <v>0</v>
          </cell>
          <cell r="D25">
            <v>8.0000000000000002E-3</v>
          </cell>
          <cell r="E25">
            <v>2.5000000000000001E-2</v>
          </cell>
          <cell r="F25">
            <v>0.04</v>
          </cell>
          <cell r="G25">
            <v>1.6E-2</v>
          </cell>
          <cell r="H25">
            <v>0.02</v>
          </cell>
          <cell r="I25">
            <v>0.5009130985225223</v>
          </cell>
          <cell r="J25" t="str">
            <v>m</v>
          </cell>
          <cell r="K25">
            <v>0</v>
          </cell>
          <cell r="L25">
            <v>6.0000000000000001E-3</v>
          </cell>
          <cell r="M25">
            <v>6.0000000000000001E-3</v>
          </cell>
          <cell r="N25">
            <v>7.0000000000000001E-3</v>
          </cell>
          <cell r="O25">
            <v>7.0000000000000001E-3</v>
          </cell>
          <cell r="P25">
            <v>7.0000000000000001E-3</v>
          </cell>
          <cell r="Q25">
            <v>8.0000000000000002E-3</v>
          </cell>
          <cell r="R25">
            <v>8.0000000000000002E-3</v>
          </cell>
          <cell r="S25">
            <v>8.0000000000000002E-3</v>
          </cell>
          <cell r="T25">
            <v>0.01</v>
          </cell>
          <cell r="U25">
            <v>0.01</v>
          </cell>
          <cell r="V25">
            <v>0.01</v>
          </cell>
          <cell r="W25">
            <v>1.2E-2</v>
          </cell>
          <cell r="X25">
            <v>1.2E-2</v>
          </cell>
          <cell r="Y25">
            <v>0</v>
          </cell>
        </row>
        <row r="26">
          <cell r="A26">
            <v>0</v>
          </cell>
          <cell r="B26">
            <v>2.201000000000001</v>
          </cell>
          <cell r="C26">
            <v>0</v>
          </cell>
          <cell r="D26">
            <v>8.0000000000000002E-3</v>
          </cell>
          <cell r="E26">
            <v>2.5000000000000001E-2</v>
          </cell>
          <cell r="F26">
            <v>0.04</v>
          </cell>
          <cell r="G26">
            <v>1.6E-2</v>
          </cell>
          <cell r="H26">
            <v>0.02</v>
          </cell>
          <cell r="I26">
            <v>0.5009130985225223</v>
          </cell>
          <cell r="J26" t="str">
            <v>m</v>
          </cell>
          <cell r="K26">
            <v>0</v>
          </cell>
          <cell r="L26">
            <v>6.0000000000000001E-3</v>
          </cell>
          <cell r="M26">
            <v>7.0000000000000001E-3</v>
          </cell>
          <cell r="N26">
            <v>7.0000000000000001E-3</v>
          </cell>
          <cell r="O26">
            <v>7.0000000000000001E-3</v>
          </cell>
          <cell r="P26">
            <v>8.0000000000000002E-3</v>
          </cell>
          <cell r="Q26">
            <v>8.0000000000000002E-3</v>
          </cell>
          <cell r="R26">
            <v>8.0000000000000002E-3</v>
          </cell>
          <cell r="S26">
            <v>0.01</v>
          </cell>
          <cell r="T26">
            <v>0.01</v>
          </cell>
          <cell r="U26">
            <v>0.01</v>
          </cell>
          <cell r="V26">
            <v>1.2E-2</v>
          </cell>
          <cell r="W26">
            <v>1.2E-2</v>
          </cell>
          <cell r="X26">
            <v>1.2E-2</v>
          </cell>
          <cell r="Y26">
            <v>0</v>
          </cell>
        </row>
        <row r="27">
          <cell r="A27">
            <v>0</v>
          </cell>
          <cell r="B27">
            <v>2.301000000000001</v>
          </cell>
          <cell r="C27">
            <v>0</v>
          </cell>
          <cell r="D27">
            <v>8.0000000000000002E-3</v>
          </cell>
          <cell r="E27">
            <v>2.5000000000000001E-2</v>
          </cell>
          <cell r="F27">
            <v>0.04</v>
          </cell>
          <cell r="G27">
            <v>1.6E-2</v>
          </cell>
          <cell r="H27">
            <v>0.02</v>
          </cell>
          <cell r="I27">
            <v>0.5009130985225223</v>
          </cell>
          <cell r="J27" t="str">
            <v>m</v>
          </cell>
          <cell r="K27">
            <v>0</v>
          </cell>
          <cell r="L27">
            <v>6.0000000000000001E-3</v>
          </cell>
          <cell r="M27">
            <v>7.0000000000000001E-3</v>
          </cell>
          <cell r="N27">
            <v>7.0000000000000001E-3</v>
          </cell>
          <cell r="O27">
            <v>7.0000000000000001E-3</v>
          </cell>
          <cell r="P27">
            <v>8.0000000000000002E-3</v>
          </cell>
          <cell r="Q27">
            <v>8.0000000000000002E-3</v>
          </cell>
          <cell r="R27">
            <v>8.0000000000000002E-3</v>
          </cell>
          <cell r="S27">
            <v>0.01</v>
          </cell>
          <cell r="T27">
            <v>0.01</v>
          </cell>
          <cell r="U27">
            <v>0.01</v>
          </cell>
          <cell r="V27">
            <v>1.2E-2</v>
          </cell>
          <cell r="W27">
            <v>1.2E-2</v>
          </cell>
          <cell r="X27">
            <v>1.2E-2</v>
          </cell>
          <cell r="Y27">
            <v>0</v>
          </cell>
        </row>
        <row r="28">
          <cell r="A28">
            <v>0</v>
          </cell>
          <cell r="B28">
            <v>2.4010000000000011</v>
          </cell>
          <cell r="C28">
            <v>0</v>
          </cell>
          <cell r="D28">
            <v>8.0000000000000002E-3</v>
          </cell>
          <cell r="E28">
            <v>2.5000000000000001E-2</v>
          </cell>
          <cell r="F28">
            <v>0.04</v>
          </cell>
          <cell r="G28">
            <v>1.6E-2</v>
          </cell>
          <cell r="H28">
            <v>0.02</v>
          </cell>
          <cell r="I28">
            <v>0.5009130985225223</v>
          </cell>
          <cell r="J28" t="str">
            <v>m</v>
          </cell>
          <cell r="K28">
            <v>0</v>
          </cell>
          <cell r="L28">
            <v>7.0000000000000001E-3</v>
          </cell>
          <cell r="M28">
            <v>7.0000000000000001E-3</v>
          </cell>
          <cell r="N28">
            <v>7.0000000000000001E-3</v>
          </cell>
          <cell r="O28">
            <v>8.0000000000000002E-3</v>
          </cell>
          <cell r="P28">
            <v>8.0000000000000002E-3</v>
          </cell>
          <cell r="Q28">
            <v>8.0000000000000002E-3</v>
          </cell>
          <cell r="R28">
            <v>0.01</v>
          </cell>
          <cell r="S28">
            <v>0.01</v>
          </cell>
          <cell r="T28">
            <v>0.01</v>
          </cell>
          <cell r="U28">
            <v>1.2E-2</v>
          </cell>
          <cell r="V28">
            <v>1.2E-2</v>
          </cell>
          <cell r="W28">
            <v>1.2E-2</v>
          </cell>
          <cell r="X28">
            <v>1.4E-2</v>
          </cell>
          <cell r="Y28">
            <v>0</v>
          </cell>
        </row>
        <row r="29">
          <cell r="A29">
            <v>0</v>
          </cell>
          <cell r="B29">
            <v>2.5010000000000012</v>
          </cell>
          <cell r="C29">
            <v>0</v>
          </cell>
          <cell r="D29">
            <v>8.0000000000000002E-3</v>
          </cell>
          <cell r="E29">
            <v>2.5000000000000001E-2</v>
          </cell>
          <cell r="F29">
            <v>0.04</v>
          </cell>
          <cell r="G29">
            <v>1.6E-2</v>
          </cell>
          <cell r="H29">
            <v>0.02</v>
          </cell>
          <cell r="I29">
            <v>0.5009130985225223</v>
          </cell>
          <cell r="J29" t="str">
            <v>m</v>
          </cell>
          <cell r="K29">
            <v>0</v>
          </cell>
          <cell r="L29">
            <v>7.0000000000000001E-3</v>
          </cell>
          <cell r="M29">
            <v>7.0000000000000001E-3</v>
          </cell>
          <cell r="N29">
            <v>7.0000000000000001E-3</v>
          </cell>
          <cell r="O29">
            <v>8.0000000000000002E-3</v>
          </cell>
          <cell r="P29">
            <v>8.0000000000000002E-3</v>
          </cell>
          <cell r="Q29">
            <v>8.0000000000000002E-3</v>
          </cell>
          <cell r="R29">
            <v>0.01</v>
          </cell>
          <cell r="S29">
            <v>0.01</v>
          </cell>
          <cell r="T29">
            <v>0.01</v>
          </cell>
          <cell r="U29">
            <v>1.2E-2</v>
          </cell>
          <cell r="V29">
            <v>1.2E-2</v>
          </cell>
          <cell r="W29">
            <v>1.2E-2</v>
          </cell>
          <cell r="X29">
            <v>1.4E-2</v>
          </cell>
          <cell r="Y29">
            <v>0</v>
          </cell>
        </row>
        <row r="30">
          <cell r="A30">
            <v>0</v>
          </cell>
          <cell r="B30">
            <v>2.6010000000000013</v>
          </cell>
          <cell r="C30">
            <v>0</v>
          </cell>
          <cell r="D30">
            <v>8.0000000000000002E-3</v>
          </cell>
          <cell r="E30">
            <v>2.5000000000000001E-2</v>
          </cell>
          <cell r="F30">
            <v>0.04</v>
          </cell>
          <cell r="G30">
            <v>1.6E-2</v>
          </cell>
          <cell r="H30">
            <v>0.02</v>
          </cell>
          <cell r="I30">
            <v>0.5009130985225223</v>
          </cell>
          <cell r="J30" t="str">
            <v>m</v>
          </cell>
          <cell r="K30">
            <v>0</v>
          </cell>
          <cell r="L30">
            <v>7.0000000000000001E-3</v>
          </cell>
          <cell r="M30">
            <v>7.0000000000000001E-3</v>
          </cell>
          <cell r="N30">
            <v>8.0000000000000002E-3</v>
          </cell>
          <cell r="O30">
            <v>8.0000000000000002E-3</v>
          </cell>
          <cell r="P30">
            <v>8.0000000000000002E-3</v>
          </cell>
          <cell r="Q30">
            <v>0.01</v>
          </cell>
          <cell r="R30">
            <v>0.01</v>
          </cell>
          <cell r="S30">
            <v>0.01</v>
          </cell>
          <cell r="T30">
            <v>1.2E-2</v>
          </cell>
          <cell r="U30">
            <v>1.2E-2</v>
          </cell>
          <cell r="V30">
            <v>1.2E-2</v>
          </cell>
          <cell r="W30">
            <v>1.4E-2</v>
          </cell>
          <cell r="X30">
            <v>1.4E-2</v>
          </cell>
          <cell r="Y30">
            <v>0</v>
          </cell>
        </row>
        <row r="31">
          <cell r="A31">
            <v>0</v>
          </cell>
          <cell r="B31">
            <v>2.7010000000000014</v>
          </cell>
          <cell r="C31">
            <v>0</v>
          </cell>
          <cell r="D31">
            <v>8.0000000000000002E-3</v>
          </cell>
          <cell r="E31">
            <v>2.5000000000000001E-2</v>
          </cell>
          <cell r="F31">
            <v>0.04</v>
          </cell>
          <cell r="G31">
            <v>1.6E-2</v>
          </cell>
          <cell r="H31">
            <v>0.02</v>
          </cell>
          <cell r="I31">
            <v>0.5009130985225223</v>
          </cell>
          <cell r="J31" t="str">
            <v>m</v>
          </cell>
          <cell r="K31">
            <v>0</v>
          </cell>
          <cell r="L31">
            <v>7.0000000000000001E-3</v>
          </cell>
          <cell r="M31">
            <v>7.0000000000000001E-3</v>
          </cell>
          <cell r="N31">
            <v>8.0000000000000002E-3</v>
          </cell>
          <cell r="O31">
            <v>8.0000000000000002E-3</v>
          </cell>
          <cell r="P31">
            <v>8.0000000000000002E-3</v>
          </cell>
          <cell r="Q31">
            <v>0.01</v>
          </cell>
          <cell r="R31">
            <v>0.01</v>
          </cell>
          <cell r="S31">
            <v>0.01</v>
          </cell>
          <cell r="T31">
            <v>1.2E-2</v>
          </cell>
          <cell r="U31">
            <v>1.2E-2</v>
          </cell>
          <cell r="V31">
            <v>1.2E-2</v>
          </cell>
          <cell r="W31">
            <v>1.4E-2</v>
          </cell>
          <cell r="X31">
            <v>1.4E-2</v>
          </cell>
          <cell r="Y31">
            <v>0</v>
          </cell>
        </row>
        <row r="32">
          <cell r="A32">
            <v>0</v>
          </cell>
          <cell r="B32">
            <v>2.8010000000000015</v>
          </cell>
          <cell r="C32">
            <v>0</v>
          </cell>
          <cell r="D32">
            <v>8.0000000000000002E-3</v>
          </cell>
          <cell r="E32">
            <v>2.5000000000000001E-2</v>
          </cell>
          <cell r="F32">
            <v>0.04</v>
          </cell>
          <cell r="G32">
            <v>1.6E-2</v>
          </cell>
          <cell r="H32">
            <v>0.02</v>
          </cell>
          <cell r="I32">
            <v>0.5009130985225223</v>
          </cell>
          <cell r="J32" t="str">
            <v>m</v>
          </cell>
          <cell r="K32">
            <v>0</v>
          </cell>
          <cell r="L32">
            <v>7.0000000000000001E-3</v>
          </cell>
          <cell r="M32">
            <v>8.0000000000000002E-3</v>
          </cell>
          <cell r="N32">
            <v>8.0000000000000002E-3</v>
          </cell>
          <cell r="O32">
            <v>8.0000000000000002E-3</v>
          </cell>
          <cell r="P32">
            <v>0.01</v>
          </cell>
          <cell r="Q32">
            <v>0.01</v>
          </cell>
          <cell r="R32">
            <v>0.01</v>
          </cell>
          <cell r="S32">
            <v>1.2E-2</v>
          </cell>
          <cell r="T32">
            <v>1.2E-2</v>
          </cell>
          <cell r="U32">
            <v>1.2E-2</v>
          </cell>
          <cell r="V32">
            <v>1.4E-2</v>
          </cell>
          <cell r="W32">
            <v>1.4E-2</v>
          </cell>
          <cell r="X32">
            <v>1.4E-2</v>
          </cell>
          <cell r="Y32">
            <v>0</v>
          </cell>
        </row>
        <row r="33">
          <cell r="A33">
            <v>0</v>
          </cell>
          <cell r="B33">
            <v>2.9010000000000016</v>
          </cell>
          <cell r="C33">
            <v>0</v>
          </cell>
          <cell r="D33">
            <v>8.0000000000000002E-3</v>
          </cell>
          <cell r="E33">
            <v>2.5000000000000001E-2</v>
          </cell>
          <cell r="F33">
            <v>0.04</v>
          </cell>
          <cell r="G33">
            <v>1.6E-2</v>
          </cell>
          <cell r="H33">
            <v>0.02</v>
          </cell>
          <cell r="I33">
            <v>0.5009130985225223</v>
          </cell>
          <cell r="J33" t="str">
            <v>m</v>
          </cell>
          <cell r="K33">
            <v>0</v>
          </cell>
          <cell r="L33">
            <v>8.0000000000000002E-3</v>
          </cell>
          <cell r="M33">
            <v>8.0000000000000002E-3</v>
          </cell>
          <cell r="N33">
            <v>8.0000000000000002E-3</v>
          </cell>
          <cell r="O33">
            <v>8.0000000000000002E-3</v>
          </cell>
          <cell r="P33">
            <v>0.01</v>
          </cell>
          <cell r="Q33">
            <v>0.01</v>
          </cell>
          <cell r="R33">
            <v>0.01</v>
          </cell>
          <cell r="S33">
            <v>1.2E-2</v>
          </cell>
          <cell r="T33">
            <v>1.2E-2</v>
          </cell>
          <cell r="U33">
            <v>1.2E-2</v>
          </cell>
          <cell r="V33">
            <v>1.4E-2</v>
          </cell>
          <cell r="W33">
            <v>1.4E-2</v>
          </cell>
          <cell r="X33">
            <v>1.4E-2</v>
          </cell>
          <cell r="Y33">
            <v>0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</row>
        <row r="39">
          <cell r="A39" t="str">
            <v>Data Type</v>
          </cell>
          <cell r="B39" t="str">
            <v>Density</v>
          </cell>
          <cell r="C39" t="str">
            <v>YS regr.</v>
          </cell>
          <cell r="F39" t="str">
            <v>safety factor</v>
          </cell>
          <cell r="G39" t="str">
            <v>minT</v>
          </cell>
          <cell r="H39" t="str">
            <v>maxT</v>
          </cell>
          <cell r="I39" t="str">
            <v>Plate T, mm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 t="str">
            <v>TEMP Yield strength data, Mpa</v>
          </cell>
          <cell r="W39">
            <v>0</v>
          </cell>
          <cell r="X39">
            <v>0</v>
          </cell>
          <cell r="Y39">
            <v>0</v>
          </cell>
        </row>
        <row r="40">
          <cell r="A40" t="str">
            <v>Metal Type</v>
          </cell>
          <cell r="B40" t="str">
            <v>kg/m3</v>
          </cell>
          <cell r="C40" t="str">
            <v>a</v>
          </cell>
          <cell r="D40" t="str">
            <v>b</v>
          </cell>
          <cell r="E40" t="str">
            <v>YS20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1</v>
          </cell>
          <cell r="K40">
            <v>2</v>
          </cell>
          <cell r="L40">
            <v>3</v>
          </cell>
          <cell r="M40">
            <v>4</v>
          </cell>
          <cell r="N40">
            <v>5</v>
          </cell>
          <cell r="O40">
            <v>6</v>
          </cell>
          <cell r="P40">
            <v>7</v>
          </cell>
          <cell r="Q40">
            <v>8</v>
          </cell>
          <cell r="R40">
            <v>8</v>
          </cell>
          <cell r="S40">
            <v>8</v>
          </cell>
          <cell r="T40">
            <v>0</v>
          </cell>
          <cell r="U40">
            <v>0</v>
          </cell>
          <cell r="V40">
            <v>0</v>
          </cell>
          <cell r="W40" t="str">
            <v>Temp</v>
          </cell>
          <cell r="X40">
            <v>20</v>
          </cell>
          <cell r="Y40">
            <v>100</v>
          </cell>
        </row>
        <row r="41">
          <cell r="A41" t="str">
            <v>Steel</v>
          </cell>
          <cell r="B41">
            <v>7850</v>
          </cell>
          <cell r="C41">
            <v>5.7490138375806119E-4</v>
          </cell>
          <cell r="D41">
            <v>-0.48039999582576742</v>
          </cell>
          <cell r="E41">
            <v>250</v>
          </cell>
          <cell r="F41">
            <v>0.9</v>
          </cell>
          <cell r="G41">
            <v>3</v>
          </cell>
          <cell r="H41">
            <v>10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3</v>
          </cell>
          <cell r="N41">
            <v>4</v>
          </cell>
          <cell r="O41">
            <v>5</v>
          </cell>
          <cell r="P41">
            <v>6</v>
          </cell>
          <cell r="Q41">
            <v>8</v>
          </cell>
          <cell r="R41">
            <v>8</v>
          </cell>
          <cell r="S41">
            <v>8</v>
          </cell>
          <cell r="T41">
            <v>0</v>
          </cell>
          <cell r="U41">
            <v>0</v>
          </cell>
          <cell r="V41" t="str">
            <v>DOMEX</v>
          </cell>
          <cell r="W41" t="str">
            <v>N/mm2</v>
          </cell>
          <cell r="X41">
            <v>390</v>
          </cell>
          <cell r="Y41">
            <v>360</v>
          </cell>
        </row>
        <row r="42">
          <cell r="A42" t="str">
            <v>AISI304</v>
          </cell>
          <cell r="B42">
            <v>7850</v>
          </cell>
          <cell r="C42">
            <v>5.7490138375806119E-4</v>
          </cell>
          <cell r="D42">
            <v>-0.48039999582576742</v>
          </cell>
          <cell r="E42">
            <v>240</v>
          </cell>
          <cell r="F42">
            <v>0.9</v>
          </cell>
          <cell r="G42">
            <v>3</v>
          </cell>
          <cell r="H42">
            <v>10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3</v>
          </cell>
          <cell r="N42">
            <v>4</v>
          </cell>
          <cell r="O42">
            <v>5</v>
          </cell>
          <cell r="P42">
            <v>6</v>
          </cell>
          <cell r="Q42">
            <v>8</v>
          </cell>
          <cell r="R42">
            <v>8</v>
          </cell>
          <cell r="S42">
            <v>8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550</v>
          </cell>
          <cell r="Y42">
            <v>530</v>
          </cell>
        </row>
        <row r="43">
          <cell r="A43" t="str">
            <v>AISI304L</v>
          </cell>
          <cell r="B43">
            <v>7850</v>
          </cell>
          <cell r="C43">
            <v>5.7490138375806119E-4</v>
          </cell>
          <cell r="D43">
            <v>-0.48039999582576742</v>
          </cell>
          <cell r="E43">
            <v>260</v>
          </cell>
          <cell r="F43">
            <v>0.9</v>
          </cell>
          <cell r="G43">
            <v>2</v>
          </cell>
          <cell r="H43">
            <v>10</v>
          </cell>
          <cell r="I43">
            <v>0</v>
          </cell>
          <cell r="J43">
            <v>0</v>
          </cell>
          <cell r="K43">
            <v>0</v>
          </cell>
          <cell r="L43">
            <v>2</v>
          </cell>
          <cell r="M43">
            <v>3</v>
          </cell>
          <cell r="N43">
            <v>4</v>
          </cell>
          <cell r="O43">
            <v>5</v>
          </cell>
          <cell r="P43">
            <v>6</v>
          </cell>
          <cell r="Q43">
            <v>8</v>
          </cell>
          <cell r="R43">
            <v>8</v>
          </cell>
          <cell r="S43">
            <v>8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680</v>
          </cell>
          <cell r="Y43">
            <v>630</v>
          </cell>
        </row>
        <row r="44">
          <cell r="A44" t="str">
            <v>AISI316L</v>
          </cell>
          <cell r="B44">
            <v>7850</v>
          </cell>
          <cell r="C44">
            <v>5.7490138375806119E-4</v>
          </cell>
          <cell r="D44">
            <v>-0.48039999582576742</v>
          </cell>
          <cell r="E44">
            <v>295</v>
          </cell>
          <cell r="F44">
            <v>0.9</v>
          </cell>
          <cell r="G44">
            <v>2</v>
          </cell>
          <cell r="H44">
            <v>10</v>
          </cell>
          <cell r="I44">
            <v>0</v>
          </cell>
          <cell r="J44">
            <v>0</v>
          </cell>
          <cell r="K44">
            <v>0</v>
          </cell>
          <cell r="L44">
            <v>2</v>
          </cell>
          <cell r="M44">
            <v>3</v>
          </cell>
          <cell r="N44">
            <v>4</v>
          </cell>
          <cell r="O44">
            <v>5</v>
          </cell>
          <cell r="P44">
            <v>6</v>
          </cell>
          <cell r="Q44">
            <v>8</v>
          </cell>
          <cell r="R44">
            <v>8</v>
          </cell>
          <cell r="S44">
            <v>8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740</v>
          </cell>
          <cell r="Y44">
            <v>690</v>
          </cell>
        </row>
        <row r="45">
          <cell r="A45" t="str">
            <v>AISI2205</v>
          </cell>
          <cell r="B45">
            <v>7850</v>
          </cell>
          <cell r="C45">
            <v>5.7490138375806119E-4</v>
          </cell>
          <cell r="D45">
            <v>-0.48039999582576742</v>
          </cell>
          <cell r="E45">
            <v>450</v>
          </cell>
          <cell r="F45">
            <v>0.9</v>
          </cell>
          <cell r="G45">
            <v>2</v>
          </cell>
          <cell r="H45">
            <v>10</v>
          </cell>
          <cell r="I45">
            <v>0</v>
          </cell>
          <cell r="J45">
            <v>0</v>
          </cell>
          <cell r="K45">
            <v>0</v>
          </cell>
          <cell r="L45">
            <v>2</v>
          </cell>
          <cell r="M45">
            <v>3</v>
          </cell>
          <cell r="N45">
            <v>4</v>
          </cell>
          <cell r="O45">
            <v>5</v>
          </cell>
          <cell r="P45">
            <v>6</v>
          </cell>
          <cell r="Q45">
            <v>8</v>
          </cell>
          <cell r="R45">
            <v>8</v>
          </cell>
          <cell r="S45">
            <v>8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590</v>
          </cell>
          <cell r="Y45">
            <v>552.5</v>
          </cell>
        </row>
        <row r="46">
          <cell r="A46" t="str">
            <v>CORTEN</v>
          </cell>
          <cell r="B46">
            <v>7850</v>
          </cell>
          <cell r="C46">
            <v>5.7490138375806119E-4</v>
          </cell>
          <cell r="D46">
            <v>-0.48039999582576742</v>
          </cell>
          <cell r="E46">
            <v>350</v>
          </cell>
          <cell r="F46">
            <v>0.9</v>
          </cell>
          <cell r="G46">
            <v>2</v>
          </cell>
          <cell r="H46">
            <v>6</v>
          </cell>
          <cell r="I46">
            <v>0</v>
          </cell>
          <cell r="J46">
            <v>0</v>
          </cell>
          <cell r="K46">
            <v>0</v>
          </cell>
          <cell r="L46">
            <v>2</v>
          </cell>
          <cell r="M46">
            <v>3</v>
          </cell>
          <cell r="N46">
            <v>4</v>
          </cell>
          <cell r="O46">
            <v>5</v>
          </cell>
          <cell r="P46">
            <v>6</v>
          </cell>
          <cell r="Q46">
            <v>6</v>
          </cell>
          <cell r="R46">
            <v>6</v>
          </cell>
          <cell r="S46">
            <v>6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</row>
        <row r="47">
          <cell r="A47" t="str">
            <v>DOMEX</v>
          </cell>
          <cell r="B47">
            <v>7850</v>
          </cell>
          <cell r="C47">
            <v>5.7490138375806119E-4</v>
          </cell>
          <cell r="D47">
            <v>-0.48039999582576742</v>
          </cell>
          <cell r="E47">
            <v>650</v>
          </cell>
          <cell r="F47">
            <v>0.9</v>
          </cell>
          <cell r="G47">
            <v>2</v>
          </cell>
          <cell r="H47">
            <v>6</v>
          </cell>
          <cell r="I47">
            <v>0</v>
          </cell>
          <cell r="J47">
            <v>0</v>
          </cell>
          <cell r="K47">
            <v>0</v>
          </cell>
          <cell r="L47">
            <v>2</v>
          </cell>
          <cell r="M47">
            <v>3</v>
          </cell>
          <cell r="N47">
            <v>4</v>
          </cell>
          <cell r="O47">
            <v>5</v>
          </cell>
          <cell r="P47">
            <v>6</v>
          </cell>
          <cell r="Q47">
            <v>6</v>
          </cell>
          <cell r="R47">
            <v>6</v>
          </cell>
          <cell r="S47">
            <v>6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</row>
        <row r="48">
          <cell r="A48" t="str">
            <v>Al6061</v>
          </cell>
          <cell r="B48">
            <v>2699</v>
          </cell>
          <cell r="C48">
            <v>5.7490138375806119E-4</v>
          </cell>
          <cell r="D48">
            <v>-0.48039999582576742</v>
          </cell>
          <cell r="E48">
            <v>55</v>
          </cell>
          <cell r="F48">
            <v>0.9</v>
          </cell>
          <cell r="G48">
            <v>3</v>
          </cell>
          <cell r="H48">
            <v>8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3</v>
          </cell>
          <cell r="N48">
            <v>4</v>
          </cell>
          <cell r="O48">
            <v>5</v>
          </cell>
          <cell r="P48">
            <v>6</v>
          </cell>
          <cell r="Q48">
            <v>8</v>
          </cell>
          <cell r="R48">
            <v>8</v>
          </cell>
          <cell r="S48">
            <v>8</v>
          </cell>
          <cell r="T48">
            <v>0</v>
          </cell>
          <cell r="U48">
            <v>0</v>
          </cell>
          <cell r="V48">
            <v>316</v>
          </cell>
          <cell r="W48" t="str">
            <v>N/mm2</v>
          </cell>
          <cell r="X48">
            <v>290</v>
          </cell>
          <cell r="Y48">
            <v>245</v>
          </cell>
        </row>
        <row r="49">
          <cell r="A49" t="str">
            <v>Al57</v>
          </cell>
          <cell r="B49">
            <v>2699</v>
          </cell>
          <cell r="C49">
            <v>5.7490138375806119E-4</v>
          </cell>
          <cell r="D49">
            <v>-0.48039999582576742</v>
          </cell>
          <cell r="E49">
            <v>100</v>
          </cell>
          <cell r="F49">
            <v>0.9</v>
          </cell>
          <cell r="G49">
            <v>3</v>
          </cell>
          <cell r="H49">
            <v>8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3</v>
          </cell>
          <cell r="N49">
            <v>4</v>
          </cell>
          <cell r="O49">
            <v>5</v>
          </cell>
          <cell r="P49">
            <v>6</v>
          </cell>
          <cell r="Q49">
            <v>8</v>
          </cell>
          <cell r="R49">
            <v>8</v>
          </cell>
          <cell r="S49">
            <v>8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 t="str">
            <v>Average</v>
          </cell>
          <cell r="W50">
            <v>0</v>
          </cell>
          <cell r="X50">
            <v>0</v>
          </cell>
          <cell r="Y50">
            <v>0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</row>
        <row r="53">
          <cell r="A53">
            <v>0</v>
          </cell>
          <cell r="B53" t="str">
            <v>House Reinforcement Dimensions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</row>
        <row r="54">
          <cell r="A54">
            <v>0</v>
          </cell>
          <cell r="B54" t="str">
            <v>d_2</v>
          </cell>
          <cell r="C54">
            <v>0</v>
          </cell>
          <cell r="D54">
            <v>1000</v>
          </cell>
          <cell r="E54">
            <v>1500</v>
          </cell>
          <cell r="F54">
            <v>2000</v>
          </cell>
          <cell r="G54">
            <v>2500</v>
          </cell>
          <cell r="H54" t="str">
            <v>mm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</row>
        <row r="55">
          <cell r="A55">
            <v>0</v>
          </cell>
          <cell r="B55" t="str">
            <v>Rein T</v>
          </cell>
          <cell r="C55">
            <v>6.0000000000000001E-3</v>
          </cell>
          <cell r="D55">
            <v>8.0000000000000002E-3</v>
          </cell>
          <cell r="E55">
            <v>0.01</v>
          </cell>
          <cell r="F55">
            <v>1.2E-2</v>
          </cell>
          <cell r="G55">
            <v>1.4E-2</v>
          </cell>
          <cell r="H55" t="str">
            <v>m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</row>
        <row r="56">
          <cell r="A56">
            <v>0</v>
          </cell>
          <cell r="B56" t="str">
            <v>Rein W</v>
          </cell>
          <cell r="C56">
            <v>0.06</v>
          </cell>
          <cell r="D56">
            <v>0.08</v>
          </cell>
          <cell r="E56">
            <v>0.1</v>
          </cell>
          <cell r="F56">
            <v>0.12</v>
          </cell>
          <cell r="G56">
            <v>0.15</v>
          </cell>
          <cell r="H56" t="str">
            <v>m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</row>
        <row r="60">
          <cell r="A60">
            <v>0</v>
          </cell>
          <cell r="B60">
            <v>0</v>
          </cell>
          <cell r="C60" t="str">
            <v>Frontplate tools</v>
          </cell>
          <cell r="E60" t="str">
            <v>possible</v>
          </cell>
          <cell r="F60" t="str">
            <v>possible</v>
          </cell>
          <cell r="G60">
            <v>0</v>
          </cell>
          <cell r="H60" t="str">
            <v>Max air Speed</v>
          </cell>
          <cell r="P60">
            <v>0</v>
          </cell>
          <cell r="Q60">
            <v>0</v>
          </cell>
          <cell r="R60" t="str">
            <v>Beta angle addtion</v>
          </cell>
          <cell r="S60">
            <v>0</v>
          </cell>
          <cell r="T60">
            <v>0</v>
          </cell>
          <cell r="U60">
            <v>0</v>
          </cell>
          <cell r="V60" t="str">
            <v>House exhaust dimensions</v>
          </cell>
          <cell r="W60">
            <v>0</v>
          </cell>
          <cell r="X60">
            <v>0</v>
          </cell>
          <cell r="Y60">
            <v>0</v>
          </cell>
        </row>
        <row r="61">
          <cell r="A61" t="str">
            <v>d-in</v>
          </cell>
          <cell r="B61">
            <v>0</v>
          </cell>
          <cell r="C61" t="str">
            <v>d_in</v>
          </cell>
          <cell r="D61" t="str">
            <v>Tool</v>
          </cell>
          <cell r="E61" t="str">
            <v>inlet D</v>
          </cell>
          <cell r="F61" t="str">
            <v>valve D</v>
          </cell>
          <cell r="G61">
            <v>0</v>
          </cell>
          <cell r="H61" t="str">
            <v>Pt&lt;mmh2o&gt;</v>
          </cell>
          <cell r="I61" t="str">
            <v>Des. airspeed @ inlet&lt;m/s&gt;</v>
          </cell>
          <cell r="J61">
            <v>0</v>
          </cell>
          <cell r="K61">
            <v>0</v>
          </cell>
          <cell r="L61" t="str">
            <v>min</v>
          </cell>
          <cell r="M61" t="str">
            <v>-delta</v>
          </cell>
          <cell r="N61" t="str">
            <v>max</v>
          </cell>
          <cell r="O61" t="str">
            <v>+delta</v>
          </cell>
          <cell r="P61">
            <v>0</v>
          </cell>
          <cell r="Q61">
            <v>0</v>
          </cell>
          <cell r="R61" t="str">
            <v>Pt&lt;mmh2o&gt;</v>
          </cell>
          <cell r="S61" t="str">
            <v>Beta2 addition</v>
          </cell>
          <cell r="T61">
            <v>0</v>
          </cell>
          <cell r="U61">
            <v>0</v>
          </cell>
          <cell r="V61" t="str">
            <v>B HN</v>
          </cell>
          <cell r="W61" t="str">
            <v>C HN</v>
          </cell>
          <cell r="X61" t="str">
            <v>B MT</v>
          </cell>
          <cell r="Y61" t="str">
            <v>C MT</v>
          </cell>
        </row>
        <row r="62">
          <cell r="A62">
            <v>0.03</v>
          </cell>
          <cell r="B62">
            <v>0</v>
          </cell>
          <cell r="C62">
            <v>0.1</v>
          </cell>
          <cell r="D62" t="str">
            <v>blank</v>
          </cell>
          <cell r="E62">
            <v>0.1</v>
          </cell>
          <cell r="F62">
            <v>0.35</v>
          </cell>
          <cell r="G62">
            <v>0</v>
          </cell>
          <cell r="H62">
            <v>0</v>
          </cell>
          <cell r="I62">
            <v>15</v>
          </cell>
          <cell r="J62">
            <v>5</v>
          </cell>
          <cell r="K62">
            <v>0</v>
          </cell>
          <cell r="L62">
            <v>10</v>
          </cell>
          <cell r="M62">
            <v>5</v>
          </cell>
          <cell r="N62">
            <v>25</v>
          </cell>
          <cell r="O62">
            <v>10</v>
          </cell>
          <cell r="P62">
            <v>0</v>
          </cell>
          <cell r="Q62">
            <v>0</v>
          </cell>
          <cell r="R62">
            <v>0</v>
          </cell>
          <cell r="S62">
            <v>8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</row>
        <row r="63">
          <cell r="A63">
            <v>0.04</v>
          </cell>
          <cell r="B63">
            <v>0</v>
          </cell>
          <cell r="C63">
            <v>0.11</v>
          </cell>
          <cell r="D63" t="str">
            <v>blank</v>
          </cell>
          <cell r="E63">
            <v>0.11</v>
          </cell>
          <cell r="F63">
            <v>0.4</v>
          </cell>
          <cell r="G63">
            <v>0</v>
          </cell>
          <cell r="H63">
            <v>250</v>
          </cell>
          <cell r="I63">
            <v>20</v>
          </cell>
          <cell r="J63">
            <v>0</v>
          </cell>
          <cell r="K63">
            <v>0</v>
          </cell>
          <cell r="L63">
            <v>10</v>
          </cell>
          <cell r="M63">
            <v>10</v>
          </cell>
          <cell r="N63">
            <v>30</v>
          </cell>
          <cell r="O63">
            <v>10</v>
          </cell>
          <cell r="P63">
            <v>0</v>
          </cell>
          <cell r="Q63">
            <v>0</v>
          </cell>
          <cell r="R63">
            <v>250</v>
          </cell>
          <cell r="S63">
            <v>9</v>
          </cell>
          <cell r="T63">
            <v>0</v>
          </cell>
          <cell r="U63">
            <v>0</v>
          </cell>
          <cell r="V63">
            <v>2.5000000000000001E-2</v>
          </cell>
          <cell r="W63">
            <v>2.5000000000000001E-2</v>
          </cell>
          <cell r="X63">
            <v>2.5000000000000001E-2</v>
          </cell>
          <cell r="Y63">
            <v>2.5000000000000001E-2</v>
          </cell>
        </row>
        <row r="64">
          <cell r="A64">
            <v>0.05</v>
          </cell>
          <cell r="B64">
            <v>0</v>
          </cell>
          <cell r="C64">
            <v>0.12</v>
          </cell>
          <cell r="D64" t="str">
            <v>blank</v>
          </cell>
          <cell r="E64">
            <v>0.12</v>
          </cell>
          <cell r="F64">
            <v>0.45</v>
          </cell>
          <cell r="G64">
            <v>0</v>
          </cell>
          <cell r="H64">
            <v>500</v>
          </cell>
          <cell r="I64">
            <v>25</v>
          </cell>
          <cell r="J64">
            <v>0</v>
          </cell>
          <cell r="K64">
            <v>0</v>
          </cell>
          <cell r="L64">
            <v>15</v>
          </cell>
          <cell r="M64">
            <v>10</v>
          </cell>
          <cell r="N64">
            <v>35</v>
          </cell>
          <cell r="O64">
            <v>10</v>
          </cell>
          <cell r="P64">
            <v>0</v>
          </cell>
          <cell r="Q64">
            <v>0</v>
          </cell>
          <cell r="R64">
            <v>500</v>
          </cell>
          <cell r="S64">
            <v>10</v>
          </cell>
          <cell r="T64">
            <v>0</v>
          </cell>
          <cell r="U64">
            <v>0</v>
          </cell>
          <cell r="V64">
            <v>0.05</v>
          </cell>
          <cell r="W64">
            <v>0.05</v>
          </cell>
          <cell r="X64">
            <v>0.05</v>
          </cell>
          <cell r="Y64">
            <v>0.05</v>
          </cell>
        </row>
        <row r="65">
          <cell r="A65">
            <v>0.06</v>
          </cell>
          <cell r="B65">
            <v>0</v>
          </cell>
          <cell r="C65">
            <v>0.13</v>
          </cell>
          <cell r="D65" t="str">
            <v>blank</v>
          </cell>
          <cell r="E65">
            <v>0.13</v>
          </cell>
          <cell r="F65">
            <v>0.5</v>
          </cell>
          <cell r="G65">
            <v>0</v>
          </cell>
          <cell r="H65">
            <v>750</v>
          </cell>
          <cell r="I65">
            <v>26</v>
          </cell>
          <cell r="J65">
            <v>1</v>
          </cell>
          <cell r="K65">
            <v>0</v>
          </cell>
          <cell r="L65">
            <v>16</v>
          </cell>
          <cell r="M65">
            <v>10</v>
          </cell>
          <cell r="N65">
            <v>36</v>
          </cell>
          <cell r="O65">
            <v>10</v>
          </cell>
          <cell r="P65">
            <v>0</v>
          </cell>
          <cell r="Q65">
            <v>0</v>
          </cell>
          <cell r="R65">
            <v>750</v>
          </cell>
          <cell r="S65">
            <v>11</v>
          </cell>
          <cell r="T65">
            <v>0</v>
          </cell>
          <cell r="U65">
            <v>0</v>
          </cell>
          <cell r="V65">
            <v>7.4999999999999997E-2</v>
          </cell>
          <cell r="W65">
            <v>7.4999999999999997E-2</v>
          </cell>
          <cell r="X65">
            <v>0.08</v>
          </cell>
          <cell r="Y65">
            <v>0.08</v>
          </cell>
        </row>
        <row r="66">
          <cell r="A66">
            <v>7.0000000000000007E-2</v>
          </cell>
          <cell r="B66">
            <v>0</v>
          </cell>
          <cell r="C66">
            <v>0.14000000000000001</v>
          </cell>
          <cell r="D66" t="str">
            <v>blank</v>
          </cell>
          <cell r="E66">
            <v>0.14000000000000001</v>
          </cell>
          <cell r="F66">
            <v>0.63</v>
          </cell>
          <cell r="G66">
            <v>0</v>
          </cell>
          <cell r="H66">
            <v>1000</v>
          </cell>
          <cell r="I66">
            <v>27</v>
          </cell>
          <cell r="J66">
            <v>0</v>
          </cell>
          <cell r="K66">
            <v>0</v>
          </cell>
          <cell r="L66">
            <v>17</v>
          </cell>
          <cell r="M66">
            <v>10</v>
          </cell>
          <cell r="N66">
            <v>37</v>
          </cell>
          <cell r="O66">
            <v>10</v>
          </cell>
          <cell r="P66">
            <v>0</v>
          </cell>
          <cell r="Q66">
            <v>0</v>
          </cell>
          <cell r="R66">
            <v>1000</v>
          </cell>
          <cell r="S66">
            <v>12</v>
          </cell>
          <cell r="T66">
            <v>0</v>
          </cell>
          <cell r="U66">
            <v>0</v>
          </cell>
          <cell r="V66">
            <v>0.1</v>
          </cell>
          <cell r="W66">
            <v>0.1</v>
          </cell>
          <cell r="X66">
            <v>9.4E-2</v>
          </cell>
          <cell r="Y66">
            <v>9.4E-2</v>
          </cell>
        </row>
        <row r="67">
          <cell r="A67">
            <v>0.08</v>
          </cell>
          <cell r="B67">
            <v>0</v>
          </cell>
          <cell r="C67">
            <v>0.15</v>
          </cell>
          <cell r="D67" t="str">
            <v>blank</v>
          </cell>
          <cell r="E67">
            <v>0.15</v>
          </cell>
          <cell r="F67">
            <v>0.71</v>
          </cell>
          <cell r="G67">
            <v>0</v>
          </cell>
          <cell r="H67">
            <v>1250</v>
          </cell>
          <cell r="I67">
            <v>28</v>
          </cell>
          <cell r="J67">
            <v>0</v>
          </cell>
          <cell r="K67">
            <v>0</v>
          </cell>
          <cell r="L67">
            <v>18</v>
          </cell>
          <cell r="M67">
            <v>10</v>
          </cell>
          <cell r="N67">
            <v>38</v>
          </cell>
          <cell r="O67">
            <v>10</v>
          </cell>
          <cell r="P67">
            <v>0</v>
          </cell>
          <cell r="Q67">
            <v>0</v>
          </cell>
          <cell r="R67">
            <v>1250</v>
          </cell>
          <cell r="S67">
            <v>13</v>
          </cell>
          <cell r="T67">
            <v>0</v>
          </cell>
          <cell r="U67">
            <v>0</v>
          </cell>
          <cell r="V67">
            <v>0.125</v>
          </cell>
          <cell r="W67">
            <v>0.125</v>
          </cell>
          <cell r="X67">
            <v>0.154</v>
          </cell>
          <cell r="Y67">
            <v>0.1</v>
          </cell>
        </row>
        <row r="68">
          <cell r="A68">
            <v>0.09</v>
          </cell>
          <cell r="B68">
            <v>0</v>
          </cell>
          <cell r="C68">
            <v>0.16</v>
          </cell>
          <cell r="D68" t="str">
            <v>blank</v>
          </cell>
          <cell r="E68">
            <v>0.16</v>
          </cell>
          <cell r="F68">
            <v>0.8</v>
          </cell>
          <cell r="G68">
            <v>0</v>
          </cell>
          <cell r="H68">
            <v>1500</v>
          </cell>
          <cell r="I68">
            <v>30</v>
          </cell>
          <cell r="J68">
            <v>2</v>
          </cell>
          <cell r="K68">
            <v>0</v>
          </cell>
          <cell r="L68">
            <v>20</v>
          </cell>
          <cell r="M68">
            <v>10</v>
          </cell>
          <cell r="N68">
            <v>40</v>
          </cell>
          <cell r="O68">
            <v>10</v>
          </cell>
          <cell r="P68">
            <v>0</v>
          </cell>
          <cell r="Q68">
            <v>0</v>
          </cell>
          <cell r="R68">
            <v>1500</v>
          </cell>
          <cell r="S68">
            <v>14</v>
          </cell>
          <cell r="T68">
            <v>0</v>
          </cell>
          <cell r="U68">
            <v>0</v>
          </cell>
          <cell r="V68">
            <v>0.15</v>
          </cell>
          <cell r="W68">
            <v>0.15</v>
          </cell>
          <cell r="X68">
            <v>0.17</v>
          </cell>
          <cell r="Y68">
            <v>0.11899999999999999</v>
          </cell>
        </row>
        <row r="69">
          <cell r="A69">
            <v>0.1</v>
          </cell>
          <cell r="B69">
            <v>0</v>
          </cell>
          <cell r="C69">
            <v>0.17</v>
          </cell>
          <cell r="D69" t="str">
            <v>blank</v>
          </cell>
          <cell r="E69">
            <v>0.17</v>
          </cell>
          <cell r="F69">
            <v>0.9</v>
          </cell>
          <cell r="G69">
            <v>0</v>
          </cell>
          <cell r="H69">
            <v>1750</v>
          </cell>
          <cell r="I69">
            <v>32</v>
          </cell>
          <cell r="J69">
            <v>0</v>
          </cell>
          <cell r="K69">
            <v>0</v>
          </cell>
          <cell r="L69">
            <v>22</v>
          </cell>
          <cell r="M69">
            <v>10</v>
          </cell>
          <cell r="N69">
            <v>42</v>
          </cell>
          <cell r="O69">
            <v>10</v>
          </cell>
          <cell r="P69">
            <v>0</v>
          </cell>
          <cell r="Q69">
            <v>0</v>
          </cell>
          <cell r="R69">
            <v>1750</v>
          </cell>
          <cell r="S69">
            <v>15</v>
          </cell>
          <cell r="T69">
            <v>0</v>
          </cell>
          <cell r="U69">
            <v>0</v>
          </cell>
          <cell r="V69">
            <v>0.17499999999999999</v>
          </cell>
          <cell r="W69">
            <v>0.17499999999999999</v>
          </cell>
          <cell r="X69">
            <v>0.24</v>
          </cell>
          <cell r="Y69">
            <v>0.19400000000000001</v>
          </cell>
        </row>
        <row r="70">
          <cell r="A70">
            <v>0.11</v>
          </cell>
          <cell r="B70">
            <v>0</v>
          </cell>
          <cell r="C70">
            <v>0.18</v>
          </cell>
          <cell r="D70" t="str">
            <v>blank</v>
          </cell>
          <cell r="E70">
            <v>0.18</v>
          </cell>
          <cell r="F70">
            <v>1</v>
          </cell>
          <cell r="G70">
            <v>0</v>
          </cell>
          <cell r="H70">
            <v>2000</v>
          </cell>
          <cell r="I70">
            <v>34</v>
          </cell>
          <cell r="J70">
            <v>0</v>
          </cell>
          <cell r="K70">
            <v>0</v>
          </cell>
          <cell r="L70">
            <v>24</v>
          </cell>
          <cell r="M70">
            <v>10</v>
          </cell>
          <cell r="N70">
            <v>44</v>
          </cell>
          <cell r="O70">
            <v>10</v>
          </cell>
          <cell r="P70">
            <v>0</v>
          </cell>
          <cell r="Q70">
            <v>0</v>
          </cell>
          <cell r="R70">
            <v>2000</v>
          </cell>
          <cell r="S70">
            <v>16</v>
          </cell>
          <cell r="T70">
            <v>0</v>
          </cell>
          <cell r="U70">
            <v>0</v>
          </cell>
          <cell r="V70">
            <v>0.2</v>
          </cell>
          <cell r="W70">
            <v>0.2</v>
          </cell>
          <cell r="X70">
            <v>0.25</v>
          </cell>
          <cell r="Y70">
            <v>0.3</v>
          </cell>
        </row>
        <row r="71">
          <cell r="A71">
            <v>0.12</v>
          </cell>
          <cell r="B71">
            <v>0</v>
          </cell>
          <cell r="C71">
            <v>0.19</v>
          </cell>
          <cell r="D71" t="str">
            <v>blank</v>
          </cell>
          <cell r="E71">
            <v>0.19</v>
          </cell>
          <cell r="F71">
            <v>1.1200000000000001</v>
          </cell>
          <cell r="G71">
            <v>0</v>
          </cell>
          <cell r="H71">
            <v>2250</v>
          </cell>
          <cell r="I71">
            <v>36</v>
          </cell>
          <cell r="J71">
            <v>2</v>
          </cell>
          <cell r="K71">
            <v>0</v>
          </cell>
          <cell r="L71">
            <v>26</v>
          </cell>
          <cell r="M71">
            <v>10</v>
          </cell>
          <cell r="N71">
            <v>46</v>
          </cell>
          <cell r="O71">
            <v>10</v>
          </cell>
          <cell r="P71">
            <v>0</v>
          </cell>
          <cell r="Q71">
            <v>0</v>
          </cell>
          <cell r="R71">
            <v>2250</v>
          </cell>
          <cell r="S71">
            <v>17</v>
          </cell>
          <cell r="T71">
            <v>0</v>
          </cell>
          <cell r="U71">
            <v>0</v>
          </cell>
          <cell r="V71">
            <v>0.22500000000000001</v>
          </cell>
          <cell r="W71">
            <v>0.22500000000000001</v>
          </cell>
          <cell r="X71">
            <v>0.315</v>
          </cell>
          <cell r="Y71">
            <v>0.4</v>
          </cell>
        </row>
        <row r="72">
          <cell r="A72">
            <v>0.13</v>
          </cell>
          <cell r="B72">
            <v>0</v>
          </cell>
          <cell r="C72">
            <v>0.20499999999999999</v>
          </cell>
          <cell r="D72" t="str">
            <v>blank</v>
          </cell>
          <cell r="E72">
            <v>0.20499999999999999</v>
          </cell>
          <cell r="F72">
            <v>1.25</v>
          </cell>
          <cell r="G72">
            <v>0</v>
          </cell>
          <cell r="H72">
            <v>2500</v>
          </cell>
          <cell r="I72">
            <v>38</v>
          </cell>
          <cell r="J72">
            <v>0</v>
          </cell>
          <cell r="K72">
            <v>0</v>
          </cell>
          <cell r="L72">
            <v>28</v>
          </cell>
          <cell r="M72">
            <v>10</v>
          </cell>
          <cell r="N72">
            <v>48</v>
          </cell>
          <cell r="O72">
            <v>10</v>
          </cell>
          <cell r="P72">
            <v>0</v>
          </cell>
          <cell r="Q72">
            <v>0</v>
          </cell>
          <cell r="R72">
            <v>2500</v>
          </cell>
          <cell r="S72">
            <v>18</v>
          </cell>
          <cell r="T72">
            <v>0</v>
          </cell>
          <cell r="U72">
            <v>0</v>
          </cell>
          <cell r="V72">
            <v>0.25</v>
          </cell>
          <cell r="W72">
            <v>0.25</v>
          </cell>
          <cell r="X72">
            <v>0.35</v>
          </cell>
          <cell r="Y72">
            <v>0.45</v>
          </cell>
        </row>
        <row r="73">
          <cell r="A73">
            <v>0.14499999999999999</v>
          </cell>
          <cell r="B73">
            <v>0</v>
          </cell>
          <cell r="C73">
            <v>0.22500000000000001</v>
          </cell>
          <cell r="D73" t="str">
            <v>blank</v>
          </cell>
          <cell r="E73">
            <v>0.22500000000000001</v>
          </cell>
          <cell r="F73">
            <v>1.4</v>
          </cell>
          <cell r="G73">
            <v>0</v>
          </cell>
          <cell r="H73">
            <v>2750</v>
          </cell>
          <cell r="I73">
            <v>40</v>
          </cell>
          <cell r="J73">
            <v>0</v>
          </cell>
          <cell r="K73">
            <v>0</v>
          </cell>
          <cell r="L73">
            <v>30</v>
          </cell>
          <cell r="M73">
            <v>10</v>
          </cell>
          <cell r="N73">
            <v>50</v>
          </cell>
          <cell r="O73">
            <v>10</v>
          </cell>
          <cell r="P73">
            <v>0</v>
          </cell>
          <cell r="Q73">
            <v>0</v>
          </cell>
          <cell r="R73">
            <v>2750</v>
          </cell>
          <cell r="S73">
            <v>19</v>
          </cell>
          <cell r="T73">
            <v>0</v>
          </cell>
          <cell r="U73">
            <v>0</v>
          </cell>
          <cell r="V73">
            <v>0.27500000000000002</v>
          </cell>
          <cell r="W73">
            <v>0.27500000000000002</v>
          </cell>
          <cell r="X73">
            <v>0.4</v>
          </cell>
          <cell r="Y73">
            <v>0.5</v>
          </cell>
        </row>
        <row r="74">
          <cell r="A74">
            <v>0.16</v>
          </cell>
          <cell r="B74">
            <v>0</v>
          </cell>
          <cell r="C74">
            <v>0.25</v>
          </cell>
          <cell r="D74" t="str">
            <v>blank</v>
          </cell>
          <cell r="E74">
            <v>0.25</v>
          </cell>
          <cell r="F74">
            <v>1.6</v>
          </cell>
          <cell r="G74">
            <v>0</v>
          </cell>
          <cell r="H74">
            <v>3000</v>
          </cell>
          <cell r="I74">
            <v>41</v>
          </cell>
          <cell r="J74">
            <v>1</v>
          </cell>
          <cell r="K74">
            <v>0</v>
          </cell>
          <cell r="L74">
            <v>31</v>
          </cell>
          <cell r="M74">
            <v>10</v>
          </cell>
          <cell r="N74">
            <v>51</v>
          </cell>
          <cell r="O74">
            <v>10</v>
          </cell>
          <cell r="P74">
            <v>0</v>
          </cell>
          <cell r="Q74">
            <v>0</v>
          </cell>
          <cell r="R74">
            <v>3000</v>
          </cell>
          <cell r="S74">
            <v>20</v>
          </cell>
          <cell r="T74">
            <v>0</v>
          </cell>
          <cell r="U74">
            <v>0</v>
          </cell>
          <cell r="V74">
            <v>0.3</v>
          </cell>
          <cell r="W74">
            <v>0.3</v>
          </cell>
          <cell r="X74">
            <v>0.42499999999999999</v>
          </cell>
          <cell r="Y74">
            <v>0.55000000000000004</v>
          </cell>
        </row>
        <row r="75">
          <cell r="A75">
            <v>0.17500000000000002</v>
          </cell>
          <cell r="B75">
            <v>0</v>
          </cell>
          <cell r="C75">
            <v>0.28000000000000003</v>
          </cell>
          <cell r="D75" t="str">
            <v>blank</v>
          </cell>
          <cell r="E75">
            <v>0.27500000000000002</v>
          </cell>
          <cell r="F75">
            <v>1.8</v>
          </cell>
          <cell r="G75">
            <v>0</v>
          </cell>
          <cell r="H75">
            <v>3250</v>
          </cell>
          <cell r="I75">
            <v>42</v>
          </cell>
          <cell r="J75">
            <v>0</v>
          </cell>
          <cell r="K75">
            <v>0</v>
          </cell>
          <cell r="L75">
            <v>32</v>
          </cell>
          <cell r="M75">
            <v>10</v>
          </cell>
          <cell r="N75">
            <v>52</v>
          </cell>
          <cell r="O75">
            <v>10</v>
          </cell>
          <cell r="P75">
            <v>0</v>
          </cell>
          <cell r="Q75">
            <v>0</v>
          </cell>
          <cell r="R75">
            <v>3250</v>
          </cell>
          <cell r="S75">
            <v>21</v>
          </cell>
          <cell r="T75">
            <v>0</v>
          </cell>
          <cell r="U75">
            <v>0</v>
          </cell>
          <cell r="V75">
            <v>0.32500000000000001</v>
          </cell>
          <cell r="W75">
            <v>0.32500000000000001</v>
          </cell>
          <cell r="X75">
            <v>0.45</v>
          </cell>
          <cell r="Y75">
            <v>0.6</v>
          </cell>
        </row>
        <row r="76">
          <cell r="A76">
            <v>0.19500000000000001</v>
          </cell>
          <cell r="B76">
            <v>0</v>
          </cell>
          <cell r="C76">
            <v>0.315</v>
          </cell>
          <cell r="D76" t="str">
            <v>b154</v>
          </cell>
          <cell r="E76">
            <v>0.3</v>
          </cell>
          <cell r="F76">
            <v>0</v>
          </cell>
          <cell r="G76">
            <v>0</v>
          </cell>
          <cell r="H76">
            <v>3500</v>
          </cell>
          <cell r="I76">
            <v>43</v>
          </cell>
          <cell r="J76">
            <v>0</v>
          </cell>
          <cell r="K76">
            <v>0</v>
          </cell>
          <cell r="L76">
            <v>33</v>
          </cell>
          <cell r="M76">
            <v>10</v>
          </cell>
          <cell r="N76">
            <v>53</v>
          </cell>
          <cell r="O76">
            <v>10</v>
          </cell>
          <cell r="P76">
            <v>0</v>
          </cell>
          <cell r="Q76">
            <v>0</v>
          </cell>
          <cell r="R76">
            <v>3500</v>
          </cell>
          <cell r="S76">
            <v>22</v>
          </cell>
          <cell r="T76">
            <v>0</v>
          </cell>
          <cell r="U76">
            <v>0</v>
          </cell>
          <cell r="V76">
            <v>0.35</v>
          </cell>
          <cell r="W76">
            <v>0.35</v>
          </cell>
          <cell r="X76">
            <v>0.47499999999999998</v>
          </cell>
          <cell r="Y76">
            <v>0.74</v>
          </cell>
        </row>
        <row r="77">
          <cell r="A77">
            <v>0.215</v>
          </cell>
          <cell r="B77">
            <v>0</v>
          </cell>
          <cell r="C77">
            <v>0.35499999999999998</v>
          </cell>
          <cell r="D77" t="str">
            <v>b155</v>
          </cell>
          <cell r="E77">
            <v>0.35</v>
          </cell>
          <cell r="F77">
            <v>0</v>
          </cell>
          <cell r="G77">
            <v>0</v>
          </cell>
          <cell r="H77">
            <v>3750</v>
          </cell>
          <cell r="I77">
            <v>44</v>
          </cell>
          <cell r="J77">
            <v>1</v>
          </cell>
          <cell r="K77">
            <v>0</v>
          </cell>
          <cell r="L77">
            <v>34</v>
          </cell>
          <cell r="M77">
            <v>10</v>
          </cell>
          <cell r="N77">
            <v>54</v>
          </cell>
          <cell r="O77">
            <v>10</v>
          </cell>
          <cell r="P77">
            <v>0</v>
          </cell>
          <cell r="Q77">
            <v>0</v>
          </cell>
          <cell r="R77">
            <v>3750</v>
          </cell>
          <cell r="S77">
            <v>23</v>
          </cell>
          <cell r="T77">
            <v>0</v>
          </cell>
          <cell r="U77">
            <v>0</v>
          </cell>
          <cell r="V77">
            <v>0.375</v>
          </cell>
          <cell r="W77">
            <v>0.375</v>
          </cell>
          <cell r="X77">
            <v>0.5</v>
          </cell>
          <cell r="Y77">
            <v>0.85</v>
          </cell>
        </row>
        <row r="78">
          <cell r="A78">
            <v>0.23500000000000001</v>
          </cell>
          <cell r="B78">
            <v>0</v>
          </cell>
          <cell r="C78">
            <v>0.4</v>
          </cell>
          <cell r="D78" t="str">
            <v>b122</v>
          </cell>
          <cell r="E78">
            <v>0.4</v>
          </cell>
          <cell r="F78">
            <v>0</v>
          </cell>
          <cell r="G78">
            <v>0</v>
          </cell>
          <cell r="H78">
            <v>4000</v>
          </cell>
          <cell r="I78">
            <v>45</v>
          </cell>
          <cell r="J78">
            <v>0</v>
          </cell>
          <cell r="K78">
            <v>0</v>
          </cell>
          <cell r="L78">
            <v>35</v>
          </cell>
          <cell r="M78">
            <v>10</v>
          </cell>
          <cell r="N78">
            <v>55</v>
          </cell>
          <cell r="O78">
            <v>10</v>
          </cell>
          <cell r="P78">
            <v>0</v>
          </cell>
          <cell r="Q78">
            <v>0</v>
          </cell>
          <cell r="R78">
            <v>4000</v>
          </cell>
          <cell r="S78">
            <v>24</v>
          </cell>
          <cell r="T78">
            <v>0</v>
          </cell>
          <cell r="U78">
            <v>0</v>
          </cell>
          <cell r="V78">
            <v>0.4</v>
          </cell>
          <cell r="W78">
            <v>0.4</v>
          </cell>
          <cell r="X78">
            <v>0.52500000000000002</v>
          </cell>
          <cell r="Y78">
            <v>1</v>
          </cell>
        </row>
        <row r="79">
          <cell r="A79">
            <v>0.26</v>
          </cell>
          <cell r="B79">
            <v>0</v>
          </cell>
          <cell r="C79">
            <v>0.45</v>
          </cell>
          <cell r="D79" t="str">
            <v>b121</v>
          </cell>
          <cell r="E79">
            <v>0.45</v>
          </cell>
          <cell r="F79">
            <v>0</v>
          </cell>
          <cell r="G79">
            <v>0</v>
          </cell>
          <cell r="H79">
            <v>4250</v>
          </cell>
          <cell r="I79">
            <v>46</v>
          </cell>
          <cell r="J79">
            <v>0</v>
          </cell>
          <cell r="K79">
            <v>0</v>
          </cell>
          <cell r="L79">
            <v>36</v>
          </cell>
          <cell r="M79">
            <v>10</v>
          </cell>
          <cell r="N79">
            <v>56</v>
          </cell>
          <cell r="O79">
            <v>10</v>
          </cell>
          <cell r="P79">
            <v>0</v>
          </cell>
          <cell r="Q79">
            <v>0</v>
          </cell>
          <cell r="R79">
            <v>4250</v>
          </cell>
          <cell r="S79">
            <v>25</v>
          </cell>
          <cell r="T79">
            <v>0</v>
          </cell>
          <cell r="U79">
            <v>0</v>
          </cell>
          <cell r="V79">
            <v>0.42499999999999999</v>
          </cell>
          <cell r="W79">
            <v>0.42499999999999999</v>
          </cell>
          <cell r="X79">
            <v>0.55000000000000004</v>
          </cell>
          <cell r="Y79">
            <v>0</v>
          </cell>
        </row>
        <row r="80">
          <cell r="A80">
            <v>0.28500000000000003</v>
          </cell>
          <cell r="B80">
            <v>0</v>
          </cell>
          <cell r="C80">
            <v>0.5</v>
          </cell>
          <cell r="D80" t="str">
            <v>blank</v>
          </cell>
          <cell r="E80">
            <v>0.5</v>
          </cell>
          <cell r="F80">
            <v>0</v>
          </cell>
          <cell r="G80">
            <v>0</v>
          </cell>
          <cell r="H80">
            <v>4500</v>
          </cell>
          <cell r="I80">
            <v>47</v>
          </cell>
          <cell r="J80">
            <v>0</v>
          </cell>
          <cell r="K80">
            <v>0</v>
          </cell>
          <cell r="L80">
            <v>37</v>
          </cell>
          <cell r="M80">
            <v>10</v>
          </cell>
          <cell r="N80">
            <v>57</v>
          </cell>
          <cell r="O80">
            <v>10</v>
          </cell>
          <cell r="P80">
            <v>0</v>
          </cell>
          <cell r="Q80">
            <v>0</v>
          </cell>
          <cell r="R80">
            <v>4500</v>
          </cell>
          <cell r="S80">
            <v>26</v>
          </cell>
          <cell r="T80">
            <v>0</v>
          </cell>
          <cell r="U80">
            <v>0</v>
          </cell>
          <cell r="V80">
            <v>0.45</v>
          </cell>
          <cell r="W80">
            <v>0.45</v>
          </cell>
          <cell r="X80">
            <v>0.57499999999999996</v>
          </cell>
          <cell r="Y80">
            <v>0</v>
          </cell>
        </row>
        <row r="81">
          <cell r="A81">
            <v>0.315</v>
          </cell>
          <cell r="B81">
            <v>0</v>
          </cell>
          <cell r="C81">
            <v>0.56000000000000005</v>
          </cell>
          <cell r="D81" t="str">
            <v>b96</v>
          </cell>
          <cell r="E81">
            <v>0.55000000000000004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0.47499999999999998</v>
          </cell>
          <cell r="W81">
            <v>0.47499999999999998</v>
          </cell>
          <cell r="X81">
            <v>0.6</v>
          </cell>
          <cell r="Y81">
            <v>0</v>
          </cell>
        </row>
        <row r="82">
          <cell r="A82">
            <v>0.34500000000000003</v>
          </cell>
          <cell r="B82">
            <v>0</v>
          </cell>
          <cell r="C82">
            <v>0.63</v>
          </cell>
          <cell r="D82" t="str">
            <v>b76</v>
          </cell>
          <cell r="E82">
            <v>0.6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0.5</v>
          </cell>
          <cell r="W82">
            <v>0.5</v>
          </cell>
          <cell r="X82">
            <v>0.625</v>
          </cell>
          <cell r="Y82">
            <v>0</v>
          </cell>
        </row>
        <row r="83">
          <cell r="A83">
            <v>0.38</v>
          </cell>
          <cell r="B83">
            <v>0</v>
          </cell>
          <cell r="C83">
            <v>0.7</v>
          </cell>
          <cell r="D83" t="str">
            <v>b72</v>
          </cell>
          <cell r="E83">
            <v>0.63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0.52500000000000002</v>
          </cell>
          <cell r="W83">
            <v>0.52500000000000002</v>
          </cell>
          <cell r="X83">
            <v>0.65</v>
          </cell>
          <cell r="Y83">
            <v>0</v>
          </cell>
        </row>
        <row r="84">
          <cell r="A84">
            <v>0.42</v>
          </cell>
          <cell r="B84">
            <v>0</v>
          </cell>
          <cell r="C84">
            <v>0.8</v>
          </cell>
          <cell r="D84" t="str">
            <v>b62</v>
          </cell>
          <cell r="E84">
            <v>0.65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0.55000000000000004</v>
          </cell>
          <cell r="W84">
            <v>0.55000000000000004</v>
          </cell>
          <cell r="X84">
            <v>0.67500000000000004</v>
          </cell>
          <cell r="Y84">
            <v>0</v>
          </cell>
        </row>
        <row r="85">
          <cell r="A85">
            <v>0.46</v>
          </cell>
          <cell r="B85">
            <v>0</v>
          </cell>
          <cell r="C85">
            <v>0.9</v>
          </cell>
          <cell r="D85" t="str">
            <v>b71</v>
          </cell>
          <cell r="E85">
            <v>0.7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0.56000000000000005</v>
          </cell>
          <cell r="W85">
            <v>0.56000000000000005</v>
          </cell>
          <cell r="X85">
            <v>0.7</v>
          </cell>
          <cell r="Y85">
            <v>0</v>
          </cell>
        </row>
        <row r="86">
          <cell r="A86">
            <v>0.505</v>
          </cell>
          <cell r="B86">
            <v>0</v>
          </cell>
          <cell r="C86">
            <v>1</v>
          </cell>
          <cell r="D86" t="str">
            <v>b146</v>
          </cell>
          <cell r="E86">
            <v>0.71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0.57499999999999996</v>
          </cell>
          <cell r="W86">
            <v>0.57499999999999996</v>
          </cell>
          <cell r="X86">
            <v>0.74</v>
          </cell>
          <cell r="Y86">
            <v>0</v>
          </cell>
        </row>
        <row r="87">
          <cell r="A87">
            <v>0.55500000000000005</v>
          </cell>
          <cell r="B87">
            <v>0</v>
          </cell>
          <cell r="C87">
            <v>1.1200000000000001</v>
          </cell>
          <cell r="D87" t="str">
            <v>b148</v>
          </cell>
          <cell r="E87">
            <v>0.75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0.6</v>
          </cell>
          <cell r="W87">
            <v>0.6</v>
          </cell>
          <cell r="X87">
            <v>0.75</v>
          </cell>
          <cell r="Y87">
            <v>0</v>
          </cell>
        </row>
        <row r="88">
          <cell r="A88">
            <v>0.61</v>
          </cell>
          <cell r="B88">
            <v>0</v>
          </cell>
          <cell r="C88">
            <v>0</v>
          </cell>
          <cell r="D88">
            <v>0</v>
          </cell>
          <cell r="E88">
            <v>0.8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0.625</v>
          </cell>
          <cell r="W88">
            <v>0.625</v>
          </cell>
          <cell r="X88">
            <v>0.8</v>
          </cell>
          <cell r="Y88">
            <v>0</v>
          </cell>
        </row>
        <row r="89">
          <cell r="A89">
            <v>0.67</v>
          </cell>
          <cell r="B89">
            <v>0</v>
          </cell>
          <cell r="C89">
            <v>0</v>
          </cell>
          <cell r="D89">
            <v>0</v>
          </cell>
          <cell r="E89">
            <v>0.85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0.63</v>
          </cell>
          <cell r="W89">
            <v>0.63</v>
          </cell>
          <cell r="X89">
            <v>0.85</v>
          </cell>
          <cell r="Y89">
            <v>0</v>
          </cell>
        </row>
        <row r="90">
          <cell r="A90">
            <v>0.73499999999999999</v>
          </cell>
          <cell r="B90">
            <v>0</v>
          </cell>
          <cell r="C90">
            <v>0</v>
          </cell>
          <cell r="D90">
            <v>0</v>
          </cell>
          <cell r="E90">
            <v>0.9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0.64</v>
          </cell>
          <cell r="W90">
            <v>0.64</v>
          </cell>
          <cell r="X90">
            <v>0.9</v>
          </cell>
          <cell r="Y90">
            <v>0</v>
          </cell>
        </row>
        <row r="91">
          <cell r="A91">
            <v>0.81</v>
          </cell>
          <cell r="B91">
            <v>0</v>
          </cell>
          <cell r="C91">
            <v>0</v>
          </cell>
          <cell r="D91">
            <v>0</v>
          </cell>
          <cell r="E91">
            <v>0.95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0.65</v>
          </cell>
          <cell r="W91">
            <v>0.65</v>
          </cell>
          <cell r="X91">
            <v>0.95</v>
          </cell>
          <cell r="Y91">
            <v>0</v>
          </cell>
        </row>
        <row r="92">
          <cell r="A92">
            <v>0.89</v>
          </cell>
          <cell r="B92">
            <v>0</v>
          </cell>
          <cell r="C92">
            <v>0</v>
          </cell>
          <cell r="D92">
            <v>0</v>
          </cell>
          <cell r="E92">
            <v>1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0.67500000000000004</v>
          </cell>
          <cell r="W92">
            <v>0.67500000000000004</v>
          </cell>
          <cell r="X92">
            <v>1</v>
          </cell>
          <cell r="Y92">
            <v>0</v>
          </cell>
        </row>
        <row r="93">
          <cell r="A93">
            <v>0.98</v>
          </cell>
          <cell r="B93">
            <v>0</v>
          </cell>
          <cell r="C93">
            <v>0</v>
          </cell>
          <cell r="D93">
            <v>0</v>
          </cell>
          <cell r="E93">
            <v>1.1000000000000001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0.7</v>
          </cell>
          <cell r="W93">
            <v>0.7</v>
          </cell>
          <cell r="X93">
            <v>0</v>
          </cell>
          <cell r="Y93">
            <v>0</v>
          </cell>
        </row>
        <row r="94">
          <cell r="A94">
            <v>1.08</v>
          </cell>
          <cell r="B94">
            <v>0</v>
          </cell>
          <cell r="C94">
            <v>0</v>
          </cell>
          <cell r="D94">
            <v>0</v>
          </cell>
          <cell r="E94">
            <v>1.1200000000000001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0.71</v>
          </cell>
          <cell r="W94">
            <v>0.71</v>
          </cell>
          <cell r="X94">
            <v>0</v>
          </cell>
          <cell r="Y94">
            <v>0</v>
          </cell>
        </row>
        <row r="95">
          <cell r="A95">
            <v>1.19</v>
          </cell>
          <cell r="B95">
            <v>0</v>
          </cell>
          <cell r="C95">
            <v>0</v>
          </cell>
          <cell r="D95">
            <v>0</v>
          </cell>
          <cell r="E95">
            <v>1.2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0.72499999999999998</v>
          </cell>
          <cell r="W95">
            <v>0.72499999999999998</v>
          </cell>
          <cell r="X95">
            <v>0</v>
          </cell>
          <cell r="Y95">
            <v>0</v>
          </cell>
        </row>
        <row r="96">
          <cell r="A96">
            <v>1.31</v>
          </cell>
          <cell r="B96">
            <v>0</v>
          </cell>
          <cell r="C96">
            <v>0</v>
          </cell>
          <cell r="D96">
            <v>0</v>
          </cell>
          <cell r="E96">
            <v>1.25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0.75</v>
          </cell>
          <cell r="W96">
            <v>0.75</v>
          </cell>
          <cell r="X96">
            <v>0</v>
          </cell>
          <cell r="Y96">
            <v>0</v>
          </cell>
        </row>
        <row r="97">
          <cell r="A97">
            <v>1.44</v>
          </cell>
          <cell r="B97">
            <v>0</v>
          </cell>
          <cell r="C97">
            <v>0</v>
          </cell>
          <cell r="D97">
            <v>0</v>
          </cell>
          <cell r="E97">
            <v>1.3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0.77500000000000002</v>
          </cell>
          <cell r="W97">
            <v>0.77500000000000002</v>
          </cell>
          <cell r="X97">
            <v>0</v>
          </cell>
          <cell r="Y97">
            <v>0</v>
          </cell>
        </row>
        <row r="98">
          <cell r="A98">
            <v>1.585</v>
          </cell>
          <cell r="B98">
            <v>0</v>
          </cell>
          <cell r="C98">
            <v>0</v>
          </cell>
          <cell r="D98">
            <v>0</v>
          </cell>
          <cell r="E98">
            <v>1.4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0.8</v>
          </cell>
          <cell r="W98">
            <v>0.8</v>
          </cell>
          <cell r="X98">
            <v>0</v>
          </cell>
          <cell r="Y98">
            <v>0</v>
          </cell>
        </row>
        <row r="99">
          <cell r="A99">
            <v>1.7450000000000001</v>
          </cell>
          <cell r="B99">
            <v>0</v>
          </cell>
          <cell r="C99">
            <v>0</v>
          </cell>
          <cell r="D99">
            <v>0</v>
          </cell>
          <cell r="E99">
            <v>1.5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0.82499999999999996</v>
          </cell>
          <cell r="W99">
            <v>0.82499999999999996</v>
          </cell>
          <cell r="X99">
            <v>0</v>
          </cell>
          <cell r="Y99">
            <v>0</v>
          </cell>
        </row>
        <row r="100">
          <cell r="A100">
            <v>1.92</v>
          </cell>
          <cell r="B100">
            <v>0</v>
          </cell>
          <cell r="C100">
            <v>0</v>
          </cell>
          <cell r="D100">
            <v>0</v>
          </cell>
          <cell r="E100">
            <v>1.6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0.85</v>
          </cell>
          <cell r="W100">
            <v>0.85</v>
          </cell>
          <cell r="X100">
            <v>0</v>
          </cell>
          <cell r="Y100">
            <v>0</v>
          </cell>
        </row>
        <row r="101">
          <cell r="A101">
            <v>2.11</v>
          </cell>
          <cell r="B101">
            <v>0</v>
          </cell>
          <cell r="C101">
            <v>0</v>
          </cell>
          <cell r="D101">
            <v>0</v>
          </cell>
          <cell r="E101">
            <v>1.7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0.875</v>
          </cell>
          <cell r="W101">
            <v>0.875</v>
          </cell>
          <cell r="X101">
            <v>0</v>
          </cell>
          <cell r="Y101">
            <v>0</v>
          </cell>
        </row>
        <row r="102">
          <cell r="A102">
            <v>2.3199999999999998</v>
          </cell>
          <cell r="B102">
            <v>0</v>
          </cell>
          <cell r="C102">
            <v>0</v>
          </cell>
          <cell r="D102">
            <v>0</v>
          </cell>
          <cell r="E102">
            <v>1.8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0.9</v>
          </cell>
          <cell r="W102">
            <v>0.9</v>
          </cell>
          <cell r="X102">
            <v>0</v>
          </cell>
          <cell r="Y102">
            <v>0</v>
          </cell>
        </row>
        <row r="103">
          <cell r="A103">
            <v>2.5500000000000003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0.92500000000000004</v>
          </cell>
          <cell r="W103">
            <v>0.92500000000000004</v>
          </cell>
          <cell r="X103">
            <v>0</v>
          </cell>
          <cell r="Y103">
            <v>0</v>
          </cell>
        </row>
        <row r="104">
          <cell r="A104">
            <v>2.8050000000000002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0.95</v>
          </cell>
          <cell r="W104">
            <v>0.95</v>
          </cell>
          <cell r="X104">
            <v>0</v>
          </cell>
          <cell r="Y104">
            <v>0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0.97499999999999998</v>
          </cell>
          <cell r="W105">
            <v>0.97499999999999998</v>
          </cell>
          <cell r="X105">
            <v>0</v>
          </cell>
          <cell r="Y105">
            <v>0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1</v>
          </cell>
          <cell r="W106">
            <v>1</v>
          </cell>
          <cell r="X106">
            <v>0</v>
          </cell>
          <cell r="Y106">
            <v>0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1.0249999999999999</v>
          </cell>
          <cell r="W107">
            <v>1.0249999999999999</v>
          </cell>
          <cell r="X107">
            <v>0</v>
          </cell>
          <cell r="Y107">
            <v>0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1.05</v>
          </cell>
          <cell r="W108">
            <v>1.05</v>
          </cell>
          <cell r="X108">
            <v>0</v>
          </cell>
          <cell r="Y108">
            <v>0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1.075</v>
          </cell>
          <cell r="W109">
            <v>1.075</v>
          </cell>
          <cell r="X109">
            <v>0</v>
          </cell>
          <cell r="Y109">
            <v>0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1.1200000000000001</v>
          </cell>
          <cell r="W110">
            <v>1.1200000000000001</v>
          </cell>
          <cell r="X110">
            <v>0</v>
          </cell>
          <cell r="Y110">
            <v>0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1.1000000000000001</v>
          </cell>
          <cell r="W111">
            <v>1.1000000000000001</v>
          </cell>
          <cell r="X111">
            <v>0</v>
          </cell>
          <cell r="Y111">
            <v>0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1.125</v>
          </cell>
          <cell r="W112">
            <v>1.125</v>
          </cell>
          <cell r="X112">
            <v>0</v>
          </cell>
          <cell r="Y112">
            <v>0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1.1499999999999999</v>
          </cell>
          <cell r="W113">
            <v>1.1499999999999999</v>
          </cell>
          <cell r="X113">
            <v>0</v>
          </cell>
          <cell r="Y113">
            <v>0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1.175</v>
          </cell>
          <cell r="W114">
            <v>1.175</v>
          </cell>
          <cell r="X114">
            <v>0</v>
          </cell>
          <cell r="Y114">
            <v>0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1.2</v>
          </cell>
          <cell r="W115">
            <v>1.2</v>
          </cell>
          <cell r="X115">
            <v>0</v>
          </cell>
          <cell r="Y115">
            <v>0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1.2250000000000001</v>
          </cell>
          <cell r="W116">
            <v>1.2250000000000001</v>
          </cell>
          <cell r="X116">
            <v>0</v>
          </cell>
          <cell r="Y116">
            <v>0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1.2749999999999999</v>
          </cell>
          <cell r="W117">
            <v>1.2749999999999999</v>
          </cell>
          <cell r="X117">
            <v>0</v>
          </cell>
          <cell r="Y117">
            <v>0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1.325</v>
          </cell>
          <cell r="W118">
            <v>1.325</v>
          </cell>
          <cell r="X118">
            <v>0</v>
          </cell>
          <cell r="Y118">
            <v>0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1.375</v>
          </cell>
          <cell r="W119">
            <v>1.375</v>
          </cell>
          <cell r="X119">
            <v>0</v>
          </cell>
          <cell r="Y119">
            <v>0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1.425</v>
          </cell>
          <cell r="W120">
            <v>1.425</v>
          </cell>
          <cell r="X120">
            <v>0</v>
          </cell>
          <cell r="Y120">
            <v>0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1.4750000000000001</v>
          </cell>
          <cell r="W121">
            <v>1.4750000000000001</v>
          </cell>
          <cell r="X121">
            <v>0</v>
          </cell>
          <cell r="Y121">
            <v>0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1.5249999999999999</v>
          </cell>
          <cell r="W122">
            <v>1.5249999999999999</v>
          </cell>
          <cell r="X122">
            <v>0</v>
          </cell>
          <cell r="Y122">
            <v>0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1.575</v>
          </cell>
          <cell r="W123">
            <v>1.575</v>
          </cell>
          <cell r="X123">
            <v>0</v>
          </cell>
          <cell r="Y123">
            <v>0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1.625</v>
          </cell>
          <cell r="W124">
            <v>1.625</v>
          </cell>
          <cell r="X124">
            <v>0</v>
          </cell>
          <cell r="Y124">
            <v>0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1.675</v>
          </cell>
          <cell r="W125">
            <v>1.675</v>
          </cell>
          <cell r="X125">
            <v>0</v>
          </cell>
          <cell r="Y125">
            <v>0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1.7250000000000001</v>
          </cell>
          <cell r="W126">
            <v>1.7250000000000001</v>
          </cell>
          <cell r="X126">
            <v>0</v>
          </cell>
          <cell r="Y126">
            <v>0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1.7749999999999999</v>
          </cell>
          <cell r="W127">
            <v>1.7749999999999999</v>
          </cell>
          <cell r="X127">
            <v>0</v>
          </cell>
          <cell r="Y127">
            <v>0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1.825</v>
          </cell>
          <cell r="W128">
            <v>1.825</v>
          </cell>
          <cell r="X128">
            <v>0</v>
          </cell>
          <cell r="Y128">
            <v>0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1.875</v>
          </cell>
          <cell r="W129">
            <v>1.875</v>
          </cell>
          <cell r="X129">
            <v>0</v>
          </cell>
          <cell r="Y129">
            <v>0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1.925</v>
          </cell>
          <cell r="W130">
            <v>1.925</v>
          </cell>
          <cell r="X130">
            <v>0</v>
          </cell>
          <cell r="Y130">
            <v>0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1.9750000000000001</v>
          </cell>
          <cell r="W131">
            <v>1.9750000000000001</v>
          </cell>
          <cell r="X131">
            <v>0</v>
          </cell>
          <cell r="Y131">
            <v>0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2.0249999999999999</v>
          </cell>
          <cell r="W132">
            <v>2.0249999999999999</v>
          </cell>
          <cell r="X132">
            <v>0</v>
          </cell>
          <cell r="Y132">
            <v>0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2.0750000000000002</v>
          </cell>
          <cell r="W133">
            <v>2.0750000000000002</v>
          </cell>
          <cell r="X133">
            <v>0</v>
          </cell>
          <cell r="Y133">
            <v>0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2.125</v>
          </cell>
          <cell r="W134">
            <v>2.125</v>
          </cell>
          <cell r="X134">
            <v>0</v>
          </cell>
          <cell r="Y134">
            <v>0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2.1749999999999998</v>
          </cell>
          <cell r="W135">
            <v>2.1749999999999998</v>
          </cell>
          <cell r="X135">
            <v>0</v>
          </cell>
          <cell r="Y135">
            <v>0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2.2250000000000001</v>
          </cell>
          <cell r="W136">
            <v>2.2250000000000001</v>
          </cell>
          <cell r="X136">
            <v>0</v>
          </cell>
          <cell r="Y136">
            <v>0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2.2749999999999999</v>
          </cell>
          <cell r="W137">
            <v>2.2749999999999999</v>
          </cell>
          <cell r="X137">
            <v>0</v>
          </cell>
          <cell r="Y137">
            <v>0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2.3250000000000002</v>
          </cell>
          <cell r="W138">
            <v>2.3250000000000002</v>
          </cell>
          <cell r="X138">
            <v>0</v>
          </cell>
          <cell r="Y138">
            <v>0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2.375</v>
          </cell>
          <cell r="W139">
            <v>2.375</v>
          </cell>
          <cell r="X139">
            <v>0</v>
          </cell>
          <cell r="Y139">
            <v>0</v>
          </cell>
        </row>
        <row r="140">
          <cell r="A140" t="str">
            <v>RPM</v>
          </cell>
          <cell r="B140">
            <v>0</v>
          </cell>
          <cell r="C140" t="str">
            <v>Blade dist@ d2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2.4249999999999998</v>
          </cell>
          <cell r="W140">
            <v>2.4249999999999998</v>
          </cell>
          <cell r="X140">
            <v>0</v>
          </cell>
          <cell r="Y140">
            <v>0</v>
          </cell>
        </row>
        <row r="141">
          <cell r="A141">
            <v>250</v>
          </cell>
          <cell r="B141">
            <v>0</v>
          </cell>
          <cell r="C141">
            <v>0.4</v>
          </cell>
          <cell r="D141" t="str">
            <v>m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2.4750000000000001</v>
          </cell>
          <cell r="W141">
            <v>2.4750000000000001</v>
          </cell>
          <cell r="X141">
            <v>0</v>
          </cell>
          <cell r="Y141">
            <v>0</v>
          </cell>
        </row>
        <row r="142">
          <cell r="A142">
            <v>500</v>
          </cell>
          <cell r="B142">
            <v>0</v>
          </cell>
          <cell r="C142">
            <v>0.4</v>
          </cell>
          <cell r="D142" t="str">
            <v>m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2.5249999999999999</v>
          </cell>
          <cell r="W142">
            <v>2.5249999999999999</v>
          </cell>
          <cell r="X142">
            <v>0</v>
          </cell>
          <cell r="Y142">
            <v>0</v>
          </cell>
        </row>
        <row r="143">
          <cell r="A143">
            <v>1000</v>
          </cell>
          <cell r="B143">
            <v>0</v>
          </cell>
          <cell r="C143">
            <v>0.35</v>
          </cell>
          <cell r="D143" t="str">
            <v>m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2.5750000000000002</v>
          </cell>
          <cell r="W143">
            <v>2.5750000000000002</v>
          </cell>
          <cell r="X143">
            <v>0</v>
          </cell>
          <cell r="Y143">
            <v>0</v>
          </cell>
        </row>
        <row r="144">
          <cell r="A144">
            <v>1500</v>
          </cell>
          <cell r="B144">
            <v>0</v>
          </cell>
          <cell r="C144">
            <v>0.35</v>
          </cell>
          <cell r="D144" t="str">
            <v>m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2.625</v>
          </cell>
          <cell r="W144">
            <v>2.625</v>
          </cell>
          <cell r="X144">
            <v>0</v>
          </cell>
          <cell r="Y144">
            <v>0</v>
          </cell>
        </row>
        <row r="145">
          <cell r="A145">
            <v>2000</v>
          </cell>
          <cell r="B145">
            <v>0</v>
          </cell>
          <cell r="C145">
            <v>0.3</v>
          </cell>
          <cell r="D145" t="str">
            <v>m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2.6749999999999998</v>
          </cell>
          <cell r="W145">
            <v>2.6749999999999998</v>
          </cell>
          <cell r="X145">
            <v>0</v>
          </cell>
          <cell r="Y145">
            <v>0</v>
          </cell>
        </row>
        <row r="146">
          <cell r="A146">
            <v>2500</v>
          </cell>
          <cell r="B146">
            <v>0</v>
          </cell>
          <cell r="C146">
            <v>0.25</v>
          </cell>
          <cell r="D146" t="str">
            <v>m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2.7250000000000001</v>
          </cell>
          <cell r="W146">
            <v>2.7250000000000001</v>
          </cell>
          <cell r="X146">
            <v>0</v>
          </cell>
          <cell r="Y146">
            <v>0</v>
          </cell>
        </row>
        <row r="147">
          <cell r="A147">
            <v>3000</v>
          </cell>
          <cell r="B147">
            <v>0</v>
          </cell>
          <cell r="C147">
            <v>0.25</v>
          </cell>
          <cell r="D147" t="str">
            <v>m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2.7749999999999999</v>
          </cell>
          <cell r="W147">
            <v>2.7749999999999999</v>
          </cell>
          <cell r="X147">
            <v>0</v>
          </cell>
          <cell r="Y147">
            <v>0</v>
          </cell>
        </row>
        <row r="148">
          <cell r="A148">
            <v>3600</v>
          </cell>
          <cell r="B148">
            <v>0</v>
          </cell>
          <cell r="C148">
            <v>0.2</v>
          </cell>
          <cell r="D148" t="str">
            <v>m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2.8250000000000002</v>
          </cell>
          <cell r="W148">
            <v>2.8250000000000002</v>
          </cell>
          <cell r="X148">
            <v>0</v>
          </cell>
          <cell r="Y148">
            <v>0</v>
          </cell>
        </row>
        <row r="149">
          <cell r="A149">
            <v>4800</v>
          </cell>
          <cell r="B149">
            <v>0</v>
          </cell>
          <cell r="C149">
            <v>0.15</v>
          </cell>
          <cell r="D149" t="str">
            <v>m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2.875</v>
          </cell>
          <cell r="W149">
            <v>2.875</v>
          </cell>
          <cell r="X149">
            <v>0</v>
          </cell>
          <cell r="Y149">
            <v>0</v>
          </cell>
        </row>
        <row r="150">
          <cell r="A150">
            <v>6000</v>
          </cell>
          <cell r="B150">
            <v>0</v>
          </cell>
          <cell r="C150">
            <v>0.15</v>
          </cell>
          <cell r="D150" t="str">
            <v>m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2.9249999999999998</v>
          </cell>
          <cell r="W150">
            <v>2.9249999999999998</v>
          </cell>
          <cell r="X150">
            <v>0</v>
          </cell>
          <cell r="Y150">
            <v>0</v>
          </cell>
        </row>
      </sheetData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查询"/>
      <sheetName val="Sheet2"/>
      <sheetName val="old FS 命名转化"/>
      <sheetName val="Ventilator relevance"/>
      <sheetName val="name_change"/>
      <sheetName val="old FS 命名转化 (F)"/>
    </sheetNames>
    <sheetDataSet>
      <sheetData sheetId="0"/>
      <sheetData sheetId="1"/>
      <sheetData sheetId="2"/>
      <sheetData sheetId="3"/>
      <sheetData sheetId="4"/>
      <sheetData sheetId="5">
        <row r="3">
          <cell r="A3" t="str">
            <v>HN 560-350</v>
          </cell>
          <cell r="B3" t="str">
            <v>AP 56-175</v>
          </cell>
        </row>
        <row r="4">
          <cell r="A4" t="str">
            <v>HN 690-350</v>
          </cell>
          <cell r="B4" t="str">
            <v>AP 69-175</v>
          </cell>
        </row>
        <row r="5">
          <cell r="A5" t="str">
            <v>HN 690-450</v>
          </cell>
          <cell r="B5" t="str">
            <v>AP 69-225</v>
          </cell>
        </row>
        <row r="6">
          <cell r="A6" t="str">
            <v>HN 690-560</v>
          </cell>
          <cell r="B6" t="str">
            <v>AP 69-280</v>
          </cell>
        </row>
        <row r="7">
          <cell r="A7" t="str">
            <v>HN 690-560vA</v>
          </cell>
          <cell r="B7" t="str">
            <v>AP 69-280</v>
          </cell>
        </row>
        <row r="8">
          <cell r="A8" t="str">
            <v>HN 800-350</v>
          </cell>
          <cell r="B8" t="str">
            <v>AP 80-175</v>
          </cell>
        </row>
        <row r="9">
          <cell r="A9" t="str">
            <v>HN 800-400</v>
          </cell>
          <cell r="B9" t="str">
            <v>AP 80-200</v>
          </cell>
        </row>
        <row r="10">
          <cell r="A10" t="str">
            <v>HN 800-450</v>
          </cell>
          <cell r="B10" t="str">
            <v>AP 80-225</v>
          </cell>
        </row>
        <row r="11">
          <cell r="A11" t="str">
            <v>HN 800-500</v>
          </cell>
          <cell r="B11" t="str">
            <v>AP 80-250</v>
          </cell>
        </row>
        <row r="12">
          <cell r="A12" t="str">
            <v>HN 800-630</v>
          </cell>
          <cell r="B12" t="str">
            <v>AP 80-315</v>
          </cell>
        </row>
        <row r="13">
          <cell r="A13" t="str">
            <v>HN 900-500</v>
          </cell>
          <cell r="B13" t="str">
            <v>AP 90-250</v>
          </cell>
        </row>
        <row r="14">
          <cell r="A14" t="str">
            <v>HN 900-560</v>
          </cell>
          <cell r="B14" t="str">
            <v>AP 90-280</v>
          </cell>
        </row>
        <row r="15">
          <cell r="A15" t="str">
            <v>HN 900-630</v>
          </cell>
          <cell r="B15" t="str">
            <v>AP 90-315</v>
          </cell>
        </row>
        <row r="16">
          <cell r="A16" t="str">
            <v>HN 900-710</v>
          </cell>
          <cell r="B16" t="str">
            <v>AP 90-355</v>
          </cell>
        </row>
        <row r="17">
          <cell r="A17" t="str">
            <v>HN 1000-400,45</v>
          </cell>
          <cell r="B17" t="str">
            <v>AP 100-200A</v>
          </cell>
        </row>
        <row r="18">
          <cell r="A18" t="str">
            <v>HN 1000-400</v>
          </cell>
          <cell r="B18" t="str">
            <v>AP 100-200B</v>
          </cell>
        </row>
        <row r="19">
          <cell r="A19" t="str">
            <v>HN 1000-450</v>
          </cell>
          <cell r="B19" t="str">
            <v>AP 100-225</v>
          </cell>
        </row>
        <row r="20">
          <cell r="A20" t="str">
            <v>HN 1000-500</v>
          </cell>
          <cell r="B20" t="str">
            <v>AP 100-250</v>
          </cell>
        </row>
        <row r="21">
          <cell r="A21" t="str">
            <v>HN 1000-560</v>
          </cell>
          <cell r="B21" t="str">
            <v>AP 100-280</v>
          </cell>
        </row>
        <row r="22">
          <cell r="A22" t="str">
            <v>HN 1000-630</v>
          </cell>
          <cell r="B22" t="str">
            <v>AP 100-315</v>
          </cell>
        </row>
        <row r="23">
          <cell r="A23" t="str">
            <v>HN 1000-710</v>
          </cell>
          <cell r="B23" t="str">
            <v>AP 100-355</v>
          </cell>
        </row>
        <row r="24">
          <cell r="A24" t="str">
            <v>HN 1000-800</v>
          </cell>
          <cell r="B24" t="str">
            <v>AP 100-400</v>
          </cell>
        </row>
        <row r="25">
          <cell r="A25" t="str">
            <v>HN 1120-400</v>
          </cell>
          <cell r="B25" t="str">
            <v>AP 112-200</v>
          </cell>
        </row>
        <row r="26">
          <cell r="A26" t="str">
            <v>HN 1120-500</v>
          </cell>
          <cell r="B26" t="str">
            <v>AP 112-250</v>
          </cell>
        </row>
        <row r="27">
          <cell r="A27" t="str">
            <v>HN 1120-560</v>
          </cell>
          <cell r="B27" t="str">
            <v>AP 112-280</v>
          </cell>
        </row>
        <row r="28">
          <cell r="A28" t="str">
            <v>HN 1120-630</v>
          </cell>
          <cell r="B28" t="str">
            <v>AP 112-315</v>
          </cell>
        </row>
        <row r="29">
          <cell r="A29" t="str">
            <v>HN 1120-710</v>
          </cell>
          <cell r="B29" t="str">
            <v>AP 112-355</v>
          </cell>
        </row>
        <row r="30">
          <cell r="A30" t="str">
            <v>HN 1120-800</v>
          </cell>
          <cell r="B30" t="str">
            <v>AP 112-400</v>
          </cell>
        </row>
        <row r="31">
          <cell r="A31" t="str">
            <v>HN 1120-900</v>
          </cell>
          <cell r="B31" t="str">
            <v>AP 112-450</v>
          </cell>
        </row>
        <row r="32">
          <cell r="A32" t="str">
            <v>HN 1250-500</v>
          </cell>
          <cell r="B32" t="str">
            <v>AP 125-250</v>
          </cell>
        </row>
        <row r="33">
          <cell r="A33" t="str">
            <v>HN 1250-560</v>
          </cell>
          <cell r="B33" t="str">
            <v>AP 125-280</v>
          </cell>
        </row>
        <row r="34">
          <cell r="A34" t="str">
            <v>HN 1250-630</v>
          </cell>
          <cell r="B34" t="str">
            <v>AP 125-315</v>
          </cell>
        </row>
        <row r="35">
          <cell r="A35" t="str">
            <v>HN 1250-710</v>
          </cell>
          <cell r="B35" t="str">
            <v>AP 125-355</v>
          </cell>
        </row>
        <row r="36">
          <cell r="A36" t="str">
            <v>HN 1250-800</v>
          </cell>
          <cell r="B36" t="str">
            <v>AP 125-400</v>
          </cell>
        </row>
        <row r="37">
          <cell r="A37" t="str">
            <v>HN 1250-900</v>
          </cell>
          <cell r="B37" t="str">
            <v>AP 125-450</v>
          </cell>
        </row>
        <row r="38">
          <cell r="A38" t="str">
            <v>HN 1250-1000</v>
          </cell>
          <cell r="B38" t="str">
            <v>AP 125-500</v>
          </cell>
        </row>
        <row r="39">
          <cell r="A39" t="str">
            <v>HN 1400-560</v>
          </cell>
          <cell r="B39" t="str">
            <v>AP 140-280</v>
          </cell>
        </row>
        <row r="40">
          <cell r="A40" t="str">
            <v>HN 1400-710</v>
          </cell>
          <cell r="B40" t="str">
            <v>AP 140-355</v>
          </cell>
        </row>
        <row r="41">
          <cell r="A41" t="str">
            <v>HN 1400-900</v>
          </cell>
          <cell r="B41" t="str">
            <v>AP 140-450</v>
          </cell>
        </row>
        <row r="42">
          <cell r="A42" t="str">
            <v>HN 1400-1000</v>
          </cell>
          <cell r="B42" t="str">
            <v>AP 140-500</v>
          </cell>
        </row>
        <row r="43">
          <cell r="A43" t="str">
            <v>HN 1400-1120</v>
          </cell>
          <cell r="B43" t="str">
            <v>AP 140-560</v>
          </cell>
        </row>
        <row r="44">
          <cell r="A44" t="str">
            <v>HN 1600-560</v>
          </cell>
          <cell r="B44" t="str">
            <v>AP 160-280</v>
          </cell>
        </row>
        <row r="45">
          <cell r="A45" t="str">
            <v>HN 1600-710</v>
          </cell>
          <cell r="B45" t="str">
            <v>AP 160-355</v>
          </cell>
        </row>
        <row r="46">
          <cell r="A46" t="str">
            <v>HN 1600-900</v>
          </cell>
          <cell r="B46" t="str">
            <v>AP 160-450</v>
          </cell>
        </row>
        <row r="47">
          <cell r="A47" t="str">
            <v>HN 1600-1000</v>
          </cell>
          <cell r="B47" t="str">
            <v>AP 160-500</v>
          </cell>
        </row>
        <row r="48">
          <cell r="A48" t="str">
            <v>HN 1600-1120</v>
          </cell>
          <cell r="B48" t="str">
            <v>AP 160-560</v>
          </cell>
        </row>
        <row r="49">
          <cell r="A49" t="str">
            <v>JB 1600-1250</v>
          </cell>
          <cell r="B49" t="str">
            <v>AP 160-625</v>
          </cell>
        </row>
        <row r="50">
          <cell r="A50" t="str">
            <v>HN 1800-710</v>
          </cell>
          <cell r="B50" t="str">
            <v>AP 180-355</v>
          </cell>
        </row>
        <row r="51">
          <cell r="A51" t="str">
            <v>HN 1800-900</v>
          </cell>
          <cell r="B51" t="str">
            <v>AP 180-450</v>
          </cell>
        </row>
        <row r="52">
          <cell r="A52" t="str">
            <v>HN 1800-1000</v>
          </cell>
          <cell r="B52" t="str">
            <v>AP 180-500</v>
          </cell>
        </row>
        <row r="53">
          <cell r="A53" t="str">
            <v>HN 1800-1120</v>
          </cell>
          <cell r="B53" t="str">
            <v>AP 180-560</v>
          </cell>
        </row>
        <row r="54">
          <cell r="A54" t="str">
            <v>HN 1800-1250</v>
          </cell>
          <cell r="B54" t="str">
            <v>AP 180-625</v>
          </cell>
        </row>
        <row r="55">
          <cell r="A55" t="str">
            <v>HN 1800-1400</v>
          </cell>
          <cell r="B55" t="str">
            <v>AP 180-700</v>
          </cell>
        </row>
        <row r="56">
          <cell r="A56" t="str">
            <v>HN 2000-710</v>
          </cell>
          <cell r="B56" t="str">
            <v>AP 200-355</v>
          </cell>
        </row>
        <row r="57">
          <cell r="A57" t="str">
            <v>HN 2000-900</v>
          </cell>
          <cell r="B57" t="str">
            <v>AP 200-450</v>
          </cell>
        </row>
        <row r="58">
          <cell r="A58" t="str">
            <v>HN 2000-1120</v>
          </cell>
          <cell r="B58" t="str">
            <v>AP 200-560</v>
          </cell>
        </row>
        <row r="59">
          <cell r="A59" t="str">
            <v>HN 2000-1400</v>
          </cell>
          <cell r="B59" t="str">
            <v>AP 200-700</v>
          </cell>
        </row>
        <row r="60">
          <cell r="A60" t="str">
            <v>HN 2000-1600</v>
          </cell>
          <cell r="B60" t="str">
            <v>AP 200-800</v>
          </cell>
        </row>
        <row r="61">
          <cell r="A61" t="str">
            <v>MT 26</v>
          </cell>
          <cell r="B61" t="str">
            <v>BP 26-0</v>
          </cell>
        </row>
        <row r="62">
          <cell r="A62" t="str">
            <v>MT 28</v>
          </cell>
          <cell r="B62" t="str">
            <v>BP 28-0</v>
          </cell>
        </row>
        <row r="63">
          <cell r="A63" t="str">
            <v>MT 28-100</v>
          </cell>
          <cell r="B63" t="str">
            <v>BP 28-10</v>
          </cell>
        </row>
        <row r="64">
          <cell r="A64" t="str">
            <v>MT 28-125</v>
          </cell>
          <cell r="B64" t="str">
            <v>BP 28-12</v>
          </cell>
        </row>
        <row r="65">
          <cell r="A65" t="str">
            <v>MT 29</v>
          </cell>
          <cell r="B65" t="str">
            <v>BP 29-0</v>
          </cell>
        </row>
        <row r="66">
          <cell r="A66" t="str">
            <v>MT 400-160</v>
          </cell>
          <cell r="B66" t="str">
            <v>BP 80-16</v>
          </cell>
        </row>
        <row r="67">
          <cell r="A67" t="str">
            <v>MT 400-200</v>
          </cell>
          <cell r="B67" t="str">
            <v>BP 80-20</v>
          </cell>
        </row>
        <row r="68">
          <cell r="A68" t="str">
            <v>MT 425-250</v>
          </cell>
          <cell r="B68" t="str">
            <v>BP 85-25</v>
          </cell>
        </row>
        <row r="69">
          <cell r="A69" t="str">
            <v>MT 500-200</v>
          </cell>
          <cell r="B69" t="str">
            <v>BP 100-20</v>
          </cell>
        </row>
        <row r="70">
          <cell r="A70" t="str">
            <v>MT 500-250</v>
          </cell>
          <cell r="B70" t="str">
            <v>BP 100-25</v>
          </cell>
        </row>
        <row r="71">
          <cell r="A71" t="str">
            <v>MT 500-310</v>
          </cell>
          <cell r="B71" t="str">
            <v>BP 100-31</v>
          </cell>
        </row>
        <row r="72">
          <cell r="A72" t="str">
            <v>MT 600-200</v>
          </cell>
          <cell r="B72" t="str">
            <v>BP 120-20</v>
          </cell>
        </row>
        <row r="73">
          <cell r="A73" t="str">
            <v>MT 600-250</v>
          </cell>
          <cell r="B73" t="str">
            <v>BP 120-25</v>
          </cell>
        </row>
        <row r="74">
          <cell r="A74" t="str">
            <v>MT 600-250vA</v>
          </cell>
          <cell r="B74" t="str">
            <v>BP 120-25A</v>
          </cell>
        </row>
        <row r="75">
          <cell r="A75" t="str">
            <v>MT 600-250vB</v>
          </cell>
          <cell r="B75" t="str">
            <v>BP 120-25B</v>
          </cell>
        </row>
        <row r="76">
          <cell r="A76" t="str">
            <v>MT 600-310</v>
          </cell>
          <cell r="B76" t="str">
            <v>BP 120-31</v>
          </cell>
        </row>
        <row r="77">
          <cell r="A77" t="str">
            <v>MT 600-310vA</v>
          </cell>
          <cell r="B77" t="str">
            <v>BP 120-31A</v>
          </cell>
        </row>
        <row r="78">
          <cell r="A78" t="str">
            <v>MT 600-310vB</v>
          </cell>
          <cell r="B78" t="str">
            <v>BP 120-31B</v>
          </cell>
        </row>
        <row r="79">
          <cell r="A79" t="str">
            <v>MT 600-350</v>
          </cell>
          <cell r="B79" t="str">
            <v>BP 120-35</v>
          </cell>
        </row>
        <row r="80">
          <cell r="A80" t="str">
            <v>MT 600-350vA</v>
          </cell>
          <cell r="B80" t="str">
            <v>BP 120-35A</v>
          </cell>
        </row>
        <row r="81">
          <cell r="A81" t="str">
            <v>MT 600-350vB</v>
          </cell>
          <cell r="B81" t="str">
            <v>BP 120-35B</v>
          </cell>
        </row>
        <row r="82">
          <cell r="A82" t="str">
            <v>MT 675-200</v>
          </cell>
          <cell r="B82" t="str">
            <v>BP 135-20</v>
          </cell>
        </row>
        <row r="83">
          <cell r="A83" t="str">
            <v>MT 675-250</v>
          </cell>
          <cell r="B83" t="str">
            <v>BP 135-25</v>
          </cell>
        </row>
        <row r="84">
          <cell r="A84" t="str">
            <v>MT 675-310</v>
          </cell>
          <cell r="B84" t="str">
            <v>BP 135-31</v>
          </cell>
        </row>
        <row r="85">
          <cell r="A85" t="str">
            <v>MT 675-350</v>
          </cell>
          <cell r="B85" t="str">
            <v>BP 135-35</v>
          </cell>
        </row>
        <row r="86">
          <cell r="A86" t="str">
            <v>MT 675-400</v>
          </cell>
          <cell r="B86" t="str">
            <v>BP 135-40</v>
          </cell>
        </row>
        <row r="87">
          <cell r="A87" t="str">
            <v>MT 725-450</v>
          </cell>
          <cell r="B87" t="str">
            <v>BP 145-45</v>
          </cell>
        </row>
        <row r="88">
          <cell r="A88" t="str">
            <v>MT 800-200</v>
          </cell>
          <cell r="B88" t="str">
            <v>BP 160-20</v>
          </cell>
        </row>
        <row r="89">
          <cell r="A89" t="str">
            <v>MT 800-250</v>
          </cell>
          <cell r="B89" t="str">
            <v>BP 160-25</v>
          </cell>
        </row>
        <row r="90">
          <cell r="A90" t="str">
            <v>MT 800-310</v>
          </cell>
          <cell r="B90" t="str">
            <v>BP 160-31</v>
          </cell>
        </row>
        <row r="91">
          <cell r="A91" t="str">
            <v>MT 800-350</v>
          </cell>
          <cell r="B91" t="str">
            <v>BP 160-35</v>
          </cell>
        </row>
        <row r="92">
          <cell r="A92" t="str">
            <v>MT 800-400</v>
          </cell>
          <cell r="B92" t="str">
            <v>BP 160-40</v>
          </cell>
        </row>
        <row r="93">
          <cell r="A93" t="str">
            <v>MT 800-500</v>
          </cell>
          <cell r="B93" t="str">
            <v>BP 160-50</v>
          </cell>
        </row>
        <row r="94">
          <cell r="A94" t="str">
            <v>MT 900-550</v>
          </cell>
          <cell r="B94" t="str">
            <v>BP 180-55</v>
          </cell>
        </row>
        <row r="95">
          <cell r="A95" t="str">
            <v>MT 950-625</v>
          </cell>
          <cell r="B95" t="str">
            <v>BP 190-63</v>
          </cell>
        </row>
        <row r="96">
          <cell r="A96" t="str">
            <v>MT 1100-700</v>
          </cell>
          <cell r="B96" t="str">
            <v>BP 220-70</v>
          </cell>
        </row>
        <row r="97">
          <cell r="A97" t="str">
            <v>MT 1250-800</v>
          </cell>
          <cell r="B97" t="str">
            <v>BP 250-80</v>
          </cell>
        </row>
        <row r="98">
          <cell r="A98" t="str">
            <v>FT 24</v>
          </cell>
          <cell r="B98" t="str">
            <v>FP 24</v>
          </cell>
        </row>
        <row r="99">
          <cell r="A99" t="str">
            <v>FT 33</v>
          </cell>
          <cell r="B99" t="str">
            <v>FP 33</v>
          </cell>
        </row>
        <row r="100">
          <cell r="A100" t="str">
            <v>VB 400-160</v>
          </cell>
          <cell r="B100" t="str">
            <v>DP 400-160</v>
          </cell>
        </row>
        <row r="101">
          <cell r="A101" t="str">
            <v>VB 400-200</v>
          </cell>
          <cell r="B101" t="str">
            <v>DP 400-200</v>
          </cell>
        </row>
        <row r="102">
          <cell r="A102" t="str">
            <v>VB 425-250</v>
          </cell>
          <cell r="B102" t="str">
            <v>DP 425-250</v>
          </cell>
        </row>
        <row r="103">
          <cell r="A103" t="str">
            <v>VB 500-250</v>
          </cell>
          <cell r="B103" t="str">
            <v>DP 500-250</v>
          </cell>
        </row>
        <row r="104">
          <cell r="A104" t="str">
            <v>VB 500-310</v>
          </cell>
          <cell r="B104" t="str">
            <v>DP 500-310</v>
          </cell>
        </row>
        <row r="105">
          <cell r="A105" t="str">
            <v>VB 600-250</v>
          </cell>
          <cell r="B105" t="str">
            <v>DP 600-250</v>
          </cell>
        </row>
        <row r="106">
          <cell r="A106" t="str">
            <v>VB 600-350</v>
          </cell>
          <cell r="B106" t="str">
            <v>DP 600-350</v>
          </cell>
        </row>
        <row r="107">
          <cell r="A107" t="str">
            <v>VB 675-350</v>
          </cell>
          <cell r="B107" t="str">
            <v>DP 675-350</v>
          </cell>
        </row>
        <row r="108">
          <cell r="A108" t="str">
            <v>VB 675-400</v>
          </cell>
          <cell r="B108" t="str">
            <v>DP 675-400</v>
          </cell>
        </row>
        <row r="109">
          <cell r="A109" t="str">
            <v>VB 725-450</v>
          </cell>
          <cell r="B109" t="str">
            <v>DP 725-450</v>
          </cell>
        </row>
        <row r="110">
          <cell r="A110" t="str">
            <v>VB 800-400</v>
          </cell>
          <cell r="B110" t="str">
            <v>DP 800-400</v>
          </cell>
        </row>
        <row r="111">
          <cell r="A111" t="str">
            <v>VB 800-500</v>
          </cell>
          <cell r="B111" t="str">
            <v>DP 800-500</v>
          </cell>
        </row>
        <row r="112">
          <cell r="A112" t="str">
            <v>VB 900-550</v>
          </cell>
          <cell r="B112" t="str">
            <v>DP 900-550</v>
          </cell>
        </row>
        <row r="113">
          <cell r="A113" t="str">
            <v>VB 950-625</v>
          </cell>
          <cell r="B113" t="str">
            <v>DP 950-625</v>
          </cell>
        </row>
        <row r="114">
          <cell r="A114" t="str">
            <v>VB 1100-700</v>
          </cell>
          <cell r="B114" t="str">
            <v>DP 1100-700</v>
          </cell>
        </row>
        <row r="115">
          <cell r="A115" t="str">
            <v>VB 1250-800</v>
          </cell>
          <cell r="B115" t="str">
            <v>DP 1250-800</v>
          </cell>
        </row>
        <row r="116">
          <cell r="A116" t="str">
            <v>HT 5-370</v>
          </cell>
          <cell r="B116" t="str">
            <v>CP 5-370</v>
          </cell>
        </row>
        <row r="117">
          <cell r="A117" t="str">
            <v>HT 5-370</v>
          </cell>
          <cell r="B117" t="str">
            <v>CP 5-370</v>
          </cell>
        </row>
        <row r="118">
          <cell r="A118" t="str">
            <v>HT 10-370</v>
          </cell>
          <cell r="B118" t="str">
            <v>CP 10-370</v>
          </cell>
        </row>
        <row r="119">
          <cell r="A119" t="str">
            <v>HT 10-370</v>
          </cell>
          <cell r="B119" t="str">
            <v>CP 10-370</v>
          </cell>
        </row>
        <row r="120">
          <cell r="A120" t="str">
            <v>HT 15-370</v>
          </cell>
          <cell r="B120" t="str">
            <v>CP 15-370</v>
          </cell>
        </row>
        <row r="121">
          <cell r="A121" t="str">
            <v>HT 15-370</v>
          </cell>
          <cell r="B121" t="str">
            <v>CP 15-370</v>
          </cell>
        </row>
        <row r="122">
          <cell r="A122" t="str">
            <v>HT 20-370</v>
          </cell>
          <cell r="B122" t="str">
            <v>CP 20-370</v>
          </cell>
        </row>
        <row r="123">
          <cell r="A123" t="str">
            <v>HT 30-370</v>
          </cell>
          <cell r="B123" t="str">
            <v>CP 30-370</v>
          </cell>
        </row>
        <row r="124">
          <cell r="A124" t="str">
            <v>HT 30-370vA</v>
          </cell>
          <cell r="B124" t="str">
            <v>CP 30-370vA</v>
          </cell>
        </row>
        <row r="125">
          <cell r="A125" t="str">
            <v>HT 30-370vB</v>
          </cell>
          <cell r="B125" t="str">
            <v>CP 30-370vB</v>
          </cell>
        </row>
        <row r="126">
          <cell r="A126" t="str">
            <v>HT 5-530</v>
          </cell>
          <cell r="B126" t="str">
            <v>CP 5-530</v>
          </cell>
        </row>
        <row r="127">
          <cell r="A127" t="str">
            <v>HT 5-530</v>
          </cell>
          <cell r="B127" t="str">
            <v>CP 5-530</v>
          </cell>
        </row>
        <row r="128">
          <cell r="A128" t="str">
            <v>HT 10-530</v>
          </cell>
          <cell r="B128" t="str">
            <v>CP 10-530</v>
          </cell>
        </row>
        <row r="129">
          <cell r="A129" t="str">
            <v>HT 10-530</v>
          </cell>
          <cell r="B129" t="str">
            <v>CP 10-530</v>
          </cell>
        </row>
        <row r="130">
          <cell r="A130" t="str">
            <v>HT 15-530</v>
          </cell>
          <cell r="B130" t="str">
            <v>CP 15-530</v>
          </cell>
        </row>
        <row r="131">
          <cell r="A131" t="str">
            <v>HT 15-530</v>
          </cell>
          <cell r="B131" t="str">
            <v>CP 15-530</v>
          </cell>
        </row>
        <row r="132">
          <cell r="A132" t="str">
            <v>HT 25-530</v>
          </cell>
          <cell r="B132" t="str">
            <v>CP 25-530</v>
          </cell>
        </row>
        <row r="133">
          <cell r="A133" t="str">
            <v>HT 35-530</v>
          </cell>
          <cell r="B133" t="str">
            <v>CP 35-530</v>
          </cell>
        </row>
        <row r="134">
          <cell r="A134" t="str">
            <v>HT 5-630</v>
          </cell>
          <cell r="B134" t="str">
            <v>CP 5-630</v>
          </cell>
        </row>
        <row r="135">
          <cell r="A135" t="str">
            <v>HT 5-630</v>
          </cell>
          <cell r="B135" t="str">
            <v>CP 5-630</v>
          </cell>
        </row>
        <row r="136">
          <cell r="A136" t="str">
            <v>HT 10-630</v>
          </cell>
          <cell r="B136" t="str">
            <v>CP 10-630</v>
          </cell>
        </row>
        <row r="137">
          <cell r="A137" t="str">
            <v>HT 10-630</v>
          </cell>
          <cell r="B137" t="str">
            <v>CP 10-630</v>
          </cell>
        </row>
        <row r="138">
          <cell r="A138" t="str">
            <v>HT 15-630</v>
          </cell>
          <cell r="B138" t="str">
            <v>CP 15-630</v>
          </cell>
        </row>
        <row r="139">
          <cell r="A139" t="str">
            <v>HT 25-630</v>
          </cell>
          <cell r="B139" t="str">
            <v>CP 25-630</v>
          </cell>
        </row>
        <row r="140">
          <cell r="A140" t="str">
            <v>HT 35-630</v>
          </cell>
          <cell r="B140" t="str">
            <v>CP 35-630</v>
          </cell>
        </row>
        <row r="141">
          <cell r="A141" t="str">
            <v>HT 5-700</v>
          </cell>
          <cell r="B141" t="str">
            <v>CP 5-700</v>
          </cell>
        </row>
        <row r="142">
          <cell r="A142" t="str">
            <v>HT 5-700</v>
          </cell>
          <cell r="B142" t="str">
            <v>CP 5-700</v>
          </cell>
        </row>
        <row r="143">
          <cell r="A143" t="str">
            <v>HT 10-700</v>
          </cell>
          <cell r="B143" t="str">
            <v>CP 10-700</v>
          </cell>
        </row>
        <row r="144">
          <cell r="A144" t="str">
            <v>HT 10-700</v>
          </cell>
          <cell r="B144" t="str">
            <v>CP 10-700</v>
          </cell>
        </row>
        <row r="145">
          <cell r="A145" t="str">
            <v>HT 15-700</v>
          </cell>
          <cell r="B145" t="str">
            <v>CP 15-700</v>
          </cell>
        </row>
        <row r="146">
          <cell r="A146" t="str">
            <v>HT 15-700</v>
          </cell>
          <cell r="B146" t="str">
            <v>CP 15-700</v>
          </cell>
        </row>
        <row r="147">
          <cell r="A147" t="str">
            <v>HT 25-700</v>
          </cell>
          <cell r="B147" t="str">
            <v>CP 25-700</v>
          </cell>
        </row>
        <row r="148">
          <cell r="A148" t="str">
            <v>HT 5-750</v>
          </cell>
          <cell r="B148" t="str">
            <v>CP 5-750</v>
          </cell>
        </row>
        <row r="149">
          <cell r="A149" t="str">
            <v>HT 10-750</v>
          </cell>
          <cell r="B149" t="str">
            <v>CP 10-750</v>
          </cell>
        </row>
        <row r="150">
          <cell r="A150" t="str">
            <v>HT 15-750</v>
          </cell>
          <cell r="B150" t="str">
            <v>CP 15-750</v>
          </cell>
        </row>
        <row r="151">
          <cell r="A151" t="str">
            <v>HT 25-750</v>
          </cell>
          <cell r="B151" t="str">
            <v>CP 25-750</v>
          </cell>
        </row>
        <row r="152">
          <cell r="A152" t="str">
            <v>HT 10-775</v>
          </cell>
          <cell r="B152" t="str">
            <v>CP 10-775</v>
          </cell>
        </row>
        <row r="153">
          <cell r="A153" t="str">
            <v>HT 25-775</v>
          </cell>
          <cell r="B153" t="str">
            <v>CP 25-775</v>
          </cell>
        </row>
        <row r="154">
          <cell r="A154" t="str">
            <v>LT 200</v>
          </cell>
          <cell r="B154" t="str">
            <v>EP 200</v>
          </cell>
        </row>
        <row r="155">
          <cell r="A155" t="str">
            <v>LT 200vA</v>
          </cell>
          <cell r="B155" t="str">
            <v>EP 200vA</v>
          </cell>
        </row>
        <row r="156">
          <cell r="A156" t="str">
            <v>LT 265</v>
          </cell>
          <cell r="B156" t="str">
            <v>EP 265</v>
          </cell>
        </row>
        <row r="157">
          <cell r="A157" t="str">
            <v>LTX 265</v>
          </cell>
          <cell r="B157" t="str">
            <v>EP  265</v>
          </cell>
        </row>
        <row r="158">
          <cell r="A158" t="str">
            <v>LT 315</v>
          </cell>
          <cell r="B158" t="str">
            <v>EP 315</v>
          </cell>
        </row>
        <row r="159">
          <cell r="A159" t="str">
            <v>LTX 315</v>
          </cell>
          <cell r="B159" t="str">
            <v>EP  315</v>
          </cell>
        </row>
        <row r="160">
          <cell r="A160" t="str">
            <v>LT 365</v>
          </cell>
          <cell r="B160" t="str">
            <v>EP 365</v>
          </cell>
        </row>
        <row r="161">
          <cell r="A161" t="str">
            <v>LTX 365</v>
          </cell>
          <cell r="B161" t="str">
            <v>EP  365</v>
          </cell>
        </row>
        <row r="162">
          <cell r="A162" t="str">
            <v>LT 425</v>
          </cell>
          <cell r="B162" t="str">
            <v>EP 425</v>
          </cell>
        </row>
        <row r="163">
          <cell r="A163" t="str">
            <v>LTX 425</v>
          </cell>
          <cell r="B163" t="str">
            <v>EP  425</v>
          </cell>
        </row>
        <row r="164">
          <cell r="A164" t="str">
            <v>LT 465</v>
          </cell>
          <cell r="B164" t="str">
            <v>EP 465</v>
          </cell>
        </row>
        <row r="165">
          <cell r="A165" t="str">
            <v>LTX 465</v>
          </cell>
          <cell r="B165" t="str">
            <v>EP  465</v>
          </cell>
        </row>
        <row r="166">
          <cell r="A166" t="str">
            <v>LT 515</v>
          </cell>
          <cell r="B166" t="str">
            <v>EP 515</v>
          </cell>
        </row>
        <row r="167">
          <cell r="A167" t="str">
            <v>LT 565</v>
          </cell>
          <cell r="B167" t="str">
            <v>EP 565</v>
          </cell>
        </row>
        <row r="168">
          <cell r="A168" t="str">
            <v>LT 615</v>
          </cell>
          <cell r="B168" t="str">
            <v>EP 615</v>
          </cell>
        </row>
        <row r="169">
          <cell r="A169" t="str">
            <v>LT 765</v>
          </cell>
          <cell r="B169" t="str">
            <v>EP 765</v>
          </cell>
        </row>
        <row r="170">
          <cell r="A170" t="str">
            <v>LT 815</v>
          </cell>
          <cell r="B170" t="str">
            <v>EP 815</v>
          </cell>
        </row>
        <row r="171">
          <cell r="A171" t="str">
            <v>LT 1000</v>
          </cell>
          <cell r="B171" t="str">
            <v>EP 1000</v>
          </cell>
        </row>
        <row r="172">
          <cell r="A172" t="str">
            <v>LT 1100</v>
          </cell>
          <cell r="B172" t="str">
            <v>EP 1100</v>
          </cell>
        </row>
        <row r="173">
          <cell r="A173" t="str">
            <v>LT 650</v>
          </cell>
          <cell r="B173" t="str">
            <v>EP 650</v>
          </cell>
        </row>
        <row r="174">
          <cell r="A174" t="str">
            <v>LT 700</v>
          </cell>
          <cell r="B174" t="str">
            <v>EP 700</v>
          </cell>
        </row>
        <row r="175">
          <cell r="A175" t="str">
            <v>TS 315</v>
          </cell>
          <cell r="B175" t="str">
            <v>FP 315</v>
          </cell>
        </row>
        <row r="176">
          <cell r="A176" t="str">
            <v>TSX 315</v>
          </cell>
          <cell r="B176" t="str">
            <v>FP  315</v>
          </cell>
        </row>
        <row r="177">
          <cell r="A177" t="str">
            <v>TS 365</v>
          </cell>
          <cell r="B177" t="str">
            <v>FP 365</v>
          </cell>
        </row>
        <row r="178">
          <cell r="A178" t="str">
            <v>TSX 365</v>
          </cell>
          <cell r="B178" t="str">
            <v>FP  365</v>
          </cell>
        </row>
        <row r="179">
          <cell r="A179" t="str">
            <v>TS 425</v>
          </cell>
          <cell r="B179" t="str">
            <v>FP 425</v>
          </cell>
        </row>
        <row r="180">
          <cell r="A180" t="str">
            <v>TSX 425</v>
          </cell>
          <cell r="B180" t="str">
            <v>FP  425</v>
          </cell>
        </row>
        <row r="181">
          <cell r="A181" t="str">
            <v>TS 425-370</v>
          </cell>
          <cell r="B181" t="str">
            <v>FP 425-370</v>
          </cell>
        </row>
        <row r="182">
          <cell r="A182" t="str">
            <v>TS 425-400</v>
          </cell>
          <cell r="B182" t="str">
            <v>FP 425-400</v>
          </cell>
        </row>
        <row r="183">
          <cell r="A183" t="str">
            <v>TS 465</v>
          </cell>
          <cell r="B183" t="str">
            <v>FP 465</v>
          </cell>
        </row>
        <row r="184">
          <cell r="A184" t="str">
            <v>TSX 465</v>
          </cell>
          <cell r="B184" t="str">
            <v>FP  465</v>
          </cell>
        </row>
        <row r="185">
          <cell r="A185" t="str">
            <v>TS 515</v>
          </cell>
          <cell r="B185" t="str">
            <v>FP 515</v>
          </cell>
        </row>
        <row r="186">
          <cell r="A186" t="str">
            <v>VSB 315</v>
          </cell>
          <cell r="B186" t="str">
            <v>GP 315</v>
          </cell>
        </row>
        <row r="187">
          <cell r="A187" t="str">
            <v>VSBX 315</v>
          </cell>
          <cell r="B187" t="str">
            <v>GP 315X</v>
          </cell>
        </row>
        <row r="188">
          <cell r="A188" t="str">
            <v>VSB 365</v>
          </cell>
          <cell r="B188" t="str">
            <v>GP 365</v>
          </cell>
        </row>
        <row r="189">
          <cell r="A189" t="str">
            <v>VSBX 365</v>
          </cell>
          <cell r="B189" t="str">
            <v>GP365X</v>
          </cell>
        </row>
        <row r="190">
          <cell r="A190" t="str">
            <v>VSB 425</v>
          </cell>
          <cell r="B190" t="str">
            <v>GP 425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8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vmlDrawing" Target="../drawings/vmlDrawing10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vmlDrawing" Target="../drawings/vmlDrawing1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8.xml"/><Relationship Id="rId4" Type="http://schemas.openxmlformats.org/officeDocument/2006/relationships/vmlDrawing" Target="../drawings/vmlDrawing16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16"/>
  <dimension ref="A1:N41"/>
  <sheetViews>
    <sheetView workbookViewId="0">
      <selection activeCell="B8" sqref="B8"/>
    </sheetView>
  </sheetViews>
  <sheetFormatPr defaultColWidth="8.85546875" defaultRowHeight="12"/>
  <cols>
    <col min="1" max="1" width="48.28515625" style="1256" customWidth="1"/>
    <col min="2" max="2" width="11" style="1256" customWidth="1"/>
    <col min="3" max="3" width="7" style="1256" customWidth="1"/>
    <col min="4" max="4" width="9.85546875" style="1256" customWidth="1"/>
    <col min="5" max="5" width="8.85546875" style="1256"/>
    <col min="6" max="6" width="10.42578125" style="1258" customWidth="1"/>
    <col min="7" max="7" width="19" style="1256" customWidth="1"/>
    <col min="8" max="8" width="15.28515625" style="1256" customWidth="1"/>
    <col min="9" max="9" width="8.85546875" style="1256"/>
    <col min="10" max="10" width="15" style="1256" customWidth="1"/>
    <col min="11" max="11" width="11.42578125" style="1256" customWidth="1"/>
    <col min="12" max="12" width="16" style="1256" customWidth="1"/>
    <col min="13" max="13" width="23.28515625" style="1256" customWidth="1"/>
    <col min="14" max="14" width="11.5703125" style="1256" customWidth="1"/>
    <col min="15" max="16384" width="8.85546875" style="1256"/>
  </cols>
  <sheetData>
    <row r="1" spans="1:14">
      <c r="G1" s="1325"/>
      <c r="H1" s="1325"/>
      <c r="I1" s="1325"/>
      <c r="J1" s="1325"/>
      <c r="K1" s="1325"/>
      <c r="L1" s="1325"/>
      <c r="M1" s="1325"/>
      <c r="N1" s="1325"/>
    </row>
    <row r="2" spans="1:14">
      <c r="G2" s="1325"/>
      <c r="H2" s="1325"/>
      <c r="I2" s="1325"/>
      <c r="J2" s="1325"/>
      <c r="K2" s="1325"/>
      <c r="L2" s="1325"/>
      <c r="M2" s="1325"/>
      <c r="N2" s="1325"/>
    </row>
    <row r="3" spans="1:14">
      <c r="G3" s="1325"/>
      <c r="H3" s="1325"/>
      <c r="I3" s="1325"/>
      <c r="J3" s="1325"/>
      <c r="K3" s="1325"/>
      <c r="L3" s="1325"/>
      <c r="M3" s="1325"/>
      <c r="N3" s="1325"/>
    </row>
    <row r="4" spans="1:14">
      <c r="G4" s="1370" t="s">
        <v>1923</v>
      </c>
      <c r="H4" s="1370"/>
      <c r="I4" s="1370"/>
      <c r="J4" s="1370"/>
      <c r="K4" s="1370"/>
      <c r="L4" s="1370"/>
      <c r="M4" s="1370"/>
      <c r="N4" s="1370"/>
    </row>
    <row r="5" spans="1:14" ht="15" customHeight="1">
      <c r="A5" s="1345" t="s">
        <v>1945</v>
      </c>
      <c r="B5" s="1350">
        <v>0</v>
      </c>
      <c r="C5" s="1349" t="s">
        <v>1909</v>
      </c>
      <c r="F5" s="1347">
        <f>inlet_p/g</f>
        <v>0</v>
      </c>
      <c r="G5" s="1371" t="s">
        <v>1925</v>
      </c>
      <c r="H5" s="1326" t="s">
        <v>1935</v>
      </c>
      <c r="I5" s="1326" t="s">
        <v>1936</v>
      </c>
      <c r="J5" s="1326" t="s">
        <v>1937</v>
      </c>
      <c r="K5" s="1326" t="s">
        <v>1938</v>
      </c>
      <c r="L5" s="1326" t="s">
        <v>1939</v>
      </c>
      <c r="M5" s="1327" t="s">
        <v>1940</v>
      </c>
      <c r="N5" s="1372" t="s">
        <v>1941</v>
      </c>
    </row>
    <row r="6" spans="1:14" ht="15" customHeight="1">
      <c r="A6" s="1345" t="s">
        <v>1943</v>
      </c>
      <c r="B6" s="1350">
        <v>0</v>
      </c>
      <c r="C6" s="1349" t="s">
        <v>1909</v>
      </c>
      <c r="F6" s="1347">
        <f>IN_SP/g</f>
        <v>0</v>
      </c>
      <c r="G6" s="1371"/>
      <c r="H6" s="1328">
        <f>K32</f>
        <v>10000</v>
      </c>
      <c r="I6" s="1328">
        <f>K30</f>
        <v>20</v>
      </c>
      <c r="J6" s="1346">
        <f>H15</f>
        <v>101325</v>
      </c>
      <c r="K6" s="1328">
        <v>273.14999999999998</v>
      </c>
      <c r="L6" s="1328">
        <v>101325</v>
      </c>
      <c r="M6" s="1329">
        <f>J6*K6*H6/(L6*(I6+K6))</f>
        <v>9317.7554153163892</v>
      </c>
      <c r="N6" s="1373"/>
    </row>
    <row r="7" spans="1:14" ht="15" customHeight="1">
      <c r="A7" s="1345" t="s">
        <v>1944</v>
      </c>
      <c r="B7" s="1350">
        <v>7000</v>
      </c>
      <c r="C7" s="1349" t="s">
        <v>1909</v>
      </c>
      <c r="D7" s="1256" t="s">
        <v>1948</v>
      </c>
      <c r="F7" s="1347">
        <f>OP_TP/g</f>
        <v>713.77587437544605</v>
      </c>
      <c r="G7" s="1330"/>
      <c r="H7" s="1330"/>
      <c r="I7" s="1330"/>
      <c r="J7" s="1330"/>
      <c r="K7" s="1330"/>
      <c r="L7" s="1330"/>
      <c r="M7" s="1330"/>
      <c r="N7" s="1330"/>
    </row>
    <row r="8" spans="1:14" ht="15" customHeight="1">
      <c r="A8" s="1345" t="s">
        <v>1911</v>
      </c>
      <c r="B8" s="1350">
        <v>20</v>
      </c>
      <c r="C8" s="1349" t="str">
        <f>IF($B$6="SI","Degr. K","Degr. C")</f>
        <v>Degr. C</v>
      </c>
      <c r="G8" s="1330"/>
      <c r="H8" s="1330"/>
      <c r="I8" s="1330"/>
      <c r="J8" s="1330"/>
      <c r="K8" s="1330"/>
      <c r="L8" s="1330"/>
      <c r="M8" s="1330"/>
      <c r="N8" s="1330"/>
    </row>
    <row r="9" spans="1:14" ht="15" customHeight="1">
      <c r="A9" s="1345" t="s">
        <v>1942</v>
      </c>
      <c r="B9" s="1350">
        <v>0</v>
      </c>
      <c r="C9" s="1349" t="s">
        <v>1930</v>
      </c>
      <c r="G9" s="1374" t="s">
        <v>1924</v>
      </c>
      <c r="H9" s="1374"/>
      <c r="I9" s="1374"/>
      <c r="J9" s="1374"/>
      <c r="K9" s="1374"/>
      <c r="L9" s="1374"/>
      <c r="M9" s="1374"/>
      <c r="N9" s="1374"/>
    </row>
    <row r="10" spans="1:14" ht="15" customHeight="1">
      <c r="A10" s="1345" t="s">
        <v>1946</v>
      </c>
      <c r="B10" s="1350">
        <v>10000</v>
      </c>
      <c r="C10" s="1349" t="s">
        <v>1934</v>
      </c>
      <c r="D10" s="1351">
        <f>K38</f>
        <v>9317.7554153163892</v>
      </c>
      <c r="E10" s="1349" t="s">
        <v>1931</v>
      </c>
      <c r="G10" s="1371" t="s">
        <v>1925</v>
      </c>
      <c r="H10" s="1331" t="s">
        <v>1940</v>
      </c>
      <c r="I10" s="1326" t="s">
        <v>1936</v>
      </c>
      <c r="J10" s="1326" t="s">
        <v>1937</v>
      </c>
      <c r="K10" s="1326" t="s">
        <v>1938</v>
      </c>
      <c r="L10" s="1326" t="s">
        <v>1939</v>
      </c>
      <c r="M10" s="1327" t="s">
        <v>1935</v>
      </c>
      <c r="N10" s="1372" t="s">
        <v>1941</v>
      </c>
    </row>
    <row r="11" spans="1:14" ht="15" customHeight="1">
      <c r="A11" s="1345" t="s">
        <v>1947</v>
      </c>
      <c r="B11" s="1350">
        <v>0</v>
      </c>
      <c r="C11" s="1348" t="s">
        <v>1931</v>
      </c>
      <c r="D11" s="1351">
        <f>IF(OP_Q=0,H38,OP_Q)</f>
        <v>10000</v>
      </c>
      <c r="E11" s="1349" t="s">
        <v>1934</v>
      </c>
      <c r="G11" s="1371"/>
      <c r="H11" s="1328">
        <f>H32</f>
        <v>0</v>
      </c>
      <c r="I11" s="1328">
        <f>H30</f>
        <v>20</v>
      </c>
      <c r="J11" s="1332">
        <f>I22</f>
        <v>101325</v>
      </c>
      <c r="K11" s="1328">
        <v>273.14999999999998</v>
      </c>
      <c r="L11" s="1328">
        <v>101325</v>
      </c>
      <c r="M11" s="1333">
        <f>H11*L11*(273.15+I11)/(J11*K11)</f>
        <v>0</v>
      </c>
      <c r="N11" s="1373"/>
    </row>
    <row r="12" spans="1:14">
      <c r="G12" s="1325"/>
      <c r="H12" s="1325"/>
      <c r="I12" s="1325"/>
      <c r="J12" s="1325"/>
      <c r="K12" s="1325"/>
      <c r="L12" s="1325"/>
      <c r="M12" s="1325"/>
      <c r="N12" s="1325"/>
    </row>
    <row r="13" spans="1:14">
      <c r="C13" s="1257"/>
      <c r="G13" s="1325"/>
      <c r="H13" s="1325"/>
      <c r="I13" s="1325"/>
      <c r="J13" s="1325"/>
      <c r="K13" s="1325"/>
      <c r="L13" s="1325"/>
      <c r="M13" s="1325"/>
      <c r="N13" s="1325"/>
    </row>
    <row r="14" spans="1:14">
      <c r="C14" s="1257"/>
      <c r="G14" s="1334" t="s">
        <v>1905</v>
      </c>
      <c r="H14" s="1335">
        <f>H30</f>
        <v>20</v>
      </c>
      <c r="I14" s="1336" t="s">
        <v>1907</v>
      </c>
      <c r="J14" s="1325"/>
      <c r="K14" s="1325"/>
      <c r="L14" s="1325"/>
      <c r="M14" s="1325"/>
      <c r="N14" s="1325"/>
    </row>
    <row r="15" spans="1:14">
      <c r="G15" s="1334" t="s">
        <v>1908</v>
      </c>
      <c r="H15" s="1335">
        <f>I22</f>
        <v>101325</v>
      </c>
      <c r="I15" s="1336" t="s">
        <v>1909</v>
      </c>
      <c r="J15" s="1325"/>
      <c r="K15" s="1325"/>
      <c r="L15" s="1325"/>
      <c r="M15" s="1325"/>
      <c r="N15" s="1325"/>
    </row>
    <row r="16" spans="1:14">
      <c r="G16" s="1334" t="s">
        <v>1906</v>
      </c>
      <c r="H16" s="1337">
        <f>1.293*(H15/101325)*(273.15/(H14+273.15))</f>
        <v>1.2047857752004092</v>
      </c>
      <c r="I16" s="1336" t="s">
        <v>30</v>
      </c>
      <c r="J16" s="1325"/>
      <c r="K16" s="1325"/>
      <c r="L16" s="1325"/>
      <c r="M16" s="1325"/>
      <c r="N16" s="1325"/>
    </row>
    <row r="17" spans="7:14">
      <c r="G17" s="1325"/>
      <c r="H17" s="1325"/>
      <c r="I17" s="1325"/>
      <c r="J17" s="1325"/>
      <c r="K17" s="1325"/>
      <c r="L17" s="1325"/>
      <c r="M17" s="1325"/>
      <c r="N17" s="1325"/>
    </row>
    <row r="18" spans="7:14">
      <c r="G18" s="1325"/>
      <c r="H18" s="1325"/>
      <c r="I18" s="1325"/>
      <c r="J18" s="1325"/>
      <c r="K18" s="1325"/>
      <c r="L18" s="1325"/>
      <c r="M18" s="1325"/>
      <c r="N18" s="1325"/>
    </row>
    <row r="19" spans="7:14">
      <c r="G19" s="1325"/>
      <c r="H19" s="1325"/>
      <c r="I19" s="1325"/>
      <c r="J19" s="1325"/>
      <c r="K19" s="1325"/>
      <c r="L19" s="1325"/>
      <c r="M19" s="1325"/>
      <c r="N19" s="1325"/>
    </row>
    <row r="20" spans="7:14">
      <c r="G20" s="1338" t="s">
        <v>1922</v>
      </c>
      <c r="H20" s="1325"/>
      <c r="I20" s="1325"/>
      <c r="J20" s="1325"/>
      <c r="K20" s="1325"/>
      <c r="L20" s="1325"/>
      <c r="M20" s="1325"/>
      <c r="N20" s="1325"/>
    </row>
    <row r="21" spans="7:14" ht="12.75" thickBot="1">
      <c r="G21" s="1325"/>
      <c r="H21" s="1325"/>
      <c r="I21" s="1325"/>
      <c r="J21" s="1325"/>
      <c r="K21" s="1325"/>
      <c r="L21" s="1325"/>
      <c r="M21" s="1325"/>
      <c r="N21" s="1325"/>
    </row>
    <row r="22" spans="7:14" ht="15.75" thickBot="1">
      <c r="G22" s="1339">
        <f>H31</f>
        <v>0</v>
      </c>
      <c r="H22" s="1340" t="s">
        <v>568</v>
      </c>
      <c r="I22" s="1341">
        <f>101325*EXP(-g*0.02856*G22/8.32/288.15)</f>
        <v>101325</v>
      </c>
      <c r="J22" s="1342" t="s">
        <v>992</v>
      </c>
      <c r="K22" s="1343"/>
      <c r="L22" s="1344"/>
      <c r="M22" s="1325"/>
      <c r="N22" s="1325"/>
    </row>
    <row r="23" spans="7:14">
      <c r="G23" s="1325"/>
      <c r="H23" s="1325"/>
      <c r="I23" s="1325"/>
      <c r="J23" s="1325"/>
      <c r="K23" s="1325"/>
      <c r="L23" s="1325"/>
      <c r="M23" s="1325"/>
      <c r="N23" s="1325"/>
    </row>
    <row r="27" spans="7:14">
      <c r="G27" s="1352"/>
      <c r="H27" s="1352"/>
      <c r="I27" s="1352"/>
      <c r="J27" s="1352"/>
      <c r="K27" s="1352"/>
      <c r="L27" s="1352"/>
    </row>
    <row r="28" spans="7:14" ht="12.75" thickBot="1">
      <c r="G28" s="1353" t="s">
        <v>1922</v>
      </c>
      <c r="H28" s="1352"/>
      <c r="I28" s="1352"/>
      <c r="J28" s="1353" t="s">
        <v>1922</v>
      </c>
      <c r="K28" s="1352"/>
      <c r="L28" s="1352"/>
    </row>
    <row r="29" spans="7:14">
      <c r="G29" s="1354" t="s">
        <v>1928</v>
      </c>
      <c r="H29" s="1355"/>
      <c r="I29" s="1356"/>
      <c r="J29" s="1354" t="s">
        <v>1928</v>
      </c>
      <c r="K29" s="1355"/>
      <c r="L29" s="1356"/>
    </row>
    <row r="30" spans="7:14">
      <c r="G30" s="1357" t="s">
        <v>1905</v>
      </c>
      <c r="H30" s="1358">
        <f>B8</f>
        <v>20</v>
      </c>
      <c r="I30" s="1359" t="s">
        <v>1907</v>
      </c>
      <c r="J30" s="1360" t="s">
        <v>1905</v>
      </c>
      <c r="K30" s="1358">
        <f>H30</f>
        <v>20</v>
      </c>
      <c r="L30" s="1359" t="s">
        <v>1907</v>
      </c>
    </row>
    <row r="31" spans="7:14">
      <c r="G31" s="1357" t="s">
        <v>1926</v>
      </c>
      <c r="H31" s="1358">
        <f>B9</f>
        <v>0</v>
      </c>
      <c r="I31" s="1361" t="s">
        <v>1930</v>
      </c>
      <c r="J31" s="1360" t="s">
        <v>1926</v>
      </c>
      <c r="K31" s="1358">
        <f>H31</f>
        <v>0</v>
      </c>
      <c r="L31" s="1361" t="s">
        <v>1930</v>
      </c>
    </row>
    <row r="32" spans="7:14">
      <c r="G32" s="1357" t="s">
        <v>1927</v>
      </c>
      <c r="H32" s="1358">
        <f>B11</f>
        <v>0</v>
      </c>
      <c r="I32" s="1361" t="s">
        <v>1931</v>
      </c>
      <c r="J32" s="1360" t="s">
        <v>1932</v>
      </c>
      <c r="K32" s="1358">
        <f>B10</f>
        <v>10000</v>
      </c>
      <c r="L32" s="1361" t="s">
        <v>1934</v>
      </c>
    </row>
    <row r="33" spans="7:12">
      <c r="G33" s="1362"/>
      <c r="H33" s="1363"/>
      <c r="I33" s="1361"/>
      <c r="J33" s="1362"/>
      <c r="K33" s="1363"/>
      <c r="L33" s="1361"/>
    </row>
    <row r="34" spans="7:12">
      <c r="G34" s="1362"/>
      <c r="H34" s="1363"/>
      <c r="I34" s="1361"/>
      <c r="J34" s="1362"/>
      <c r="K34" s="1363"/>
      <c r="L34" s="1361"/>
    </row>
    <row r="35" spans="7:12">
      <c r="G35" s="1362"/>
      <c r="H35" s="1363"/>
      <c r="I35" s="1361"/>
      <c r="J35" s="1362"/>
      <c r="K35" s="1363"/>
      <c r="L35" s="1361"/>
    </row>
    <row r="36" spans="7:12">
      <c r="G36" s="1362"/>
      <c r="H36" s="1363"/>
      <c r="I36" s="1361"/>
      <c r="J36" s="1362"/>
      <c r="K36" s="1363"/>
      <c r="L36" s="1361"/>
    </row>
    <row r="37" spans="7:12">
      <c r="G37" s="1362" t="s">
        <v>1929</v>
      </c>
      <c r="H37" s="1363"/>
      <c r="I37" s="1361"/>
      <c r="J37" s="1362" t="s">
        <v>1929</v>
      </c>
      <c r="K37" s="1363"/>
      <c r="L37" s="1361"/>
    </row>
    <row r="38" spans="7:12" ht="12.75" thickBot="1">
      <c r="G38" s="1357" t="s">
        <v>1932</v>
      </c>
      <c r="H38" s="1364">
        <f>M11</f>
        <v>0</v>
      </c>
      <c r="I38" s="1361" t="s">
        <v>1934</v>
      </c>
      <c r="J38" s="1365" t="s">
        <v>1927</v>
      </c>
      <c r="K38" s="1366">
        <f>M6</f>
        <v>9317.7554153163892</v>
      </c>
      <c r="L38" s="1367" t="s">
        <v>1934</v>
      </c>
    </row>
    <row r="39" spans="7:12" ht="12.75" thickBot="1">
      <c r="G39" s="1357" t="s">
        <v>1933</v>
      </c>
      <c r="H39" s="1368">
        <f>H16</f>
        <v>1.2047857752004092</v>
      </c>
      <c r="I39" s="1369" t="s">
        <v>30</v>
      </c>
      <c r="J39" s="1352"/>
      <c r="K39" s="1352"/>
      <c r="L39" s="1352"/>
    </row>
    <row r="40" spans="7:12">
      <c r="G40" s="1352"/>
      <c r="H40" s="1352"/>
      <c r="I40" s="1352"/>
      <c r="J40" s="1352"/>
      <c r="K40" s="1352"/>
      <c r="L40" s="1352"/>
    </row>
    <row r="41" spans="7:12">
      <c r="G41" s="1352"/>
      <c r="H41" s="1352"/>
      <c r="I41" s="1352"/>
      <c r="J41" s="1352"/>
      <c r="K41" s="1352"/>
      <c r="L41" s="1352"/>
    </row>
  </sheetData>
  <mergeCells count="6">
    <mergeCell ref="G4:N4"/>
    <mergeCell ref="G5:G6"/>
    <mergeCell ref="N5:N6"/>
    <mergeCell ref="G9:N9"/>
    <mergeCell ref="G10:G11"/>
    <mergeCell ref="N10:N11"/>
  </mergeCells>
  <phoneticPr fontId="77" type="noConversion"/>
  <pageMargins left="0.7" right="0.7" top="0.75" bottom="0.75" header="0.3" footer="0.3"/>
  <ignoredErrors>
    <ignoredError sqref="F6" 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pageSetUpPr fitToPage="1"/>
  </sheetPr>
  <dimension ref="A1:Z93"/>
  <sheetViews>
    <sheetView tabSelected="1" zoomScale="70" zoomScaleNormal="70" workbookViewId="0">
      <pane xSplit="5" ySplit="6" topLeftCell="G46" activePane="bottomRight" state="frozen"/>
      <selection pane="topRight" activeCell="F1" sqref="F1"/>
      <selection pane="bottomLeft" activeCell="A7" sqref="A7"/>
      <selection pane="bottomRight" activeCell="C56" sqref="C56"/>
    </sheetView>
  </sheetViews>
  <sheetFormatPr defaultColWidth="12.5703125" defaultRowHeight="15.95" customHeight="1"/>
  <cols>
    <col min="1" max="1" width="50.85546875" style="997" customWidth="1"/>
    <col min="2" max="5" width="14.5703125" style="997" customWidth="1"/>
    <col min="6" max="7" width="6.5703125" style="997" customWidth="1"/>
    <col min="8" max="8" width="20.5703125" style="997" customWidth="1"/>
    <col min="9" max="16" width="14.5703125" style="997" customWidth="1"/>
    <col min="17" max="17" width="5.5703125" style="997" customWidth="1"/>
    <col min="18" max="18" width="20.5703125" style="997" customWidth="1"/>
    <col min="19" max="26" width="14.5703125" style="997" customWidth="1"/>
    <col min="27" max="16384" width="12.5703125" style="997"/>
  </cols>
  <sheetData>
    <row r="1" spans="1:26" s="985" customFormat="1" ht="33" customHeight="1" thickBot="1">
      <c r="A1" s="1268" t="s">
        <v>565</v>
      </c>
      <c r="B1" s="1261">
        <f>Boss_no</f>
        <v>6666</v>
      </c>
      <c r="C1" s="1408" t="str">
        <f>Cust_Proj_ID&amp;", "&amp;Cust_Fan_ID&amp;", "&amp;BMS_TYPE&amp;", "&amp;Mat_IMP&amp;", "&amp;Mat_BLADE</f>
        <v>, , GT 106-44, Steel, Steel</v>
      </c>
      <c r="D1" s="1409"/>
      <c r="E1" s="1409"/>
      <c r="F1" s="1409"/>
      <c r="G1" s="1409"/>
      <c r="H1" s="1409"/>
      <c r="I1" s="1409"/>
      <c r="J1" s="1409"/>
      <c r="K1" s="1409"/>
      <c r="L1" s="1409"/>
      <c r="M1" s="1409"/>
      <c r="N1" s="1409"/>
      <c r="O1" s="1409"/>
      <c r="P1" s="1410"/>
      <c r="Q1" s="1401" t="s">
        <v>1180</v>
      </c>
      <c r="R1" s="982">
        <v>180207</v>
      </c>
      <c r="S1" s="1395"/>
      <c r="T1" s="1396"/>
      <c r="U1" s="983"/>
      <c r="V1" s="983"/>
      <c r="W1" s="983"/>
      <c r="X1" s="983"/>
      <c r="Y1" s="983"/>
      <c r="Z1" s="984">
        <f ca="1">TODAY()</f>
        <v>43825</v>
      </c>
    </row>
    <row r="2" spans="1:26" s="985" customFormat="1" ht="33" customHeight="1" thickBot="1">
      <c r="A2" s="1265"/>
      <c r="B2" s="1266"/>
      <c r="C2" s="1266"/>
      <c r="D2" s="1266"/>
      <c r="E2" s="1266"/>
      <c r="F2" s="1266"/>
      <c r="G2" s="1266"/>
      <c r="H2" s="1266"/>
      <c r="I2" s="1266"/>
      <c r="J2" s="1266"/>
      <c r="K2" s="1266"/>
      <c r="L2" s="1266"/>
      <c r="M2" s="1266"/>
      <c r="N2" s="1266"/>
      <c r="O2" s="1266"/>
      <c r="P2" s="1267"/>
      <c r="Q2" s="1402"/>
      <c r="R2" s="986"/>
      <c r="S2" s="1397" t="str">
        <f>BMS_TYPE</f>
        <v>GT 106-44</v>
      </c>
      <c r="T2" s="1398"/>
      <c r="U2" s="1394" t="str">
        <f>Fan_name</f>
        <v>XOE 166-45G REG</v>
      </c>
      <c r="V2" s="1394"/>
      <c r="W2" s="986"/>
      <c r="X2" s="986"/>
      <c r="Y2" s="988"/>
      <c r="Z2" s="989">
        <v>43718</v>
      </c>
    </row>
    <row r="3" spans="1:26" ht="39.950000000000003" customHeight="1">
      <c r="A3" s="1262"/>
      <c r="B3" s="1263" t="s">
        <v>158</v>
      </c>
      <c r="C3" s="1264" t="s">
        <v>157</v>
      </c>
      <c r="D3" s="1404" t="s">
        <v>159</v>
      </c>
      <c r="E3" s="1405"/>
      <c r="F3" s="990"/>
      <c r="G3" s="991"/>
      <c r="H3" s="992"/>
      <c r="I3" s="992"/>
      <c r="J3" s="993"/>
      <c r="K3" s="993"/>
      <c r="L3" s="994"/>
      <c r="M3" s="994"/>
      <c r="N3" s="994"/>
      <c r="O3" s="994"/>
      <c r="P3" s="994"/>
      <c r="Q3" s="994"/>
      <c r="R3" s="990"/>
      <c r="S3" s="987"/>
      <c r="T3" s="995"/>
      <c r="U3" s="995"/>
      <c r="V3" s="990"/>
      <c r="W3" s="990"/>
      <c r="X3" s="990"/>
      <c r="Y3" s="990"/>
      <c r="Z3" s="996"/>
    </row>
    <row r="4" spans="1:26" ht="39.950000000000003" customHeight="1" thickBot="1">
      <c r="A4" s="998" t="s">
        <v>14</v>
      </c>
      <c r="B4" s="999" t="s">
        <v>1657</v>
      </c>
      <c r="C4" s="1000" t="s">
        <v>1658</v>
      </c>
      <c r="D4" s="1406" t="s">
        <v>1661</v>
      </c>
      <c r="E4" s="1407"/>
      <c r="F4" s="1001"/>
      <c r="G4" s="1001"/>
      <c r="H4" s="992"/>
      <c r="I4" s="992"/>
      <c r="J4" s="1002"/>
      <c r="K4" s="1002"/>
      <c r="L4" s="994"/>
      <c r="M4" s="994"/>
      <c r="N4" s="994"/>
      <c r="O4" s="994"/>
      <c r="P4" s="994"/>
      <c r="Q4" s="994"/>
      <c r="R4" s="990"/>
      <c r="S4" s="987"/>
      <c r="T4" s="990"/>
      <c r="U4" s="990"/>
      <c r="V4" s="990"/>
      <c r="W4" s="990"/>
      <c r="X4" s="990"/>
      <c r="Y4" s="990"/>
      <c r="Z4" s="996"/>
    </row>
    <row r="5" spans="1:26" ht="15.95" customHeight="1" thickBot="1">
      <c r="A5" s="1003"/>
      <c r="B5" s="1004"/>
      <c r="C5" s="1005"/>
      <c r="D5" s="1006"/>
      <c r="E5" s="1007"/>
      <c r="F5" s="1001"/>
      <c r="G5" s="1001"/>
      <c r="H5" s="994"/>
      <c r="I5" s="994"/>
      <c r="J5" s="994"/>
      <c r="K5" s="994"/>
      <c r="L5" s="994"/>
      <c r="M5" s="994"/>
      <c r="N5" s="994"/>
      <c r="O5" s="994"/>
      <c r="P5" s="994"/>
      <c r="Q5" s="994"/>
      <c r="R5" s="994"/>
      <c r="S5" s="994"/>
      <c r="T5" s="994"/>
      <c r="U5" s="994"/>
      <c r="V5" s="994"/>
      <c r="W5" s="994"/>
      <c r="X5" s="994"/>
      <c r="Y5" s="994"/>
      <c r="Z5" s="1008"/>
    </row>
    <row r="6" spans="1:26" ht="15.95" customHeight="1" thickBot="1">
      <c r="A6" s="1009" t="s">
        <v>59</v>
      </c>
      <c r="B6" s="1010" t="str">
        <f>IF($C$4="SI","SI","Std.")</f>
        <v>Std.</v>
      </c>
      <c r="C6" s="1011" t="s">
        <v>162</v>
      </c>
      <c r="D6" s="1010" t="str">
        <f>IF($C$4="SI","Std.","SI")</f>
        <v>SI</v>
      </c>
      <c r="E6" s="1012" t="s">
        <v>162</v>
      </c>
      <c r="F6" s="994"/>
      <c r="G6" s="994"/>
      <c r="H6" s="990"/>
      <c r="I6" s="1403" t="s">
        <v>160</v>
      </c>
      <c r="J6" s="1403"/>
      <c r="K6" s="1013"/>
      <c r="L6" s="1403" t="s">
        <v>161</v>
      </c>
      <c r="M6" s="1403"/>
      <c r="N6" s="994"/>
      <c r="O6" s="994"/>
      <c r="P6" s="994"/>
      <c r="Q6" s="994"/>
      <c r="R6" s="994"/>
      <c r="S6" s="994"/>
      <c r="T6" s="994"/>
      <c r="U6" s="994"/>
      <c r="V6" s="994"/>
      <c r="W6" s="994"/>
      <c r="X6" s="994"/>
      <c r="Y6" s="994"/>
      <c r="Z6" s="1008"/>
    </row>
    <row r="7" spans="1:26" ht="15.95" customHeight="1">
      <c r="A7" s="1014" t="s">
        <v>127</v>
      </c>
      <c r="B7" s="1015">
        <f>Input!F5</f>
        <v>0</v>
      </c>
      <c r="C7" s="1016" t="str">
        <f>IF($C$4="SI","Pa","mmH2O")</f>
        <v>mmH2O</v>
      </c>
      <c r="D7" s="1017">
        <f>IF($C$4="SI",B7/g,B7*g)</f>
        <v>0</v>
      </c>
      <c r="E7" s="1018" t="str">
        <f>IF($C$4="SI","mmH2O","Pa")</f>
        <v>Pa</v>
      </c>
      <c r="F7" s="994"/>
      <c r="G7" s="1019"/>
      <c r="H7" s="990"/>
      <c r="I7" s="1020">
        <f>IF($C$4="SI",D7,B7)</f>
        <v>0</v>
      </c>
      <c r="J7" s="1020" t="str">
        <f>IF($C$4="SI",E7,C7)</f>
        <v>mmH2O</v>
      </c>
      <c r="K7" s="1020"/>
      <c r="L7" s="1020">
        <f>IF($C$4="SI",B7,D7)</f>
        <v>0</v>
      </c>
      <c r="M7" s="1020" t="str">
        <f>IF($C$4="SI",C7,E7)</f>
        <v>Pa</v>
      </c>
      <c r="N7" s="994"/>
      <c r="O7" s="994"/>
      <c r="P7" s="994"/>
      <c r="Q7" s="994"/>
      <c r="R7" s="994"/>
      <c r="S7" s="994"/>
      <c r="T7" s="994"/>
      <c r="U7" s="994"/>
      <c r="V7" s="994"/>
      <c r="W7" s="994"/>
      <c r="X7" s="994"/>
      <c r="Y7" s="994"/>
      <c r="Z7" s="1008"/>
    </row>
    <row r="8" spans="1:26" ht="15.95" customHeight="1">
      <c r="A8" s="1014" t="s">
        <v>125</v>
      </c>
      <c r="B8" s="1015">
        <f>Input!F6</f>
        <v>0</v>
      </c>
      <c r="C8" s="1016" t="str">
        <f>IF($C$4="SI","Pa","mmH2O")</f>
        <v>mmH2O</v>
      </c>
      <c r="D8" s="1017">
        <f>IF($C$4="SI",B8/g,B8*g)</f>
        <v>0</v>
      </c>
      <c r="E8" s="1018" t="str">
        <f t="shared" ref="E8:E9" si="0">IF($C$4="SI","mmH2O","Pa")</f>
        <v>Pa</v>
      </c>
      <c r="F8" s="994"/>
      <c r="G8" s="994"/>
      <c r="H8" s="990"/>
      <c r="I8" s="1020">
        <f t="shared" ref="I8:I9" si="1">IF($C$4="SI",D8,B8)</f>
        <v>0</v>
      </c>
      <c r="J8" s="1020" t="str">
        <f t="shared" ref="J8:J9" si="2">IF($C$4="SI",E8,C8)</f>
        <v>mmH2O</v>
      </c>
      <c r="K8" s="1020"/>
      <c r="L8" s="1020">
        <f t="shared" ref="L8:L9" si="3">IF($C$4="SI",B8,D8)</f>
        <v>0</v>
      </c>
      <c r="M8" s="1020" t="str">
        <f t="shared" ref="M8:M9" si="4">IF($C$4="SI",C8,E8)</f>
        <v>Pa</v>
      </c>
      <c r="N8" s="994"/>
      <c r="O8" s="994"/>
      <c r="P8" s="994"/>
      <c r="Q8" s="994"/>
      <c r="R8" s="994"/>
      <c r="S8" s="994"/>
      <c r="T8" s="994"/>
      <c r="U8" s="994"/>
      <c r="V8" s="994"/>
      <c r="W8" s="994"/>
      <c r="X8" s="994"/>
      <c r="Y8" s="994"/>
      <c r="Z8" s="1008"/>
    </row>
    <row r="9" spans="1:26" ht="15.95" customHeight="1">
      <c r="A9" s="1014" t="s">
        <v>126</v>
      </c>
      <c r="B9" s="1015">
        <f>OP_TP/g</f>
        <v>713.77587437544605</v>
      </c>
      <c r="C9" s="1016" t="str">
        <f>IF($C$4="SI","Pa","mmH2O")</f>
        <v>mmH2O</v>
      </c>
      <c r="D9" s="1017">
        <f>IF($C$4="SI",B9/g,B9*g)</f>
        <v>7000</v>
      </c>
      <c r="E9" s="1018" t="str">
        <f t="shared" si="0"/>
        <v>Pa</v>
      </c>
      <c r="F9" s="994"/>
      <c r="G9" s="994"/>
      <c r="H9" s="990"/>
      <c r="I9" s="1020">
        <f t="shared" si="1"/>
        <v>713.77587437544605</v>
      </c>
      <c r="J9" s="1020" t="str">
        <f t="shared" si="2"/>
        <v>mmH2O</v>
      </c>
      <c r="K9" s="1020"/>
      <c r="L9" s="1020">
        <f t="shared" si="3"/>
        <v>7000</v>
      </c>
      <c r="M9" s="1020" t="str">
        <f t="shared" si="4"/>
        <v>Pa</v>
      </c>
      <c r="N9" s="1021"/>
      <c r="O9" s="1021"/>
      <c r="P9" s="1021"/>
      <c r="Q9" s="1021"/>
      <c r="R9" s="990"/>
      <c r="S9" s="990"/>
      <c r="T9" s="990"/>
      <c r="U9" s="990"/>
      <c r="V9" s="990"/>
      <c r="W9" s="990"/>
      <c r="X9" s="990"/>
      <c r="Y9" s="990"/>
      <c r="Z9" s="996"/>
    </row>
    <row r="10" spans="1:26" ht="15.95" customHeight="1">
      <c r="A10" s="1014" t="s">
        <v>20</v>
      </c>
      <c r="B10" s="1015">
        <f>op_temp</f>
        <v>20</v>
      </c>
      <c r="C10" s="1016" t="str">
        <f>IF($C$4="SI","Degr. K","Degr. C")</f>
        <v>Degr. C</v>
      </c>
      <c r="D10" s="1017">
        <f>IF($C$4="SI",B10-273.14,B10+273.14)</f>
        <v>293.14</v>
      </c>
      <c r="E10" s="1018" t="str">
        <f>IF($C$4="SI","Degr. C","Degr. K")</f>
        <v>Degr. K</v>
      </c>
      <c r="F10" s="994"/>
      <c r="G10" s="994"/>
      <c r="H10" s="990">
        <f>273.14</f>
        <v>273.14</v>
      </c>
      <c r="I10" s="1020">
        <f>IF($C$4="SI",D10,B10)</f>
        <v>20</v>
      </c>
      <c r="J10" s="1020" t="str">
        <f>IF($C$4="SI",E10,C10)</f>
        <v>Degr. C</v>
      </c>
      <c r="K10" s="1020"/>
      <c r="L10" s="1020">
        <f>IF($C$4="SI",B10,D10)</f>
        <v>293.14</v>
      </c>
      <c r="M10" s="1020" t="str">
        <f>IF($C$4="SI",C10,E10)</f>
        <v>Degr. K</v>
      </c>
      <c r="N10" s="1022"/>
      <c r="O10" s="1022"/>
      <c r="P10" s="994"/>
      <c r="Q10" s="994"/>
      <c r="R10" s="990"/>
      <c r="S10" s="990"/>
      <c r="T10" s="990"/>
      <c r="U10" s="990"/>
      <c r="V10" s="990"/>
      <c r="W10" s="990"/>
      <c r="X10" s="990"/>
      <c r="Y10" s="990"/>
      <c r="Z10" s="996"/>
    </row>
    <row r="11" spans="1:26" ht="15.95" customHeight="1">
      <c r="A11" s="1023" t="s">
        <v>562</v>
      </c>
      <c r="B11" s="1016">
        <f>(((101325+$D$42+$D$41)/(101325+$D$41))^((1.4-1)/1.4)-1)*(273.14+T_OP)/Fan_Eff_OP</f>
        <v>6.4126796414246225</v>
      </c>
      <c r="C11" s="1016" t="s">
        <v>563</v>
      </c>
      <c r="D11" s="1017"/>
      <c r="E11" s="1018"/>
      <c r="F11" s="994"/>
      <c r="G11" s="994"/>
      <c r="H11" s="990"/>
      <c r="I11" s="1020"/>
      <c r="J11" s="1020"/>
      <c r="K11" s="1020"/>
      <c r="L11" s="1020"/>
      <c r="M11" s="1020"/>
      <c r="N11" s="1022"/>
      <c r="O11" s="1022"/>
      <c r="P11" s="994"/>
      <c r="Q11" s="994"/>
      <c r="R11" s="990"/>
      <c r="S11" s="990"/>
      <c r="T11" s="990"/>
      <c r="U11" s="990"/>
      <c r="V11" s="990"/>
      <c r="W11" s="990"/>
      <c r="X11" s="990"/>
      <c r="Y11" s="990"/>
      <c r="Z11" s="996"/>
    </row>
    <row r="12" spans="1:26" ht="15.95" customHeight="1">
      <c r="A12" s="1014" t="s">
        <v>23</v>
      </c>
      <c r="B12" s="1015">
        <f>fin_Q</f>
        <v>10000</v>
      </c>
      <c r="C12" s="1016" t="str">
        <f>IF($C$4="SI","m3/S","m3/HR")</f>
        <v>m3/HR</v>
      </c>
      <c r="D12" s="1024">
        <f>IF($C$4="SI",B12*3600,B12/3600)</f>
        <v>2.7777777777777777</v>
      </c>
      <c r="E12" s="1018" t="str">
        <f>IF($C$4="SI","m3/HR","m3/S")</f>
        <v>m3/S</v>
      </c>
      <c r="F12" s="1025"/>
      <c r="G12" s="1025"/>
      <c r="H12" s="990"/>
      <c r="I12" s="1020">
        <f>IF($C$4="SI",D12,B12)</f>
        <v>10000</v>
      </c>
      <c r="J12" s="1020" t="str">
        <f>IF($C$4="SI",E12,C12)</f>
        <v>m3/HR</v>
      </c>
      <c r="K12" s="1020"/>
      <c r="L12" s="1020">
        <f>IF($C$4="SI",B12,D12)</f>
        <v>2.7777777777777777</v>
      </c>
      <c r="M12" s="1020" t="str">
        <f>IF($C$4="SI",C12,E12)</f>
        <v>m3/S</v>
      </c>
      <c r="N12" s="1022"/>
      <c r="O12" s="1022"/>
      <c r="P12" s="994"/>
      <c r="Q12" s="994"/>
      <c r="R12" s="990"/>
      <c r="S12" s="990"/>
      <c r="T12" s="990"/>
      <c r="U12" s="990"/>
      <c r="V12" s="990"/>
      <c r="W12" s="990"/>
      <c r="X12" s="990"/>
      <c r="Y12" s="990"/>
      <c r="Z12" s="996"/>
    </row>
    <row r="13" spans="1:26" ht="15.95" customHeight="1">
      <c r="A13" s="1014" t="s">
        <v>95</v>
      </c>
      <c r="B13" s="1026">
        <v>50</v>
      </c>
      <c r="C13" s="1020" t="s">
        <v>31</v>
      </c>
      <c r="D13" s="1015">
        <v>0</v>
      </c>
      <c r="E13" s="1018" t="s">
        <v>250</v>
      </c>
      <c r="F13" s="1027"/>
      <c r="G13" s="1027"/>
      <c r="H13" s="990"/>
      <c r="I13" s="1020">
        <f>B13</f>
        <v>50</v>
      </c>
      <c r="J13" s="1020" t="s">
        <v>31</v>
      </c>
      <c r="K13" s="1020"/>
      <c r="L13" s="1020"/>
      <c r="M13" s="1020"/>
      <c r="N13" s="1022"/>
      <c r="O13" s="1022"/>
      <c r="P13" s="994"/>
      <c r="Q13" s="994"/>
      <c r="R13" s="990"/>
      <c r="S13" s="990"/>
      <c r="T13" s="990"/>
      <c r="U13" s="990"/>
      <c r="V13" s="990"/>
      <c r="W13" s="990"/>
      <c r="X13" s="990"/>
      <c r="Y13" s="990"/>
      <c r="Z13" s="996"/>
    </row>
    <row r="14" spans="1:26" s="1029" customFormat="1" ht="15.95" customHeight="1">
      <c r="A14" s="1014" t="s">
        <v>94</v>
      </c>
      <c r="B14" s="1026" t="s">
        <v>1659</v>
      </c>
      <c r="C14" s="1028">
        <v>1</v>
      </c>
      <c r="D14" s="1015"/>
      <c r="E14" s="1018" t="s">
        <v>250</v>
      </c>
      <c r="F14" s="994"/>
      <c r="G14" s="994"/>
      <c r="H14" s="994"/>
      <c r="I14" s="1020" t="str">
        <f t="shared" ref="I14" si="5">B14</f>
        <v>Y</v>
      </c>
      <c r="J14" s="1020"/>
      <c r="K14" s="1020"/>
      <c r="L14" s="1015">
        <f>IF(Desired_RPM_min=0,0,3600)</f>
        <v>0</v>
      </c>
      <c r="M14" s="1020"/>
      <c r="N14" s="994"/>
      <c r="O14" s="994"/>
      <c r="P14" s="994"/>
      <c r="Q14" s="994"/>
      <c r="R14" s="994"/>
      <c r="S14" s="994"/>
      <c r="T14" s="994"/>
      <c r="U14" s="994"/>
      <c r="V14" s="994"/>
      <c r="W14" s="994"/>
      <c r="X14" s="994"/>
      <c r="Y14" s="994"/>
      <c r="Z14" s="1008"/>
    </row>
    <row r="15" spans="1:26" ht="15.95" customHeight="1">
      <c r="A15" s="1023"/>
      <c r="B15" s="1030"/>
      <c r="C15" s="1028"/>
      <c r="D15" s="1031"/>
      <c r="E15" s="1032"/>
      <c r="F15" s="1027"/>
      <c r="G15" s="1027"/>
      <c r="H15" s="990"/>
      <c r="I15" s="1033"/>
      <c r="J15" s="1020"/>
      <c r="K15" s="1020"/>
      <c r="L15" s="1020"/>
      <c r="M15" s="1020"/>
      <c r="N15" s="1022"/>
      <c r="O15" s="1022"/>
      <c r="P15" s="994"/>
      <c r="Q15" s="994"/>
      <c r="R15" s="990"/>
      <c r="S15" s="990"/>
      <c r="T15" s="990"/>
      <c r="U15" s="990"/>
      <c r="V15" s="990"/>
      <c r="W15" s="990"/>
      <c r="X15" s="990"/>
      <c r="Y15" s="990"/>
      <c r="Z15" s="996"/>
    </row>
    <row r="16" spans="1:26" ht="15.95" customHeight="1">
      <c r="A16" s="1023"/>
      <c r="B16" s="1016"/>
      <c r="C16" s="1016"/>
      <c r="E16" s="1034"/>
      <c r="F16" s="994"/>
      <c r="G16" s="994"/>
      <c r="H16" s="1035"/>
      <c r="I16" s="1020"/>
      <c r="J16" s="1020"/>
      <c r="K16" s="1020"/>
      <c r="L16" s="1036"/>
      <c r="M16" s="1036"/>
      <c r="N16" s="994"/>
      <c r="O16" s="994"/>
      <c r="P16" s="994"/>
      <c r="Q16" s="994"/>
      <c r="R16" s="990"/>
      <c r="S16" s="990"/>
      <c r="T16" s="990"/>
      <c r="U16" s="990"/>
      <c r="V16" s="990"/>
      <c r="W16" s="990"/>
      <c r="X16" s="990"/>
      <c r="Y16" s="990"/>
      <c r="Z16" s="996"/>
    </row>
    <row r="17" spans="1:26" ht="15.95" customHeight="1">
      <c r="A17" s="1014" t="s">
        <v>1903</v>
      </c>
      <c r="B17" s="1037">
        <v>1.2050000000000001</v>
      </c>
      <c r="C17" s="1016" t="s">
        <v>30</v>
      </c>
      <c r="D17" s="1399" t="s">
        <v>156</v>
      </c>
      <c r="E17" s="1400"/>
      <c r="F17" s="1038"/>
      <c r="G17" s="1038"/>
      <c r="H17" s="1035"/>
      <c r="I17" s="1037">
        <f>B17</f>
        <v>1.2050000000000001</v>
      </c>
      <c r="J17" s="1016" t="s">
        <v>30</v>
      </c>
      <c r="K17" s="1399" t="s">
        <v>156</v>
      </c>
      <c r="L17" s="1400"/>
      <c r="M17" s="1036"/>
      <c r="N17" s="994"/>
      <c r="O17" s="994"/>
      <c r="P17" s="994"/>
      <c r="Q17" s="994"/>
      <c r="R17" s="990"/>
      <c r="S17" s="990"/>
      <c r="T17" s="990"/>
      <c r="U17" s="990"/>
      <c r="V17" s="990"/>
      <c r="W17" s="990"/>
      <c r="X17" s="990"/>
      <c r="Y17" s="990"/>
      <c r="Z17" s="996"/>
    </row>
    <row r="18" spans="1:26" ht="15.95" customHeight="1">
      <c r="A18" s="1023" t="s">
        <v>40</v>
      </c>
      <c r="B18" s="1039">
        <f>$I$17*((273.14+T_std)/(273.14+T_in_SU)*(Input!H15+$L$7)/101325)</f>
        <v>1.2050000000000001</v>
      </c>
      <c r="C18" s="1016" t="s">
        <v>30</v>
      </c>
      <c r="D18" s="1399"/>
      <c r="E18" s="1400"/>
      <c r="F18" s="1038"/>
      <c r="G18" s="1038"/>
      <c r="H18" s="1035"/>
      <c r="I18" s="1039">
        <f>$I$17*((273.14+T_std)/(273.14+T_in_SU)*(101325+$L$7)/101325)</f>
        <v>1.2050000000000001</v>
      </c>
      <c r="J18" s="1016" t="s">
        <v>30</v>
      </c>
      <c r="K18" s="1399"/>
      <c r="L18" s="1400"/>
      <c r="M18" s="1036"/>
      <c r="N18" s="994"/>
      <c r="O18" s="994"/>
      <c r="P18" s="994"/>
      <c r="Q18" s="994"/>
      <c r="R18" s="990"/>
      <c r="S18" s="990"/>
      <c r="T18" s="990"/>
      <c r="U18" s="990"/>
      <c r="V18" s="990"/>
      <c r="W18" s="990"/>
      <c r="X18" s="990"/>
      <c r="Y18" s="990"/>
      <c r="Z18" s="996"/>
    </row>
    <row r="19" spans="1:26" s="1029" customFormat="1" ht="15.95" customHeight="1">
      <c r="A19" s="1023" t="s">
        <v>137</v>
      </c>
      <c r="B19" s="1040">
        <f>$I$17*((101325+$L$7)/101325)</f>
        <v>1.2050000000000001</v>
      </c>
      <c r="C19" s="1020" t="s">
        <v>30</v>
      </c>
      <c r="D19" s="1399"/>
      <c r="E19" s="1400"/>
      <c r="F19" s="1038"/>
      <c r="G19" s="1038"/>
      <c r="H19" s="1041"/>
      <c r="I19" s="1040">
        <f>$I$17*((101325+$L$7)/101325)</f>
        <v>1.2050000000000001</v>
      </c>
      <c r="J19" s="1020" t="s">
        <v>30</v>
      </c>
      <c r="K19" s="1399"/>
      <c r="L19" s="1400"/>
      <c r="M19" s="1036"/>
      <c r="N19" s="994"/>
      <c r="O19" s="994"/>
      <c r="P19" s="994"/>
      <c r="Q19" s="994"/>
      <c r="R19" s="994"/>
      <c r="S19" s="994"/>
      <c r="T19" s="994"/>
      <c r="U19" s="994"/>
      <c r="V19" s="994"/>
      <c r="W19" s="994"/>
      <c r="X19" s="994"/>
      <c r="Y19" s="994"/>
      <c r="Z19" s="1008"/>
    </row>
    <row r="20" spans="1:26" ht="15.95" customHeight="1">
      <c r="A20" s="1380" t="str">
        <f>IF(B21&gt;1000,"NOT POSSIBLE","")</f>
        <v/>
      </c>
      <c r="B20" s="1381"/>
      <c r="C20" s="1381"/>
      <c r="D20" s="1381"/>
      <c r="E20" s="1382"/>
      <c r="F20" s="994"/>
      <c r="G20" s="994"/>
      <c r="H20" s="990"/>
      <c r="I20" s="990"/>
      <c r="J20" s="990"/>
      <c r="K20" s="990"/>
      <c r="L20" s="990"/>
      <c r="M20" s="990"/>
      <c r="N20" s="990"/>
      <c r="O20" s="990"/>
      <c r="P20" s="990"/>
      <c r="Q20" s="990"/>
      <c r="R20" s="990"/>
      <c r="S20" s="990"/>
      <c r="T20" s="990"/>
      <c r="U20" s="990"/>
      <c r="V20" s="990"/>
      <c r="W20" s="990"/>
      <c r="X20" s="990"/>
      <c r="Y20" s="990"/>
      <c r="Z20" s="996"/>
    </row>
    <row r="21" spans="1:26" ht="15.95" customHeight="1">
      <c r="A21" s="1042" t="s">
        <v>288</v>
      </c>
      <c r="B21" s="1043">
        <f>IF(IF($L$8=0,$L$9,$L$8*1.1)*$L$12/1000&gt;1500,"NOT POSSIBLE",IF($L$8=0,$L$9,$L$8*1.1)*$L$12/1000)</f>
        <v>19.444444444444446</v>
      </c>
      <c r="C21" s="1043" t="s">
        <v>115</v>
      </c>
      <c r="D21" s="1044"/>
      <c r="E21" s="1045"/>
      <c r="F21" s="994"/>
      <c r="G21" s="994"/>
      <c r="H21" s="990"/>
      <c r="I21" s="994"/>
      <c r="J21" s="1046"/>
      <c r="K21" s="1046"/>
      <c r="L21" s="1047"/>
      <c r="M21" s="1046"/>
      <c r="N21" s="1046"/>
      <c r="O21" s="1046"/>
      <c r="P21" s="1047"/>
      <c r="Q21" s="1047"/>
      <c r="R21" s="990"/>
      <c r="S21" s="990"/>
      <c r="T21" s="990"/>
      <c r="U21" s="990"/>
      <c r="V21" s="990"/>
      <c r="W21" s="990"/>
      <c r="X21" s="990"/>
      <c r="Y21" s="990"/>
      <c r="Z21" s="996"/>
    </row>
    <row r="22" spans="1:26" ht="15.95" customHeight="1">
      <c r="A22" s="1048"/>
      <c r="B22" s="1049"/>
      <c r="C22" s="1020"/>
      <c r="D22" s="1020"/>
      <c r="E22" s="1050"/>
      <c r="F22" s="994"/>
      <c r="G22" s="994"/>
      <c r="H22" s="990"/>
      <c r="I22" s="994"/>
      <c r="J22" s="1046"/>
      <c r="K22" s="1046"/>
      <c r="L22" s="1047"/>
      <c r="M22" s="1046"/>
      <c r="N22" s="1046"/>
      <c r="O22" s="1046"/>
      <c r="P22" s="1047"/>
      <c r="Q22" s="1047"/>
      <c r="R22" s="990"/>
      <c r="S22" s="990"/>
      <c r="T22" s="990"/>
      <c r="U22" s="990"/>
      <c r="V22" s="990"/>
      <c r="W22" s="990"/>
      <c r="X22" s="990"/>
      <c r="Y22" s="990"/>
      <c r="Z22" s="996"/>
    </row>
    <row r="23" spans="1:26" ht="15.95" customHeight="1" thickBot="1">
      <c r="A23" s="1051" t="s">
        <v>138</v>
      </c>
      <c r="B23" s="1052"/>
      <c r="C23" s="1053"/>
      <c r="D23" s="1053"/>
      <c r="E23" s="1054"/>
      <c r="F23" s="994"/>
      <c r="G23" s="994"/>
      <c r="H23" s="990"/>
      <c r="I23" s="990"/>
      <c r="J23" s="1041"/>
      <c r="K23" s="1041"/>
      <c r="L23" s="1038"/>
      <c r="M23" s="1046"/>
      <c r="N23" s="1046"/>
      <c r="O23" s="1046"/>
      <c r="P23" s="1047"/>
      <c r="Q23" s="1047"/>
      <c r="R23" s="990"/>
      <c r="S23" s="990"/>
      <c r="T23" s="990"/>
      <c r="U23" s="990"/>
      <c r="V23" s="990"/>
      <c r="W23" s="990"/>
      <c r="X23" s="990"/>
      <c r="Y23" s="990"/>
      <c r="Z23" s="996"/>
    </row>
    <row r="24" spans="1:26" ht="15.95" customHeight="1">
      <c r="A24" s="1023" t="s">
        <v>139</v>
      </c>
      <c r="B24" s="1055" t="s">
        <v>1660</v>
      </c>
      <c r="C24" s="990"/>
      <c r="D24" s="1020"/>
      <c r="E24" s="1050"/>
      <c r="F24" s="994"/>
      <c r="G24" s="994"/>
      <c r="H24" s="990"/>
      <c r="I24" s="990"/>
      <c r="J24" s="990"/>
      <c r="K24" s="990"/>
      <c r="L24" s="990"/>
      <c r="M24" s="990"/>
      <c r="N24" s="990"/>
      <c r="O24" s="990"/>
      <c r="P24" s="990"/>
      <c r="Q24" s="990"/>
      <c r="R24" s="990"/>
      <c r="S24" s="990"/>
      <c r="T24" s="990"/>
      <c r="U24" s="990"/>
      <c r="V24" s="990"/>
      <c r="W24" s="990"/>
      <c r="X24" s="990"/>
      <c r="Y24" s="990"/>
      <c r="Z24" s="996"/>
    </row>
    <row r="25" spans="1:26" s="1029" customFormat="1" ht="15.95" customHeight="1">
      <c r="A25" s="1023" t="s">
        <v>140</v>
      </c>
      <c r="B25" s="1055" t="s">
        <v>1660</v>
      </c>
      <c r="C25" s="1056">
        <v>30</v>
      </c>
      <c r="D25" s="994"/>
      <c r="E25" s="1008"/>
      <c r="F25" s="994"/>
      <c r="G25" s="994"/>
      <c r="H25" s="994"/>
      <c r="I25" s="994"/>
      <c r="J25" s="994"/>
      <c r="K25" s="994"/>
      <c r="L25" s="994"/>
      <c r="M25" s="994"/>
      <c r="N25" s="994"/>
      <c r="O25" s="994"/>
      <c r="P25" s="994"/>
      <c r="Q25" s="994"/>
      <c r="R25" s="994"/>
      <c r="S25" s="994"/>
      <c r="T25" s="994"/>
      <c r="U25" s="994"/>
      <c r="V25" s="994"/>
      <c r="W25" s="994"/>
      <c r="X25" s="994"/>
      <c r="Y25" s="994"/>
      <c r="Z25" s="1008"/>
    </row>
    <row r="26" spans="1:26" ht="15.95" customHeight="1">
      <c r="A26" s="1023" t="s">
        <v>141</v>
      </c>
      <c r="B26" s="1055" t="s">
        <v>1660</v>
      </c>
      <c r="C26" s="1057">
        <f>IF(OR($C$25&lt;1,$C$25&gt;MAX('Calc. sheet'!$A$2:$A$63)),14,INDEX('Calc. sheet'!$A$2:$K$63,$C$25,MATCH("Fan #",'Calc. sheet'!$A$1:$K$1,0)))</f>
        <v>93</v>
      </c>
      <c r="D26" s="1057" t="str">
        <f>IF(C$25=-1,FALSE,IF(OR($C$25&lt;1,$C$25&gt;MAX('Calc. sheet'!$A$2:$A$63)),0,INDEX('Calc. sheet'!$A$2:$K$63,$C$25,MATCH("Suggested Fan",'Calc. sheet'!$A$1:$K$1,0))))</f>
        <v>XOE 166-45G</v>
      </c>
      <c r="E26" s="1058" t="s">
        <v>1663</v>
      </c>
      <c r="F26" s="994"/>
      <c r="G26" s="994"/>
      <c r="H26" s="990"/>
      <c r="I26" s="990"/>
      <c r="J26" s="990"/>
      <c r="K26" s="990"/>
      <c r="L26" s="990"/>
      <c r="M26" s="990"/>
      <c r="N26" s="990"/>
      <c r="O26" s="990"/>
      <c r="P26" s="990"/>
      <c r="Q26" s="990"/>
      <c r="R26" s="990"/>
      <c r="S26" s="990"/>
      <c r="T26" s="990"/>
      <c r="U26" s="990"/>
      <c r="V26" s="990"/>
      <c r="W26" s="990"/>
      <c r="X26" s="990"/>
      <c r="Y26" s="990"/>
      <c r="Z26" s="996"/>
    </row>
    <row r="27" spans="1:26" s="994" customFormat="1" ht="15.95" customHeight="1">
      <c r="A27" s="1023" t="s">
        <v>254</v>
      </c>
      <c r="B27" s="1055" t="s">
        <v>1660</v>
      </c>
      <c r="C27" s="1057">
        <f>IF(OR($C$25&lt;1,$C$25&gt;MAX('Calc. sheet'!$A$2:$A$63)),0,INDEX('Calc. sheet'!$A$2:$K$63,$C$25,MATCH("rev/min",'Calc. sheet'!$A$1:$K$1,0)))</f>
        <v>1672.3774886767021</v>
      </c>
      <c r="D27" s="1059">
        <f>IF(OR($C$25&lt;1,$C$25&gt;MAX('Calc. sheet'!$A$2:$A$63)),0,INDEX('Calc. sheet'!$A$2:$K$63,$C$25,MATCH("Eff.",'Calc. sheet'!$A$1:$K$1,0)))</f>
        <v>0.89787337149793101</v>
      </c>
      <c r="E27" s="1060"/>
      <c r="Z27" s="1008"/>
    </row>
    <row r="28" spans="1:26" s="994" customFormat="1" ht="15.95" customHeight="1" thickBot="1">
      <c r="A28" s="1061" t="s">
        <v>142</v>
      </c>
      <c r="B28" s="1062" t="s">
        <v>1660</v>
      </c>
      <c r="C28" s="1063"/>
      <c r="D28" s="1064"/>
      <c r="E28" s="1065"/>
      <c r="Z28" s="1008"/>
    </row>
    <row r="29" spans="1:26" s="994" customFormat="1" ht="15.95" customHeight="1" thickBot="1">
      <c r="A29" s="1023"/>
      <c r="B29" s="1020"/>
      <c r="Z29" s="1008"/>
    </row>
    <row r="30" spans="1:26" s="994" customFormat="1" ht="15.95" customHeight="1" thickBot="1">
      <c r="A30" s="1066" t="s">
        <v>32</v>
      </c>
      <c r="B30" s="1020"/>
      <c r="C30" s="1020"/>
      <c r="D30" s="1067"/>
      <c r="E30" s="1020"/>
      <c r="Z30" s="1008"/>
    </row>
    <row r="31" spans="1:26" s="994" customFormat="1" ht="15.95" customHeight="1">
      <c r="A31" s="1068">
        <v>0</v>
      </c>
      <c r="B31" s="1020"/>
      <c r="C31" s="1020"/>
      <c r="D31" s="1020"/>
      <c r="E31" s="1020"/>
      <c r="Z31" s="1008"/>
    </row>
    <row r="32" spans="1:26" s="994" customFormat="1" ht="15.95" customHeight="1">
      <c r="A32" s="1068">
        <v>0</v>
      </c>
      <c r="B32" s="1020"/>
      <c r="C32" s="1020"/>
      <c r="D32" s="1020"/>
      <c r="E32" s="1069"/>
      <c r="Z32" s="1008"/>
    </row>
    <row r="33" spans="1:26" s="994" customFormat="1" ht="15.95" customHeight="1">
      <c r="A33" s="1068">
        <v>0</v>
      </c>
      <c r="B33" s="1020"/>
      <c r="C33" s="1020"/>
      <c r="D33" s="1020"/>
      <c r="E33" s="1020"/>
      <c r="Z33" s="1008"/>
    </row>
    <row r="34" spans="1:26" s="994" customFormat="1" ht="15.95" customHeight="1">
      <c r="A34" s="1068">
        <v>0</v>
      </c>
      <c r="B34" s="1020"/>
      <c r="C34" s="1020"/>
      <c r="D34" s="1020"/>
      <c r="E34" s="1020"/>
      <c r="H34" s="1027"/>
      <c r="Z34" s="1008"/>
    </row>
    <row r="35" spans="1:26" s="994" customFormat="1" ht="15.95" customHeight="1" thickBot="1">
      <c r="A35" s="1068">
        <v>0</v>
      </c>
      <c r="B35" s="1033"/>
      <c r="C35" s="1020"/>
      <c r="D35" s="1033"/>
      <c r="E35" s="1020"/>
      <c r="H35" s="1027"/>
      <c r="Z35" s="1008"/>
    </row>
    <row r="36" spans="1:26" s="994" customFormat="1" ht="15.95" customHeight="1">
      <c r="A36" s="1070"/>
      <c r="B36" s="1071"/>
      <c r="C36" s="1071"/>
      <c r="D36" s="1071"/>
      <c r="E36" s="1072"/>
      <c r="H36" s="1027"/>
      <c r="Z36" s="1008"/>
    </row>
    <row r="37" spans="1:26" s="994" customFormat="1" ht="15.95" customHeight="1">
      <c r="A37" s="1073"/>
      <c r="B37" s="1074"/>
      <c r="C37" s="1074"/>
      <c r="D37" s="1074"/>
      <c r="E37" s="1075"/>
      <c r="Z37" s="1008"/>
    </row>
    <row r="38" spans="1:26" s="994" customFormat="1" ht="15.95" customHeight="1" thickBot="1">
      <c r="A38" s="1076"/>
      <c r="B38" s="1077"/>
      <c r="C38" s="1077"/>
      <c r="D38" s="1077"/>
      <c r="E38" s="1078"/>
      <c r="Z38" s="1008"/>
    </row>
    <row r="39" spans="1:26" s="994" customFormat="1" ht="15.95" customHeight="1" thickBot="1">
      <c r="A39" s="1079" t="s">
        <v>155</v>
      </c>
      <c r="B39" s="1392" t="str">
        <f>IF(Sel_Fan_type=0,0,IF(Sel_Fan_type=FALSE,"TOO HIGH TEMP.",Final_Fan))</f>
        <v>XOE 166-45G REG</v>
      </c>
      <c r="C39" s="1392"/>
      <c r="D39" s="1392" t="str">
        <f>Mat_IMP&amp;" / "&amp;Mat_BLADE</f>
        <v>Steel / Steel</v>
      </c>
      <c r="E39" s="1393"/>
      <c r="F39" s="1041"/>
      <c r="G39" s="1041"/>
      <c r="Z39" s="1008"/>
    </row>
    <row r="40" spans="1:26" s="994" customFormat="1" ht="15.95" customHeight="1">
      <c r="A40" s="1389" t="s">
        <v>128</v>
      </c>
      <c r="B40" s="1390"/>
      <c r="C40" s="1390"/>
      <c r="D40" s="1390"/>
      <c r="E40" s="1391"/>
      <c r="Z40" s="1008"/>
    </row>
    <row r="41" spans="1:26" s="994" customFormat="1" ht="15.95" customHeight="1">
      <c r="A41" s="1080" t="s">
        <v>127</v>
      </c>
      <c r="B41" s="1081">
        <f>P_OP_in</f>
        <v>0</v>
      </c>
      <c r="C41" s="1081" t="s">
        <v>16</v>
      </c>
      <c r="D41" s="1081">
        <f>g*B41</f>
        <v>0</v>
      </c>
      <c r="E41" s="1082" t="s">
        <v>17</v>
      </c>
      <c r="Z41" s="1008"/>
    </row>
    <row r="42" spans="1:26" s="994" customFormat="1" ht="15.95" customHeight="1" thickBot="1">
      <c r="A42" s="1083" t="s">
        <v>125</v>
      </c>
      <c r="B42" s="1084">
        <f>P_OP_stat</f>
        <v>695.03516367298926</v>
      </c>
      <c r="C42" s="1084" t="s">
        <v>16</v>
      </c>
      <c r="D42" s="1084">
        <f>g*B42</f>
        <v>6816.2098501410055</v>
      </c>
      <c r="E42" s="1085" t="s">
        <v>17</v>
      </c>
      <c r="G42" s="1019">
        <v>1</v>
      </c>
      <c r="H42" s="1019">
        <v>2</v>
      </c>
      <c r="I42" s="1019">
        <v>3</v>
      </c>
      <c r="J42" s="1019">
        <v>4</v>
      </c>
      <c r="K42" s="1019">
        <v>5</v>
      </c>
      <c r="L42" s="1019">
        <v>6</v>
      </c>
      <c r="M42" s="1019">
        <v>7</v>
      </c>
      <c r="N42" s="1019">
        <v>8</v>
      </c>
      <c r="O42" s="1019">
        <v>9</v>
      </c>
      <c r="P42" s="1019">
        <v>10</v>
      </c>
      <c r="Q42" s="1019">
        <v>1</v>
      </c>
      <c r="R42" s="1019">
        <v>2</v>
      </c>
      <c r="S42" s="1019">
        <v>3</v>
      </c>
      <c r="T42" s="1019">
        <v>4</v>
      </c>
      <c r="U42" s="1019">
        <v>5</v>
      </c>
      <c r="V42" s="1019">
        <v>6</v>
      </c>
      <c r="W42" s="1019">
        <v>7</v>
      </c>
      <c r="X42" s="1019">
        <v>8</v>
      </c>
      <c r="Y42" s="1019">
        <v>9</v>
      </c>
      <c r="Z42" s="1086">
        <v>10</v>
      </c>
    </row>
    <row r="43" spans="1:26" s="994" customFormat="1" ht="15.95" customHeight="1" thickBot="1">
      <c r="A43" s="1083" t="s">
        <v>126</v>
      </c>
      <c r="B43" s="1084">
        <f>P_OP_tot</f>
        <v>713.77587437544605</v>
      </c>
      <c r="C43" s="1084" t="s">
        <v>16</v>
      </c>
      <c r="D43" s="1084">
        <f>g*B43</f>
        <v>7000</v>
      </c>
      <c r="E43" s="1087" t="s">
        <v>17</v>
      </c>
      <c r="H43" s="1088" t="s">
        <v>167</v>
      </c>
      <c r="I43" s="1089" t="s">
        <v>182</v>
      </c>
      <c r="J43" s="1090" t="s">
        <v>991</v>
      </c>
      <c r="K43" s="1090"/>
      <c r="L43" s="1090"/>
      <c r="M43" s="1090"/>
      <c r="N43" s="1089" t="s">
        <v>171</v>
      </c>
      <c r="O43" s="1090" t="s">
        <v>178</v>
      </c>
      <c r="P43" s="1091" t="s">
        <v>253</v>
      </c>
      <c r="R43" s="1088" t="s">
        <v>167</v>
      </c>
      <c r="S43" s="1089" t="s">
        <v>182</v>
      </c>
      <c r="T43" s="1090" t="s">
        <v>991</v>
      </c>
      <c r="U43" s="1090"/>
      <c r="V43" s="1090"/>
      <c r="W43" s="1090"/>
      <c r="X43" s="1089" t="s">
        <v>171</v>
      </c>
      <c r="Y43" s="1090" t="s">
        <v>178</v>
      </c>
      <c r="Z43" s="1091" t="s">
        <v>253</v>
      </c>
    </row>
    <row r="44" spans="1:26" s="994" customFormat="1" ht="15.95" customHeight="1">
      <c r="A44" s="1083" t="s">
        <v>20</v>
      </c>
      <c r="B44" s="1084">
        <f>T_OP</f>
        <v>20</v>
      </c>
      <c r="C44" s="1084" t="s">
        <v>21</v>
      </c>
      <c r="D44" s="1084">
        <f>273.14+$B$44</f>
        <v>293.14</v>
      </c>
      <c r="E44" s="1087" t="s">
        <v>22</v>
      </c>
      <c r="F44" s="1041"/>
      <c r="G44" s="1092">
        <f>'Calc. sheet'!A2</f>
        <v>1</v>
      </c>
      <c r="H44" s="1093" t="str">
        <f>'Calc. sheet'!C2</f>
        <v>XMP 90-25A</v>
      </c>
      <c r="I44" s="1094">
        <f>'Calc. sheet'!D2</f>
        <v>3643.9078461311055</v>
      </c>
      <c r="J44" s="1095">
        <f>'Calc. sheet'!E2</f>
        <v>0.5115197138784815</v>
      </c>
      <c r="K44" s="1096" t="str">
        <f>'Calc. sheet'!F2</f>
        <v>Reg</v>
      </c>
      <c r="L44" s="1096"/>
      <c r="M44" s="1097"/>
      <c r="N44" s="1098" t="str">
        <f>'Calc. sheet'!I2</f>
        <v>A.S. warning</v>
      </c>
      <c r="O44" s="1094" t="str">
        <f>'Calc. sheet'!J2</f>
        <v>57 m/s</v>
      </c>
      <c r="P44" s="1099">
        <f>IF(ISERROR(VLOOKUP(H44,Stock_list,1,FALSE)),'Calc. sheet'!K2,"STOCK LIST")</f>
        <v>1</v>
      </c>
      <c r="Q44" s="1100">
        <f>'Calc. sheet'!A33</f>
        <v>32</v>
      </c>
      <c r="R44" s="1093" t="str">
        <f>'Calc. sheet'!C33</f>
        <v>XOE 153-45</v>
      </c>
      <c r="S44" s="1094">
        <f>'Calc. sheet'!D33</f>
        <v>1783.5949129058154</v>
      </c>
      <c r="T44" s="1095">
        <f>'Calc. sheet'!E33</f>
        <v>0.68437531954940956</v>
      </c>
      <c r="U44" s="992" t="str">
        <f>'Calc. sheet'!F33</f>
        <v>Reg</v>
      </c>
      <c r="V44" s="1101"/>
      <c r="W44" s="1097"/>
      <c r="X44" s="1098" t="str">
        <f>'Calc. sheet'!I33</f>
        <v>A.S. warning</v>
      </c>
      <c r="Y44" s="1094" t="str">
        <f>'Calc. sheet'!J33</f>
        <v>14 m/s</v>
      </c>
      <c r="Z44" s="1099">
        <f>IF(ISERROR(VLOOKUP(R44,Stock_list,1,FALSE)),'Calc. sheet'!K33,"STOCK LIST")</f>
        <v>3.4462338277986535</v>
      </c>
    </row>
    <row r="45" spans="1:26" s="994" customFormat="1" ht="15.95" customHeight="1">
      <c r="A45" s="1083" t="s">
        <v>23</v>
      </c>
      <c r="B45" s="1084">
        <f>Q</f>
        <v>10000</v>
      </c>
      <c r="C45" s="1084" t="s">
        <v>24</v>
      </c>
      <c r="D45" s="1084">
        <f>Q/3600</f>
        <v>2.7777777777777777</v>
      </c>
      <c r="E45" s="1085" t="s">
        <v>25</v>
      </c>
      <c r="G45" s="1102">
        <f>'Calc. sheet'!A3</f>
        <v>2</v>
      </c>
      <c r="H45" s="1103" t="str">
        <f>'Calc. sheet'!C3</f>
        <v>XMP 90-25B</v>
      </c>
      <c r="I45" s="994">
        <f>'Calc. sheet'!D3</f>
        <v>3643.9078461311055</v>
      </c>
      <c r="J45" s="1104">
        <f>'Calc. sheet'!E3</f>
        <v>0.5115197138784815</v>
      </c>
      <c r="K45" s="1105" t="str">
        <f>'Calc. sheet'!F3</f>
        <v>Reg</v>
      </c>
      <c r="L45" s="1105"/>
      <c r="M45" s="992"/>
      <c r="N45" s="1031" t="str">
        <f>'Calc. sheet'!I3</f>
        <v>A.S. warning</v>
      </c>
      <c r="O45" s="994" t="str">
        <f>'Calc. sheet'!J3</f>
        <v>57 m/s</v>
      </c>
      <c r="P45" s="1106">
        <f>IF(ISERROR(VLOOKUP(H45,Stock_list,1,FALSE)),'Calc. sheet'!K3,"STOCK LIST")</f>
        <v>1</v>
      </c>
      <c r="Q45" s="1107">
        <f>'Calc. sheet'!A34</f>
        <v>33</v>
      </c>
      <c r="R45" s="1103" t="str">
        <f>'Calc. sheet'!C34</f>
        <v>XOE 181-45</v>
      </c>
      <c r="S45" s="994">
        <f>'Calc. sheet'!D34</f>
        <v>1600.1659201387738</v>
      </c>
      <c r="T45" s="1104">
        <f>'Calc. sheet'!E34</f>
        <v>0.78922727872696086</v>
      </c>
      <c r="U45" s="992" t="str">
        <f>'Calc. sheet'!F34</f>
        <v>Reg</v>
      </c>
      <c r="V45" s="1101"/>
      <c r="W45" s="992"/>
      <c r="X45" s="1031" t="str">
        <f>'Calc. sheet'!I34</f>
        <v>A.S.= 17 m/s</v>
      </c>
      <c r="Y45" s="994">
        <f>'Calc. sheet'!J34</f>
        <v>0</v>
      </c>
      <c r="Z45" s="1106">
        <f>IF(ISERROR(VLOOKUP(R45,Stock_list,1,FALSE)),'Calc. sheet'!K34,"STOCK LIST")</f>
        <v>3.4856274602565658</v>
      </c>
    </row>
    <row r="46" spans="1:26" s="994" customFormat="1" ht="15.95" customHeight="1">
      <c r="A46" s="1083" t="s">
        <v>645</v>
      </c>
      <c r="B46" s="1084">
        <f>rpm_OP</f>
        <v>1672.3774886767021</v>
      </c>
      <c r="C46" s="1084" t="s">
        <v>0</v>
      </c>
      <c r="D46" s="1084">
        <f>Max_rev_OP</f>
        <v>3802.8754695346634</v>
      </c>
      <c r="E46" s="1085" t="s">
        <v>0</v>
      </c>
      <c r="G46" s="1102">
        <f>'Calc. sheet'!A4</f>
        <v>3</v>
      </c>
      <c r="H46" s="1103" t="str">
        <f>'Calc. sheet'!C4</f>
        <v>XMP 90-25</v>
      </c>
      <c r="I46" s="994">
        <f>'Calc. sheet'!D4</f>
        <v>3643.9078461311055</v>
      </c>
      <c r="J46" s="1104">
        <f>'Calc. sheet'!E4</f>
        <v>0.5115197138784815</v>
      </c>
      <c r="K46" s="1105" t="str">
        <f>'Calc. sheet'!F4</f>
        <v>Reg</v>
      </c>
      <c r="L46" s="1105"/>
      <c r="M46" s="992"/>
      <c r="N46" s="1031" t="str">
        <f>'Calc. sheet'!I4</f>
        <v>A.S. warning</v>
      </c>
      <c r="O46" s="994" t="str">
        <f>'Calc. sheet'!J4</f>
        <v>57 m/s</v>
      </c>
      <c r="P46" s="1106">
        <f>IF(ISERROR(VLOOKUP(H46,Stock_list,1,FALSE)),'Calc. sheet'!K4,"STOCK LIST")</f>
        <v>1.0212645459696192</v>
      </c>
      <c r="Q46" s="1107">
        <f>'Calc. sheet'!A35</f>
        <v>0</v>
      </c>
      <c r="R46" s="1103">
        <f>'Calc. sheet'!C35</f>
        <v>0</v>
      </c>
      <c r="S46" s="994">
        <f>'Calc. sheet'!D35</f>
        <v>0</v>
      </c>
      <c r="T46" s="1104">
        <f>'Calc. sheet'!E35</f>
        <v>0</v>
      </c>
      <c r="U46" s="992">
        <f>'Calc. sheet'!F35</f>
        <v>0</v>
      </c>
      <c r="V46" s="1101"/>
      <c r="W46" s="992"/>
      <c r="X46" s="1031">
        <f>'Calc. sheet'!I35</f>
        <v>0</v>
      </c>
      <c r="Y46" s="994">
        <f>'Calc. sheet'!J35</f>
        <v>0</v>
      </c>
      <c r="Z46" s="1106">
        <f>IF(ISERROR(VLOOKUP(R46,Stock_list,1,FALSE)),'Calc. sheet'!K35,"STOCK LIST")</f>
        <v>203.06077831429934</v>
      </c>
    </row>
    <row r="47" spans="1:26" s="994" customFormat="1" ht="15.95" customHeight="1">
      <c r="A47" s="1083" t="s">
        <v>213</v>
      </c>
      <c r="B47" s="1084">
        <f>d_2</f>
        <v>1062</v>
      </c>
      <c r="C47" s="1084" t="s">
        <v>203</v>
      </c>
      <c r="D47" s="1084">
        <f>Inlet</f>
        <v>450</v>
      </c>
      <c r="E47" s="1085" t="s">
        <v>203</v>
      </c>
      <c r="F47" s="1021"/>
      <c r="G47" s="1102">
        <f>'Calc. sheet'!A5</f>
        <v>4</v>
      </c>
      <c r="H47" s="1103" t="str">
        <f>'Calc. sheet'!C5</f>
        <v>XMP 90-31A</v>
      </c>
      <c r="I47" s="994">
        <f>'Calc. sheet'!D5</f>
        <v>3242.1372634741952</v>
      </c>
      <c r="J47" s="1104">
        <f>'Calc. sheet'!E5</f>
        <v>0.65781622148943353</v>
      </c>
      <c r="K47" s="1105" t="str">
        <f>'Calc. sheet'!F5</f>
        <v>Reg</v>
      </c>
      <c r="L47" s="1105"/>
      <c r="M47" s="992"/>
      <c r="N47" s="1031" t="str">
        <f>'Calc. sheet'!I5</f>
        <v>A.S. warning</v>
      </c>
      <c r="O47" s="994" t="str">
        <f>'Calc. sheet'!J5</f>
        <v>37 m/s</v>
      </c>
      <c r="P47" s="1106">
        <f>IF(ISERROR(VLOOKUP(H47,Stock_list,1,FALSE)),'Calc. sheet'!K5,"STOCK LIST")</f>
        <v>1.0991722624268288</v>
      </c>
      <c r="Q47" s="1107">
        <f>'Calc. sheet'!A36</f>
        <v>0</v>
      </c>
      <c r="R47" s="1103">
        <f>'Calc. sheet'!C36</f>
        <v>0</v>
      </c>
      <c r="S47" s="994">
        <f>'Calc. sheet'!D36</f>
        <v>0</v>
      </c>
      <c r="T47" s="1104">
        <f>'Calc. sheet'!E36</f>
        <v>0</v>
      </c>
      <c r="U47" s="992">
        <f>'Calc. sheet'!F36</f>
        <v>0</v>
      </c>
      <c r="V47" s="1101"/>
      <c r="W47" s="992"/>
      <c r="X47" s="1031">
        <f>'Calc. sheet'!I36</f>
        <v>0</v>
      </c>
      <c r="Y47" s="994">
        <f>'Calc. sheet'!J36</f>
        <v>0</v>
      </c>
      <c r="Z47" s="1106">
        <f>IF(ISERROR(VLOOKUP(R47,Stock_list,1,FALSE)),'Calc. sheet'!K36,"STOCK LIST")</f>
        <v>203.06077831429934</v>
      </c>
    </row>
    <row r="48" spans="1:26" s="994" customFormat="1" ht="15.95" customHeight="1">
      <c r="A48" s="1023" t="s">
        <v>40</v>
      </c>
      <c r="B48" s="1108">
        <f>rho_med_OP</f>
        <v>1.2050000000000001</v>
      </c>
      <c r="C48" s="1109" t="s">
        <v>30</v>
      </c>
      <c r="D48" s="1110"/>
      <c r="E48" s="1111"/>
      <c r="G48" s="1102">
        <f>'Calc. sheet'!A6</f>
        <v>5</v>
      </c>
      <c r="H48" s="1103" t="str">
        <f>'Calc. sheet'!C6</f>
        <v>XMP 90-31</v>
      </c>
      <c r="I48" s="994">
        <f>'Calc. sheet'!D6</f>
        <v>3242.1372634741952</v>
      </c>
      <c r="J48" s="1104">
        <f>'Calc. sheet'!E6</f>
        <v>0.65781622148943353</v>
      </c>
      <c r="K48" s="1105" t="str">
        <f>'Calc. sheet'!F6</f>
        <v>Reg</v>
      </c>
      <c r="L48" s="1105"/>
      <c r="M48" s="992"/>
      <c r="N48" s="1031" t="str">
        <f>'Calc. sheet'!I6</f>
        <v>A.S. warning</v>
      </c>
      <c r="O48" s="994" t="str">
        <f>'Calc. sheet'!J6</f>
        <v>37 m/s</v>
      </c>
      <c r="P48" s="1106">
        <f>IF(ISERROR(VLOOKUP(H48,Stock_list,1,FALSE)),'Calc. sheet'!K6,"STOCK LIST")</f>
        <v>1.1356257698033192</v>
      </c>
      <c r="Q48" s="1107">
        <f>'Calc. sheet'!A37</f>
        <v>0</v>
      </c>
      <c r="R48" s="1103">
        <f>'Calc. sheet'!C37</f>
        <v>0</v>
      </c>
      <c r="S48" s="994">
        <f>'Calc. sheet'!D37</f>
        <v>0</v>
      </c>
      <c r="T48" s="1104">
        <f>'Calc. sheet'!E37</f>
        <v>0</v>
      </c>
      <c r="U48" s="992">
        <f>'Calc. sheet'!F37</f>
        <v>0</v>
      </c>
      <c r="V48" s="1101"/>
      <c r="W48" s="992"/>
      <c r="X48" s="1031">
        <f>'Calc. sheet'!I37</f>
        <v>0</v>
      </c>
      <c r="Y48" s="994">
        <f>'Calc. sheet'!J37</f>
        <v>0</v>
      </c>
      <c r="Z48" s="1106">
        <f>IF(ISERROR(VLOOKUP(R48,Stock_list,1,FALSE)),'Calc. sheet'!K37,"STOCK LIST")</f>
        <v>203.06077831429934</v>
      </c>
    </row>
    <row r="49" spans="1:26" s="994" customFormat="1" ht="15.95" customHeight="1">
      <c r="A49" s="1023" t="s">
        <v>137</v>
      </c>
      <c r="B49" s="1108">
        <f>rho_med_20</f>
        <v>1.2050000000000001</v>
      </c>
      <c r="C49" s="1109" t="s">
        <v>30</v>
      </c>
      <c r="D49" s="1110"/>
      <c r="E49" s="1111"/>
      <c r="G49" s="1102">
        <f>'Calc. sheet'!A7</f>
        <v>6</v>
      </c>
      <c r="H49" s="1103" t="str">
        <f>'Calc. sheet'!C7</f>
        <v>XMP 90-31B</v>
      </c>
      <c r="I49" s="994">
        <f>'Calc. sheet'!D7</f>
        <v>3242.1372634741952</v>
      </c>
      <c r="J49" s="1104">
        <f>'Calc. sheet'!E7</f>
        <v>0.65781622148943397</v>
      </c>
      <c r="K49" s="1105" t="str">
        <f>'Calc. sheet'!F7</f>
        <v>Reg</v>
      </c>
      <c r="L49" s="1105"/>
      <c r="M49" s="992"/>
      <c r="N49" s="1031" t="str">
        <f>'Calc. sheet'!I7</f>
        <v>A.S. warning</v>
      </c>
      <c r="O49" s="994" t="str">
        <f>'Calc. sheet'!J7</f>
        <v>37 m/s</v>
      </c>
      <c r="P49" s="1106">
        <f>IF(ISERROR(VLOOKUP(H49,Stock_list,1,FALSE)),'Calc. sheet'!K7,"STOCK LIST")</f>
        <v>1.1438489286678506</v>
      </c>
      <c r="Q49" s="1107">
        <f>'Calc. sheet'!A38</f>
        <v>0</v>
      </c>
      <c r="R49" s="1103">
        <f>'Calc. sheet'!C38</f>
        <v>0</v>
      </c>
      <c r="S49" s="994">
        <f>'Calc. sheet'!D38</f>
        <v>0</v>
      </c>
      <c r="T49" s="1104">
        <f>'Calc. sheet'!E38</f>
        <v>0</v>
      </c>
      <c r="U49" s="992">
        <f>'Calc. sheet'!F38</f>
        <v>0</v>
      </c>
      <c r="V49" s="1101"/>
      <c r="W49" s="992"/>
      <c r="X49" s="1031">
        <f>'Calc. sheet'!I38</f>
        <v>0</v>
      </c>
      <c r="Y49" s="994">
        <f>'Calc. sheet'!J38</f>
        <v>0</v>
      </c>
      <c r="Z49" s="1106">
        <f>IF(ISERROR(VLOOKUP(R49,Stock_list,1,FALSE)),'Calc. sheet'!K38,"STOCK LIST")</f>
        <v>203.06077831429934</v>
      </c>
    </row>
    <row r="50" spans="1:26" s="994" customFormat="1" ht="15.95" customHeight="1">
      <c r="A50" s="1023" t="s">
        <v>173</v>
      </c>
      <c r="B50" s="1112">
        <f>$D$43*$D$45/1000</f>
        <v>19.444444444444446</v>
      </c>
      <c r="C50" s="1020" t="s">
        <v>115</v>
      </c>
      <c r="D50" s="1113">
        <f>Eff_OP</f>
        <v>0.85827274783057184</v>
      </c>
      <c r="E50" s="1050"/>
      <c r="G50" s="1102">
        <f>'Calc. sheet'!A8</f>
        <v>7</v>
      </c>
      <c r="H50" s="1103" t="str">
        <f>'Calc. sheet'!C8</f>
        <v>XMP 90-35A</v>
      </c>
      <c r="I50" s="994">
        <f>'Calc. sheet'!D8</f>
        <v>3108.1816806874131</v>
      </c>
      <c r="J50" s="1104">
        <f>'Calc. sheet'!E8</f>
        <v>0.67699589844942432</v>
      </c>
      <c r="K50" s="1105" t="str">
        <f>'Calc. sheet'!F8</f>
        <v>Reg</v>
      </c>
      <c r="L50" s="1105"/>
      <c r="M50" s="992"/>
      <c r="N50" s="1031" t="str">
        <f>'Calc. sheet'!I8</f>
        <v>A.S.= 29 m/s</v>
      </c>
      <c r="O50" s="994">
        <f>'Calc. sheet'!J8</f>
        <v>0</v>
      </c>
      <c r="P50" s="1106">
        <f>IF(ISERROR(VLOOKUP(H50,Stock_list,1,FALSE)),'Calc. sheet'!K8,"STOCK LIST")</f>
        <v>1.1440446820657506</v>
      </c>
      <c r="Q50" s="1107">
        <f>'Calc. sheet'!A39</f>
        <v>0</v>
      </c>
      <c r="R50" s="1103">
        <f>'Calc. sheet'!C39</f>
        <v>0</v>
      </c>
      <c r="S50" s="994">
        <f>'Calc. sheet'!D39</f>
        <v>0</v>
      </c>
      <c r="T50" s="1104">
        <f>'Calc. sheet'!E39</f>
        <v>0</v>
      </c>
      <c r="U50" s="992">
        <f>'Calc. sheet'!F39</f>
        <v>0</v>
      </c>
      <c r="V50" s="1101"/>
      <c r="W50" s="992"/>
      <c r="X50" s="1031">
        <f>'Calc. sheet'!I39</f>
        <v>0</v>
      </c>
      <c r="Y50" s="994">
        <f>'Calc. sheet'!J39</f>
        <v>0</v>
      </c>
      <c r="Z50" s="1106">
        <f>IF(ISERROR(VLOOKUP(R50,Stock_list,1,FALSE)),'Calc. sheet'!K39,"STOCK LIST")</f>
        <v>203.06077831429934</v>
      </c>
    </row>
    <row r="51" spans="1:26" s="994" customFormat="1" ht="15.95" customHeight="1" thickBot="1">
      <c r="A51" s="1114" t="s">
        <v>174</v>
      </c>
      <c r="B51" s="1112">
        <f>Shaft_Power_OP</f>
        <v>22.655320809839917</v>
      </c>
      <c r="C51" s="1115" t="s">
        <v>115</v>
      </c>
      <c r="D51" s="1116">
        <f>Shaft_Power_OP/(2*PI()*Sel_Fan_rev/60)</f>
        <v>0.12936216800209799</v>
      </c>
      <c r="E51" s="1117" t="s">
        <v>172</v>
      </c>
      <c r="G51" s="1102">
        <f>'Calc. sheet'!A9</f>
        <v>8</v>
      </c>
      <c r="H51" s="1103" t="str">
        <f>'Calc. sheet'!C9</f>
        <v>XOE 96-35</v>
      </c>
      <c r="I51" s="994">
        <f>'Calc. sheet'!D9</f>
        <v>3689.4147087578035</v>
      </c>
      <c r="J51" s="1104">
        <f>'Calc. sheet'!E9</f>
        <v>0.85473388930663108</v>
      </c>
      <c r="K51" s="1105" t="str">
        <f>'Calc. sheet'!F9</f>
        <v>Reg</v>
      </c>
      <c r="L51" s="1105"/>
      <c r="M51" s="992"/>
      <c r="N51" s="1031" t="str">
        <f>'Calc. sheet'!I9</f>
        <v>A.S.= 29 m/s</v>
      </c>
      <c r="O51" s="994">
        <f>'Calc. sheet'!J9</f>
        <v>0</v>
      </c>
      <c r="P51" s="1106">
        <f>IF(ISERROR(VLOOKUP(H51,Stock_list,1,FALSE)),'Calc. sheet'!K9,"STOCK LIST")</f>
        <v>1.1607964200092948</v>
      </c>
      <c r="Q51" s="1107">
        <f>'Calc. sheet'!A40</f>
        <v>0</v>
      </c>
      <c r="R51" s="1103">
        <f>'Calc. sheet'!C40</f>
        <v>0</v>
      </c>
      <c r="S51" s="994">
        <f>'Calc. sheet'!D40</f>
        <v>0</v>
      </c>
      <c r="T51" s="1104">
        <f>'Calc. sheet'!E40</f>
        <v>0</v>
      </c>
      <c r="U51" s="992">
        <f>'Calc. sheet'!F40</f>
        <v>0</v>
      </c>
      <c r="V51" s="1101"/>
      <c r="W51" s="992"/>
      <c r="X51" s="1031">
        <f>'Calc. sheet'!I40</f>
        <v>0</v>
      </c>
      <c r="Y51" s="994">
        <f>'Calc. sheet'!J40</f>
        <v>0</v>
      </c>
      <c r="Z51" s="1106">
        <f>IF(ISERROR(VLOOKUP(R51,Stock_list,1,FALSE)),'Calc. sheet'!K40,"STOCK LIST")</f>
        <v>203.06077831429934</v>
      </c>
    </row>
    <row r="52" spans="1:26" s="994" customFormat="1" ht="15.95" customHeight="1">
      <c r="A52" s="1383" t="s">
        <v>60</v>
      </c>
      <c r="B52" s="1384"/>
      <c r="C52" s="1384"/>
      <c r="D52" s="1384"/>
      <c r="E52" s="1385"/>
      <c r="F52" s="1041"/>
      <c r="G52" s="1102">
        <f>'Calc. sheet'!A10</f>
        <v>9</v>
      </c>
      <c r="H52" s="1103" t="str">
        <f>'Calc. sheet'!C10</f>
        <v>XMP 90-35B</v>
      </c>
      <c r="I52" s="994">
        <f>'Calc. sheet'!D10</f>
        <v>3108.1816806874131</v>
      </c>
      <c r="J52" s="1104">
        <f>'Calc. sheet'!E10</f>
        <v>0.67699589844942432</v>
      </c>
      <c r="K52" s="1105" t="str">
        <f>'Calc. sheet'!F10</f>
        <v>Reg</v>
      </c>
      <c r="L52" s="1105"/>
      <c r="M52" s="992"/>
      <c r="N52" s="1031" t="str">
        <f>'Calc. sheet'!I10</f>
        <v>A.S.= 29 m/s</v>
      </c>
      <c r="O52" s="994">
        <f>'Calc. sheet'!J10</f>
        <v>0</v>
      </c>
      <c r="P52" s="1106">
        <f>IF(ISERROR(VLOOKUP(H52,Stock_list,1,FALSE)),'Calc. sheet'!K10,"STOCK LIST")</f>
        <v>1.1653092280353701</v>
      </c>
      <c r="Q52" s="1107">
        <f>'Calc. sheet'!A41</f>
        <v>0</v>
      </c>
      <c r="R52" s="1103">
        <f>'Calc. sheet'!C41</f>
        <v>0</v>
      </c>
      <c r="S52" s="994">
        <f>'Calc. sheet'!D41</f>
        <v>0</v>
      </c>
      <c r="T52" s="1104">
        <f>'Calc. sheet'!E41</f>
        <v>0</v>
      </c>
      <c r="U52" s="992">
        <f>'Calc. sheet'!F41</f>
        <v>0</v>
      </c>
      <c r="V52" s="1101"/>
      <c r="W52" s="992"/>
      <c r="X52" s="1031">
        <f>'Calc. sheet'!I41</f>
        <v>0</v>
      </c>
      <c r="Y52" s="994">
        <f>'Calc. sheet'!J41</f>
        <v>0</v>
      </c>
      <c r="Z52" s="1106">
        <f>IF(ISERROR(VLOOKUP(R52,Stock_list,1,FALSE)),'Calc. sheet'!K41,"STOCK LIST")</f>
        <v>203.06077831429934</v>
      </c>
    </row>
    <row r="53" spans="1:26" s="994" customFormat="1" ht="15.95" customHeight="1" thickBot="1">
      <c r="A53" s="1386" t="s">
        <v>61</v>
      </c>
      <c r="B53" s="1387"/>
      <c r="C53" s="1387"/>
      <c r="D53" s="1387"/>
      <c r="E53" s="1388"/>
      <c r="G53" s="1102">
        <f>'Calc. sheet'!A11</f>
        <v>10</v>
      </c>
      <c r="H53" s="1103" t="str">
        <f>'Calc. sheet'!C11</f>
        <v>XMP 90-35</v>
      </c>
      <c r="I53" s="994">
        <f>'Calc. sheet'!D11</f>
        <v>3108.1816806874131</v>
      </c>
      <c r="J53" s="1104">
        <f>'Calc. sheet'!E11</f>
        <v>0.67699589844942432</v>
      </c>
      <c r="K53" s="1105" t="str">
        <f>'Calc. sheet'!F11</f>
        <v>Reg</v>
      </c>
      <c r="L53" s="1105"/>
      <c r="M53" s="992"/>
      <c r="N53" s="1031" t="str">
        <f>'Calc. sheet'!I11</f>
        <v>A.S.= 29 m/s</v>
      </c>
      <c r="O53" s="994">
        <f>'Calc. sheet'!J11</f>
        <v>0</v>
      </c>
      <c r="P53" s="1106">
        <f>IF(ISERROR(VLOOKUP(H53,Stock_list,1,FALSE)),'Calc. sheet'!K11,"STOCK LIST")</f>
        <v>1.1804981894422413</v>
      </c>
      <c r="Q53" s="1107">
        <f>'Calc. sheet'!A42</f>
        <v>0</v>
      </c>
      <c r="R53" s="1103">
        <f>'Calc. sheet'!C42</f>
        <v>0</v>
      </c>
      <c r="S53" s="994">
        <f>'Calc. sheet'!D42</f>
        <v>0</v>
      </c>
      <c r="T53" s="1104">
        <f>'Calc. sheet'!E42</f>
        <v>0</v>
      </c>
      <c r="U53" s="992">
        <f>'Calc. sheet'!F42</f>
        <v>0</v>
      </c>
      <c r="V53" s="1101"/>
      <c r="W53" s="992"/>
      <c r="X53" s="1031">
        <f>'Calc. sheet'!I42</f>
        <v>0</v>
      </c>
      <c r="Y53" s="994">
        <f>'Calc. sheet'!J42</f>
        <v>0</v>
      </c>
      <c r="Z53" s="1106">
        <f>IF(ISERROR(VLOOKUP(R53,Stock_list,1,FALSE)),'Calc. sheet'!K42,"STOCK LIST")</f>
        <v>203.06077831429934</v>
      </c>
    </row>
    <row r="54" spans="1:26" s="994" customFormat="1" ht="15.95" customHeight="1">
      <c r="A54" s="1080" t="s">
        <v>127</v>
      </c>
      <c r="B54" s="1081">
        <v>0</v>
      </c>
      <c r="C54" s="1081" t="s">
        <v>16</v>
      </c>
      <c r="D54" s="1081">
        <f>g*B54</f>
        <v>0</v>
      </c>
      <c r="E54" s="1082" t="s">
        <v>17</v>
      </c>
      <c r="G54" s="1102">
        <f>'Calc. sheet'!A12</f>
        <v>11</v>
      </c>
      <c r="H54" s="1103" t="str">
        <f>'Calc. sheet'!C12</f>
        <v>XMP 98-31</v>
      </c>
      <c r="I54" s="994">
        <f>'Calc. sheet'!D12</f>
        <v>2826.2934715348752</v>
      </c>
      <c r="J54" s="1104">
        <f>'Calc. sheet'!E12</f>
        <v>0.70575566000187451</v>
      </c>
      <c r="K54" s="1105" t="str">
        <f>'Calc. sheet'!F12</f>
        <v>Reg</v>
      </c>
      <c r="L54" s="1105"/>
      <c r="M54" s="992"/>
      <c r="N54" s="1031" t="str">
        <f>'Calc. sheet'!I12</f>
        <v>A.S. warning</v>
      </c>
      <c r="O54" s="994" t="str">
        <f>'Calc. sheet'!J12</f>
        <v>37 m/s</v>
      </c>
      <c r="P54" s="1106">
        <f>IF(ISERROR(VLOOKUP(H54,Stock_list,1,FALSE)),'Calc. sheet'!K12,"STOCK LIST")</f>
        <v>1.2799180945155932</v>
      </c>
      <c r="Q54" s="1107">
        <f>'Calc. sheet'!A43</f>
        <v>0</v>
      </c>
      <c r="R54" s="1103">
        <f>'Calc. sheet'!C43</f>
        <v>0</v>
      </c>
      <c r="S54" s="994">
        <f>'Calc. sheet'!D43</f>
        <v>0</v>
      </c>
      <c r="T54" s="1104">
        <f>'Calc. sheet'!E43</f>
        <v>0</v>
      </c>
      <c r="U54" s="992">
        <f>'Calc. sheet'!F43</f>
        <v>0</v>
      </c>
      <c r="V54" s="1101"/>
      <c r="W54" s="992"/>
      <c r="X54" s="1031">
        <f>'Calc. sheet'!I43</f>
        <v>0</v>
      </c>
      <c r="Y54" s="994">
        <f>'Calc. sheet'!J43</f>
        <v>0</v>
      </c>
      <c r="Z54" s="1106">
        <f>IF(ISERROR(VLOOKUP(R54,Stock_list,1,FALSE)),'Calc. sheet'!K43,"STOCK LIST")</f>
        <v>203.06077831429934</v>
      </c>
    </row>
    <row r="55" spans="1:26" s="994" customFormat="1" ht="15.95" customHeight="1">
      <c r="A55" s="1118" t="str">
        <f>'Fan Type Calc.'!A59</f>
        <v>P statisk std.</v>
      </c>
      <c r="B55" s="1084">
        <f>IF(Boss_Units="Pa",1/g,1)*P_std_stat</f>
        <v>695.03516367298914</v>
      </c>
      <c r="C55" s="1084" t="s">
        <v>16</v>
      </c>
      <c r="D55" s="1119">
        <f>g*B55</f>
        <v>6816.2098501410046</v>
      </c>
      <c r="E55" s="1120" t="s">
        <v>17</v>
      </c>
      <c r="G55" s="1102">
        <f>'Calc. sheet'!A13</f>
        <v>12</v>
      </c>
      <c r="H55" s="1103" t="str">
        <f>'Calc. sheet'!C13</f>
        <v>XMP 98-35</v>
      </c>
      <c r="I55" s="994">
        <f>'Calc. sheet'!D13</f>
        <v>2713.6453609783889</v>
      </c>
      <c r="J55" s="1104">
        <f>'Calc. sheet'!E13</f>
        <v>0.67692506510895234</v>
      </c>
      <c r="K55" s="1105" t="str">
        <f>'Calc. sheet'!F13</f>
        <v>Reg</v>
      </c>
      <c r="L55" s="1105"/>
      <c r="M55" s="992"/>
      <c r="N55" s="1031" t="str">
        <f>'Calc. sheet'!I13</f>
        <v>A.S.= 29 m/s</v>
      </c>
      <c r="O55" s="994">
        <f>'Calc. sheet'!J13</f>
        <v>0</v>
      </c>
      <c r="P55" s="1106">
        <f>IF(ISERROR(VLOOKUP(H55,Stock_list,1,FALSE)),'Calc. sheet'!K13,"STOCK LIST")</f>
        <v>1.2945040363439286</v>
      </c>
      <c r="Q55" s="1107">
        <f>'Calc. sheet'!A44</f>
        <v>0</v>
      </c>
      <c r="R55" s="1103">
        <f>'Calc. sheet'!C44</f>
        <v>0</v>
      </c>
      <c r="S55" s="994">
        <f>'Calc. sheet'!D44</f>
        <v>0</v>
      </c>
      <c r="T55" s="1104">
        <f>'Calc. sheet'!E44</f>
        <v>0</v>
      </c>
      <c r="U55" s="992">
        <f>'Calc. sheet'!F44</f>
        <v>0</v>
      </c>
      <c r="V55" s="1101"/>
      <c r="W55" s="992"/>
      <c r="X55" s="1031">
        <f>'Calc. sheet'!I44</f>
        <v>0</v>
      </c>
      <c r="Y55" s="994">
        <f>'Calc. sheet'!J44</f>
        <v>0</v>
      </c>
      <c r="Z55" s="1106">
        <f>IF(ISERROR(VLOOKUP(R55,Stock_list,1,FALSE)),'Calc. sheet'!K44,"STOCK LIST")</f>
        <v>203.06077831429934</v>
      </c>
    </row>
    <row r="56" spans="1:26" s="994" customFormat="1" ht="15.95" customHeight="1">
      <c r="A56" s="1118" t="str">
        <f>'Fan Type Calc.'!A60</f>
        <v>P total std</v>
      </c>
      <c r="B56" s="1084">
        <f>IF(Boss_Units="Pa",1/g,1)*P_std_tot</f>
        <v>713.77587437544605</v>
      </c>
      <c r="C56" s="1084" t="s">
        <v>16</v>
      </c>
      <c r="D56" s="1119">
        <f>g*B56</f>
        <v>7000</v>
      </c>
      <c r="E56" s="1120" t="s">
        <v>17</v>
      </c>
      <c r="F56" s="1121"/>
      <c r="G56" s="1102">
        <f>'Calc. sheet'!A14</f>
        <v>13</v>
      </c>
      <c r="H56" s="1103" t="str">
        <f>'Calc. sheet'!C14</f>
        <v>XOE 116-35</v>
      </c>
      <c r="I56" s="994">
        <f>'Calc. sheet'!D14</f>
        <v>2770.6286734032878</v>
      </c>
      <c r="J56" s="1104">
        <f>'Calc. sheet'!E14</f>
        <v>0.81178349536114836</v>
      </c>
      <c r="K56" s="1105" t="str">
        <f>'Calc. sheet'!F14</f>
        <v>Reg</v>
      </c>
      <c r="L56" s="1105"/>
      <c r="M56" s="992"/>
      <c r="N56" s="1031" t="str">
        <f>'Calc. sheet'!I14</f>
        <v>A.S.= 29 m/s</v>
      </c>
      <c r="O56" s="994">
        <f>'Calc. sheet'!J14</f>
        <v>0</v>
      </c>
      <c r="P56" s="1106">
        <f>IF(ISERROR(VLOOKUP(H56,Stock_list,1,FALSE)),'Calc. sheet'!K14,"STOCK LIST")</f>
        <v>1.5013046498205218</v>
      </c>
      <c r="Q56" s="1107">
        <f>'Calc. sheet'!A45</f>
        <v>0</v>
      </c>
      <c r="R56" s="1103">
        <f>'Calc. sheet'!C45</f>
        <v>0</v>
      </c>
      <c r="S56" s="994">
        <f>'Calc. sheet'!D45</f>
        <v>0</v>
      </c>
      <c r="T56" s="1104">
        <f>'Calc. sheet'!E45</f>
        <v>0</v>
      </c>
      <c r="U56" s="992">
        <f>'Calc. sheet'!F45</f>
        <v>0</v>
      </c>
      <c r="V56" s="1101"/>
      <c r="W56" s="992"/>
      <c r="X56" s="1031">
        <f>'Calc. sheet'!I45</f>
        <v>0</v>
      </c>
      <c r="Y56" s="994">
        <f>'Calc. sheet'!J45</f>
        <v>0</v>
      </c>
      <c r="Z56" s="1106">
        <f>IF(ISERROR(VLOOKUP(R56,Stock_list,1,FALSE)),'Calc. sheet'!K45,"STOCK LIST")</f>
        <v>203.06077831429934</v>
      </c>
    </row>
    <row r="57" spans="1:26" s="994" customFormat="1" ht="15.95" customHeight="1">
      <c r="A57" s="1118" t="str">
        <f>'Fan Type Calc.'!A61</f>
        <v>Op. Temp.</v>
      </c>
      <c r="B57" s="1084">
        <f>20</f>
        <v>20</v>
      </c>
      <c r="C57" s="1084" t="s">
        <v>21</v>
      </c>
      <c r="D57" s="1084">
        <f>T_std+273.14</f>
        <v>293.14</v>
      </c>
      <c r="E57" s="1120" t="s">
        <v>22</v>
      </c>
      <c r="F57" s="1122"/>
      <c r="G57" s="1102">
        <f>'Calc. sheet'!A15</f>
        <v>14</v>
      </c>
      <c r="H57" s="1103" t="str">
        <f>'Calc. sheet'!C15</f>
        <v>XOE 111-50</v>
      </c>
      <c r="I57" s="994">
        <f>'Calc. sheet'!D15</f>
        <v>3069.2262304698233</v>
      </c>
      <c r="J57" s="1104">
        <f>'Calc. sheet'!E15</f>
        <v>0.86382457678112212</v>
      </c>
      <c r="K57" s="1105" t="str">
        <f>'Calc. sheet'!F15</f>
        <v>Reg</v>
      </c>
      <c r="L57" s="1105"/>
      <c r="M57" s="992"/>
      <c r="N57" s="1031" t="str">
        <f>'Calc. sheet'!I15</f>
        <v>O.P. warning</v>
      </c>
      <c r="O57" s="994">
        <f>'Calc. sheet'!J15</f>
        <v>0</v>
      </c>
      <c r="P57" s="1106">
        <f>IF(ISERROR(VLOOKUP(H57,Stock_list,1,FALSE)),'Calc. sheet'!K15,"STOCK LIST")</f>
        <v>1.5960460192727226</v>
      </c>
      <c r="Q57" s="1107">
        <f>'Calc. sheet'!A46</f>
        <v>0</v>
      </c>
      <c r="R57" s="1103">
        <f>'Calc. sheet'!C46</f>
        <v>0</v>
      </c>
      <c r="S57" s="994">
        <f>'Calc. sheet'!D46</f>
        <v>0</v>
      </c>
      <c r="T57" s="1104">
        <f>'Calc. sheet'!E46</f>
        <v>0</v>
      </c>
      <c r="U57" s="992">
        <f>'Calc. sheet'!F46</f>
        <v>0</v>
      </c>
      <c r="V57" s="1101"/>
      <c r="W57" s="992"/>
      <c r="X57" s="1031">
        <f>'Calc. sheet'!I46</f>
        <v>0</v>
      </c>
      <c r="Y57" s="994">
        <f>'Calc. sheet'!J46</f>
        <v>0</v>
      </c>
      <c r="Z57" s="1106">
        <f>IF(ISERROR(VLOOKUP(R57,Stock_list,1,FALSE)),'Calc. sheet'!K46,"STOCK LIST")</f>
        <v>203.06077831429934</v>
      </c>
    </row>
    <row r="58" spans="1:26" s="994" customFormat="1" ht="15.95" customHeight="1">
      <c r="A58" s="1118" t="str">
        <f>'Fan Type Calc.'!A63</f>
        <v>Q</v>
      </c>
      <c r="B58" s="1084">
        <f>Q</f>
        <v>10000</v>
      </c>
      <c r="C58" s="1084" t="s">
        <v>24</v>
      </c>
      <c r="D58" s="1119">
        <f>Q/3600</f>
        <v>2.7777777777777777</v>
      </c>
      <c r="E58" s="1120" t="s">
        <v>25</v>
      </c>
      <c r="F58" s="1122"/>
      <c r="G58" s="1102">
        <f>'Calc. sheet'!A16</f>
        <v>15</v>
      </c>
      <c r="H58" s="1103" t="str">
        <f>'Calc. sheet'!C16</f>
        <v>XMP 123-25</v>
      </c>
      <c r="I58" s="994">
        <f>'Calc. sheet'!D16</f>
        <v>2900.8490895054006</v>
      </c>
      <c r="J58" s="1104">
        <f>'Calc. sheet'!E16</f>
        <v>0.48864421335549169</v>
      </c>
      <c r="K58" s="1105" t="str">
        <f>'Calc. sheet'!F16</f>
        <v>Reg</v>
      </c>
      <c r="L58" s="1105"/>
      <c r="M58" s="992"/>
      <c r="N58" s="1031" t="str">
        <f>'Calc. sheet'!I16</f>
        <v>O.P. warning</v>
      </c>
      <c r="O58" s="994">
        <f>'Calc. sheet'!J16</f>
        <v>0</v>
      </c>
      <c r="P58" s="1106">
        <f>IF(ISERROR(VLOOKUP(H58,Stock_list,1,FALSE)),'Calc. sheet'!K16,"STOCK LIST")</f>
        <v>1.6146997722666636</v>
      </c>
      <c r="Q58" s="1107">
        <f>'Calc. sheet'!A47</f>
        <v>0</v>
      </c>
      <c r="R58" s="1103">
        <f>'Calc. sheet'!C47</f>
        <v>0</v>
      </c>
      <c r="S58" s="994">
        <f>'Calc. sheet'!D47</f>
        <v>0</v>
      </c>
      <c r="T58" s="1104">
        <f>'Calc. sheet'!E47</f>
        <v>0</v>
      </c>
      <c r="U58" s="992">
        <f>'Calc. sheet'!F47</f>
        <v>0</v>
      </c>
      <c r="V58" s="1101"/>
      <c r="W58" s="992"/>
      <c r="X58" s="1031">
        <f>'Calc. sheet'!I47</f>
        <v>0</v>
      </c>
      <c r="Y58" s="994">
        <f>'Calc. sheet'!J47</f>
        <v>0</v>
      </c>
      <c r="Z58" s="1106">
        <f>IF(ISERROR(VLOOKUP(R58,Stock_list,1,FALSE)),'Calc. sheet'!K47,"STOCK LIST")</f>
        <v>203.06077831429934</v>
      </c>
    </row>
    <row r="59" spans="1:26" s="994" customFormat="1" ht="15.95" customHeight="1">
      <c r="A59" s="1118" t="s">
        <v>646</v>
      </c>
      <c r="B59" s="1084">
        <f>rpm_OP</f>
        <v>1672.3774886767021</v>
      </c>
      <c r="C59" s="1084" t="s">
        <v>0</v>
      </c>
      <c r="D59" s="1084">
        <f>Max_rev_SC</f>
        <v>4000</v>
      </c>
      <c r="E59" s="1085" t="s">
        <v>0</v>
      </c>
      <c r="F59" s="1122"/>
      <c r="G59" s="1102">
        <f>'Calc. sheet'!A17</f>
        <v>16</v>
      </c>
      <c r="H59" s="1103" t="str">
        <f>'Calc. sheet'!C17</f>
        <v>XOE 115-49</v>
      </c>
      <c r="I59" s="994">
        <f>'Calc. sheet'!D17</f>
        <v>3381.2770876824429</v>
      </c>
      <c r="J59" s="1104">
        <f>'Calc. sheet'!E17</f>
        <v>0.84457309592917607</v>
      </c>
      <c r="K59" s="1105" t="str">
        <f>'Calc. sheet'!F17</f>
        <v>Reg</v>
      </c>
      <c r="L59" s="1105"/>
      <c r="M59" s="992"/>
      <c r="N59" s="1031" t="str">
        <f>'Calc. sheet'!I17</f>
        <v>A.S. warning</v>
      </c>
      <c r="O59" s="994" t="str">
        <f>'Calc. sheet'!J17</f>
        <v>15 m/s</v>
      </c>
      <c r="P59" s="1106">
        <f>IF(ISERROR(VLOOKUP(H59,Stock_list,1,FALSE)),'Calc. sheet'!K17,"STOCK LIST")</f>
        <v>1.6377305862344798</v>
      </c>
      <c r="Q59" s="1107">
        <f>'Calc. sheet'!A48</f>
        <v>0</v>
      </c>
      <c r="R59" s="1103">
        <f>'Calc. sheet'!C48</f>
        <v>0</v>
      </c>
      <c r="S59" s="994">
        <f>'Calc. sheet'!D48</f>
        <v>0</v>
      </c>
      <c r="T59" s="1104">
        <f>'Calc. sheet'!E48</f>
        <v>0</v>
      </c>
      <c r="U59" s="992">
        <f>'Calc. sheet'!F48</f>
        <v>0</v>
      </c>
      <c r="V59" s="1101"/>
      <c r="W59" s="992"/>
      <c r="X59" s="1031">
        <f>'Calc. sheet'!I48</f>
        <v>0</v>
      </c>
      <c r="Y59" s="994">
        <f>'Calc. sheet'!J48</f>
        <v>0</v>
      </c>
      <c r="Z59" s="1106">
        <f>IF(ISERROR(VLOOKUP(R59,Stock_list,1,FALSE)),'Calc. sheet'!K48,"STOCK LIST")</f>
        <v>203.06077831429934</v>
      </c>
    </row>
    <row r="60" spans="1:26" s="994" customFormat="1" ht="15.95" customHeight="1">
      <c r="A60" s="1083" t="s">
        <v>213</v>
      </c>
      <c r="B60" s="1084">
        <f>d_2</f>
        <v>1062</v>
      </c>
      <c r="C60" s="1084" t="s">
        <v>203</v>
      </c>
      <c r="D60" s="1084">
        <f>Inlet</f>
        <v>450</v>
      </c>
      <c r="E60" s="1085" t="s">
        <v>203</v>
      </c>
      <c r="F60" s="1122"/>
      <c r="G60" s="1102">
        <f>'Calc. sheet'!A18</f>
        <v>17</v>
      </c>
      <c r="H60" s="1103" t="str">
        <f>'Calc. sheet'!C18</f>
        <v>XOE 116-40</v>
      </c>
      <c r="I60" s="994">
        <f>'Calc. sheet'!D18</f>
        <v>2759.2078270401316</v>
      </c>
      <c r="J60" s="1104">
        <f>'Calc. sheet'!E18</f>
        <v>0.83428047130529737</v>
      </c>
      <c r="K60" s="1105" t="str">
        <f>'Calc. sheet'!F18</f>
        <v>Reg</v>
      </c>
      <c r="L60" s="1105"/>
      <c r="M60" s="992"/>
      <c r="N60" s="1031" t="str">
        <f>'Calc. sheet'!I18</f>
        <v>A.S.= 22 m/s</v>
      </c>
      <c r="O60" s="994">
        <f>'Calc. sheet'!J18</f>
        <v>0</v>
      </c>
      <c r="P60" s="1106">
        <f>IF(ISERROR(VLOOKUP(H60,Stock_list,1,FALSE)),'Calc. sheet'!K18,"STOCK LIST")</f>
        <v>1.6437748997452757</v>
      </c>
      <c r="Q60" s="1107">
        <f>'Calc. sheet'!A49</f>
        <v>0</v>
      </c>
      <c r="R60" s="1103">
        <f>'Calc. sheet'!C49</f>
        <v>0</v>
      </c>
      <c r="S60" s="994">
        <f>'Calc. sheet'!D49</f>
        <v>0</v>
      </c>
      <c r="T60" s="1104">
        <f>'Calc. sheet'!E49</f>
        <v>0</v>
      </c>
      <c r="U60" s="992">
        <f>'Calc. sheet'!F49</f>
        <v>0</v>
      </c>
      <c r="V60" s="1101"/>
      <c r="W60" s="992"/>
      <c r="X60" s="1031">
        <f>'Calc. sheet'!I49</f>
        <v>0</v>
      </c>
      <c r="Y60" s="994">
        <f>'Calc. sheet'!J49</f>
        <v>0</v>
      </c>
      <c r="Z60" s="1106">
        <f>IF(ISERROR(VLOOKUP(R60,Stock_list,1,FALSE)),'Calc. sheet'!K49,"STOCK LIST")</f>
        <v>203.06077831429934</v>
      </c>
    </row>
    <row r="61" spans="1:26" s="994" customFormat="1" ht="15.95" customHeight="1">
      <c r="A61" s="1118" t="str">
        <f>'Fan Type Calc.'!A68</f>
        <v>Dry Air Density @ Std. Press (101325) / 20C</v>
      </c>
      <c r="B61" s="1108">
        <v>1.2050000000000001</v>
      </c>
      <c r="C61" s="1109" t="s">
        <v>30</v>
      </c>
      <c r="D61" s="1109"/>
      <c r="E61" s="1111"/>
      <c r="F61" s="1122"/>
      <c r="G61" s="1102">
        <f>'Calc. sheet'!A19</f>
        <v>18</v>
      </c>
      <c r="H61" s="1103" t="str">
        <f>'Calc. sheet'!C19</f>
        <v>XMP 123-31</v>
      </c>
      <c r="I61" s="994">
        <f>'Calc. sheet'!D19</f>
        <v>2344.2889981444041</v>
      </c>
      <c r="J61" s="1104">
        <f>'Calc. sheet'!E19</f>
        <v>0.62278862052470463</v>
      </c>
      <c r="K61" s="1105" t="str">
        <f>'Calc. sheet'!F19</f>
        <v>Reg</v>
      </c>
      <c r="L61" s="1105"/>
      <c r="M61" s="992"/>
      <c r="N61" s="1031" t="str">
        <f>'Calc. sheet'!I19</f>
        <v>A.S. warning</v>
      </c>
      <c r="O61" s="994" t="str">
        <f>'Calc. sheet'!J19</f>
        <v>37 m/s</v>
      </c>
      <c r="P61" s="1106">
        <f>IF(ISERROR(VLOOKUP(H61,Stock_list,1,FALSE)),'Calc. sheet'!K19,"STOCK LIST")</f>
        <v>1.71012843864335</v>
      </c>
      <c r="Q61" s="1107">
        <f>'Calc. sheet'!A50</f>
        <v>0</v>
      </c>
      <c r="R61" s="1103">
        <f>'Calc. sheet'!C50</f>
        <v>0</v>
      </c>
      <c r="S61" s="994">
        <f>'Calc. sheet'!D50</f>
        <v>0</v>
      </c>
      <c r="T61" s="1104">
        <f>'Calc. sheet'!E50</f>
        <v>0</v>
      </c>
      <c r="U61" s="992">
        <f>'Calc. sheet'!F50</f>
        <v>0</v>
      </c>
      <c r="V61" s="1101"/>
      <c r="W61" s="992"/>
      <c r="X61" s="1031">
        <f>'Calc. sheet'!I50</f>
        <v>0</v>
      </c>
      <c r="Y61" s="994">
        <f>'Calc. sheet'!J50</f>
        <v>0</v>
      </c>
      <c r="Z61" s="1106">
        <f>IF(ISERROR(VLOOKUP(R61,Stock_list,1,FALSE)),'Calc. sheet'!K50,"STOCK LIST")</f>
        <v>203.06077831429934</v>
      </c>
    </row>
    <row r="62" spans="1:26" s="994" customFormat="1" ht="15.75" customHeight="1" thickBot="1">
      <c r="A62" s="1123" t="s">
        <v>129</v>
      </c>
      <c r="B62" s="1124">
        <f>$D$55*$D$58/1000</f>
        <v>18.933916250391679</v>
      </c>
      <c r="C62" s="1124" t="s">
        <v>115</v>
      </c>
      <c r="D62" s="1125">
        <f>Shaft_Power_std</f>
        <v>22.655320809839921</v>
      </c>
      <c r="E62" s="1126" t="s">
        <v>115</v>
      </c>
      <c r="F62" s="1122"/>
      <c r="G62" s="1102">
        <f>'Calc. sheet'!A20</f>
        <v>19</v>
      </c>
      <c r="H62" s="1103" t="str">
        <f>'Calc. sheet'!C20</f>
        <v>XOE 123-33</v>
      </c>
      <c r="I62" s="994">
        <f>'Calc. sheet'!D20</f>
        <v>2801.3429388943682</v>
      </c>
      <c r="J62" s="1104">
        <f>'Calc. sheet'!E20</f>
        <v>0.62429735055103874</v>
      </c>
      <c r="K62" s="1105" t="str">
        <f>'Calc. sheet'!F20</f>
        <v>Reg</v>
      </c>
      <c r="L62" s="1105"/>
      <c r="M62" s="992"/>
      <c r="N62" s="1031" t="str">
        <f>'Calc. sheet'!I20</f>
        <v>O.P. warning</v>
      </c>
      <c r="O62" s="994">
        <f>'Calc. sheet'!J20</f>
        <v>0</v>
      </c>
      <c r="P62" s="1106">
        <f>IF(ISERROR(VLOOKUP(H62,Stock_list,1,FALSE)),'Calc. sheet'!K20,"STOCK LIST")</f>
        <v>1.7538083970470661</v>
      </c>
      <c r="Q62" s="1107">
        <f>'Calc. sheet'!A51</f>
        <v>0</v>
      </c>
      <c r="R62" s="1103">
        <f>'Calc. sheet'!C51</f>
        <v>0</v>
      </c>
      <c r="S62" s="994">
        <f>'Calc. sheet'!D51</f>
        <v>0</v>
      </c>
      <c r="T62" s="1104">
        <f>'Calc. sheet'!E51</f>
        <v>0</v>
      </c>
      <c r="U62" s="992">
        <f>'Calc. sheet'!F51</f>
        <v>0</v>
      </c>
      <c r="V62" s="1101"/>
      <c r="W62" s="992"/>
      <c r="X62" s="1031">
        <f>'Calc. sheet'!I51</f>
        <v>0</v>
      </c>
      <c r="Y62" s="994">
        <f>'Calc. sheet'!J51</f>
        <v>0</v>
      </c>
      <c r="Z62" s="1106">
        <f>IF(ISERROR(VLOOKUP(R62,Stock_list,1,FALSE)),'Calc. sheet'!K51,"STOCK LIST")</f>
        <v>203.06077831429934</v>
      </c>
    </row>
    <row r="63" spans="1:26" s="994" customFormat="1" ht="15.95" customHeight="1">
      <c r="A63" s="1103"/>
      <c r="B63" s="1127"/>
      <c r="C63" s="1128"/>
      <c r="D63" s="1129"/>
      <c r="E63" s="1128"/>
      <c r="F63" s="1122"/>
      <c r="G63" s="1102">
        <f>'Calc. sheet'!A21</f>
        <v>20</v>
      </c>
      <c r="H63" s="1103" t="str">
        <f>'Calc. sheet'!C21</f>
        <v>XMP 123-35</v>
      </c>
      <c r="I63" s="994">
        <f>'Calc. sheet'!D21</f>
        <v>2222.6380402067343</v>
      </c>
      <c r="J63" s="1104">
        <f>'Calc. sheet'!E21</f>
        <v>0.70408067650417472</v>
      </c>
      <c r="K63" s="1105" t="str">
        <f>'Calc. sheet'!F21</f>
        <v>Reg</v>
      </c>
      <c r="L63" s="1105"/>
      <c r="M63" s="992"/>
      <c r="N63" s="1031" t="str">
        <f>'Calc. sheet'!I21</f>
        <v>O.P. warning</v>
      </c>
      <c r="O63" s="994">
        <f>'Calc. sheet'!J21</f>
        <v>0</v>
      </c>
      <c r="P63" s="1106">
        <f>IF(ISERROR(VLOOKUP(H63,Stock_list,1,FALSE)),'Calc. sheet'!K21,"STOCK LIST")</f>
        <v>1.7565397362299975</v>
      </c>
      <c r="Q63" s="1107">
        <f>'Calc. sheet'!A52</f>
        <v>0</v>
      </c>
      <c r="R63" s="1103">
        <f>'Calc. sheet'!C52</f>
        <v>0</v>
      </c>
      <c r="S63" s="994">
        <f>'Calc. sheet'!D52</f>
        <v>0</v>
      </c>
      <c r="T63" s="1104">
        <f>'Calc. sheet'!E52</f>
        <v>0</v>
      </c>
      <c r="U63" s="992">
        <f>'Calc. sheet'!F52</f>
        <v>0</v>
      </c>
      <c r="V63" s="1101"/>
      <c r="W63" s="992"/>
      <c r="X63" s="1031">
        <f>'Calc. sheet'!I52</f>
        <v>0</v>
      </c>
      <c r="Y63" s="994">
        <f>'Calc. sheet'!J52</f>
        <v>0</v>
      </c>
      <c r="Z63" s="1106">
        <f>IF(ISERROR(VLOOKUP(R63,Stock_list,1,FALSE)),'Calc. sheet'!K52,"STOCK LIST")</f>
        <v>203.06077831429934</v>
      </c>
    </row>
    <row r="64" spans="1:26" s="994" customFormat="1" ht="15.95" customHeight="1" thickBot="1">
      <c r="A64" s="1023"/>
      <c r="B64" s="1130"/>
      <c r="C64" s="1128"/>
      <c r="D64" s="1129"/>
      <c r="E64" s="1128"/>
      <c r="F64" s="1122"/>
      <c r="G64" s="1102">
        <f>'Calc. sheet'!A22</f>
        <v>21</v>
      </c>
      <c r="H64" s="1103" t="str">
        <f>'Calc. sheet'!C22</f>
        <v>XMP 123-40</v>
      </c>
      <c r="I64" s="994">
        <f>'Calc. sheet'!D22</f>
        <v>2271.570113321151</v>
      </c>
      <c r="J64" s="1104">
        <f>'Calc. sheet'!E22</f>
        <v>0.69835674435996609</v>
      </c>
      <c r="K64" s="1105" t="str">
        <f>'Calc. sheet'!F22</f>
        <v>Reg</v>
      </c>
      <c r="L64" s="1105"/>
      <c r="M64" s="992"/>
      <c r="N64" s="1031" t="str">
        <f>'Calc. sheet'!I22</f>
        <v>O.P. warning</v>
      </c>
      <c r="O64" s="994">
        <f>'Calc. sheet'!J22</f>
        <v>0</v>
      </c>
      <c r="P64" s="1106">
        <f>IF(ISERROR(VLOOKUP(H64,Stock_list,1,FALSE)),'Calc. sheet'!K22,"STOCK LIST")</f>
        <v>1.7944493933672736</v>
      </c>
      <c r="Q64" s="1107">
        <f>'Calc. sheet'!A53</f>
        <v>0</v>
      </c>
      <c r="R64" s="1103">
        <f>'Calc. sheet'!C53</f>
        <v>0</v>
      </c>
      <c r="S64" s="994">
        <f>'Calc. sheet'!D53</f>
        <v>0</v>
      </c>
      <c r="T64" s="1104">
        <f>'Calc. sheet'!E53</f>
        <v>0</v>
      </c>
      <c r="U64" s="992">
        <f>'Calc. sheet'!F53</f>
        <v>0</v>
      </c>
      <c r="V64" s="1101"/>
      <c r="W64" s="992"/>
      <c r="X64" s="1031">
        <f>'Calc. sheet'!I53</f>
        <v>0</v>
      </c>
      <c r="Y64" s="994">
        <f>'Calc. sheet'!J53</f>
        <v>0</v>
      </c>
      <c r="Z64" s="1106">
        <f>IF(ISERROR(VLOOKUP(R64,Stock_list,1,FALSE)),'Calc. sheet'!K53,"STOCK LIST")</f>
        <v>203.06077831429934</v>
      </c>
    </row>
    <row r="65" spans="1:26" s="994" customFormat="1" ht="15.95" customHeight="1" thickBot="1">
      <c r="A65" s="1377" t="s">
        <v>143</v>
      </c>
      <c r="B65" s="1378"/>
      <c r="C65" s="1378"/>
      <c r="D65" s="1378"/>
      <c r="E65" s="1378"/>
      <c r="F65" s="1379"/>
      <c r="G65" s="1102">
        <f>'Calc. sheet'!A23</f>
        <v>22</v>
      </c>
      <c r="H65" s="1103" t="str">
        <f>'Calc. sheet'!C23</f>
        <v>XOE 135-45</v>
      </c>
      <c r="I65" s="994">
        <f>'Calc. sheet'!D23</f>
        <v>2266.63902328104</v>
      </c>
      <c r="J65" s="1104">
        <f>'Calc. sheet'!E23</f>
        <v>0.80342662280993604</v>
      </c>
      <c r="K65" s="1105" t="str">
        <f>'Calc. sheet'!F23</f>
        <v>Reg</v>
      </c>
      <c r="L65" s="1105"/>
      <c r="M65" s="992"/>
      <c r="N65" s="1031" t="str">
        <f>'Calc. sheet'!I23</f>
        <v>O.P. warning</v>
      </c>
      <c r="O65" s="994">
        <f>'Calc. sheet'!J23</f>
        <v>0</v>
      </c>
      <c r="P65" s="1106">
        <f>IF(ISERROR(VLOOKUP(H65,Stock_list,1,FALSE)),'Calc. sheet'!K23,"STOCK LIST")</f>
        <v>1.919461771800874</v>
      </c>
      <c r="Q65" s="1107">
        <f>'Calc. sheet'!A54</f>
        <v>0</v>
      </c>
      <c r="R65" s="1103">
        <f>'Calc. sheet'!C54</f>
        <v>0</v>
      </c>
      <c r="S65" s="994">
        <f>'Calc. sheet'!D54</f>
        <v>0</v>
      </c>
      <c r="T65" s="1104">
        <f>'Calc. sheet'!E54</f>
        <v>0</v>
      </c>
      <c r="U65" s="992">
        <f>'Calc. sheet'!F54</f>
        <v>0</v>
      </c>
      <c r="V65" s="1101"/>
      <c r="W65" s="992"/>
      <c r="X65" s="1031">
        <f>'Calc. sheet'!I54</f>
        <v>0</v>
      </c>
      <c r="Y65" s="994">
        <f>'Calc. sheet'!J54</f>
        <v>0</v>
      </c>
      <c r="Z65" s="1106">
        <f>IF(ISERROR(VLOOKUP(R65,Stock_list,1,FALSE)),'Calc. sheet'!K54,"STOCK LIST")</f>
        <v>203.06077831429934</v>
      </c>
    </row>
    <row r="66" spans="1:26" s="994" customFormat="1" ht="15.95" customHeight="1" thickBot="1">
      <c r="A66" s="1131">
        <f>hb</f>
        <v>0</v>
      </c>
      <c r="B66" s="1132" t="s">
        <v>568</v>
      </c>
      <c r="C66" s="1133">
        <f>101325*EXP(-g*0.02856*A66/8.32/288.15)</f>
        <v>101325</v>
      </c>
      <c r="D66" s="1134" t="s">
        <v>992</v>
      </c>
      <c r="E66" s="1135"/>
      <c r="F66" s="1136"/>
      <c r="G66" s="1102">
        <f>'Calc. sheet'!A24</f>
        <v>23</v>
      </c>
      <c r="H66" s="1103" t="str">
        <f>'Calc. sheet'!C24</f>
        <v>XOE 135-45A</v>
      </c>
      <c r="I66" s="994">
        <f>'Calc. sheet'!D24</f>
        <v>2297.2763082609194</v>
      </c>
      <c r="J66" s="1104">
        <f>'Calc. sheet'!E24</f>
        <v>0.72211035295840942</v>
      </c>
      <c r="K66" s="1105" t="str">
        <f>'Calc. sheet'!F24</f>
        <v>Reg</v>
      </c>
      <c r="L66" s="1105"/>
      <c r="M66" s="992"/>
      <c r="N66" s="1031" t="str">
        <f>'Calc. sheet'!I24</f>
        <v>O.P. warning</v>
      </c>
      <c r="O66" s="994">
        <f>'Calc. sheet'!J24</f>
        <v>0</v>
      </c>
      <c r="P66" s="1106">
        <f>IF(ISERROR(VLOOKUP(H66,Stock_list,1,FALSE)),'Calc. sheet'!K24,"STOCK LIST")</f>
        <v>1.9986747014683119</v>
      </c>
      <c r="Q66" s="1107">
        <f>'Calc. sheet'!A55</f>
        <v>0</v>
      </c>
      <c r="R66" s="1103">
        <f>'Calc. sheet'!C55</f>
        <v>0</v>
      </c>
      <c r="S66" s="994">
        <f>'Calc. sheet'!D55</f>
        <v>0</v>
      </c>
      <c r="T66" s="1104">
        <f>'Calc. sheet'!E55</f>
        <v>0</v>
      </c>
      <c r="U66" s="992">
        <f>'Calc. sheet'!F55</f>
        <v>0</v>
      </c>
      <c r="V66" s="1101"/>
      <c r="W66" s="992"/>
      <c r="X66" s="1031">
        <f>'Calc. sheet'!I55</f>
        <v>0</v>
      </c>
      <c r="Y66" s="994">
        <f>'Calc. sheet'!J55</f>
        <v>0</v>
      </c>
      <c r="Z66" s="1106">
        <f>IF(ISERROR(VLOOKUP(R66,Stock_list,1,FALSE)),'Calc. sheet'!K55,"STOCK LIST")</f>
        <v>203.06077831429934</v>
      </c>
    </row>
    <row r="67" spans="1:26" s="994" customFormat="1" ht="15.95" customHeight="1">
      <c r="A67" s="1131">
        <v>166000</v>
      </c>
      <c r="B67" s="1132" t="s">
        <v>144</v>
      </c>
      <c r="C67" s="1133">
        <f>A67*I17*(273.14+20)/(273.14)/I18</f>
        <v>178154.93885919306</v>
      </c>
      <c r="D67" s="1137" t="str">
        <f>"m3/hr @ Inlet : "&amp;ROUND(Pin_in_SU,0)&amp;" mmh2o"&amp;" / "&amp;T_in_SU&amp;" C"</f>
        <v>m3/hr @ Inlet : 0 mmh2o / 20 C</v>
      </c>
      <c r="E67" s="1135"/>
      <c r="F67" s="1136"/>
      <c r="G67" s="1102">
        <f>'Calc. sheet'!A25</f>
        <v>24</v>
      </c>
      <c r="H67" s="1103" t="str">
        <f>'Calc. sheet'!C25</f>
        <v>XOE 135-55</v>
      </c>
      <c r="I67" s="994">
        <f>'Calc. sheet'!D25</f>
        <v>2431.4827453708522</v>
      </c>
      <c r="J67" s="1104">
        <f>'Calc. sheet'!E25</f>
        <v>0.74981755342772294</v>
      </c>
      <c r="K67" s="1105" t="str">
        <f>'Calc. sheet'!F25</f>
        <v>Reg</v>
      </c>
      <c r="L67" s="1105"/>
      <c r="M67" s="992"/>
      <c r="N67" s="1031" t="str">
        <f>'Calc. sheet'!I25</f>
        <v>O.P. warning</v>
      </c>
      <c r="O67" s="994">
        <f>'Calc. sheet'!J25</f>
        <v>0</v>
      </c>
      <c r="P67" s="1106">
        <f>IF(ISERROR(VLOOKUP(H67,Stock_list,1,FALSE)),'Calc. sheet'!K25,"STOCK LIST")</f>
        <v>2.137116692657409</v>
      </c>
      <c r="Q67" s="1107">
        <f>'Calc. sheet'!A56</f>
        <v>0</v>
      </c>
      <c r="R67" s="1103">
        <f>'Calc. sheet'!C56</f>
        <v>0</v>
      </c>
      <c r="S67" s="994">
        <f>'Calc. sheet'!D56</f>
        <v>0</v>
      </c>
      <c r="T67" s="1104">
        <f>'Calc. sheet'!E56</f>
        <v>0</v>
      </c>
      <c r="U67" s="992">
        <f>'Calc. sheet'!F56</f>
        <v>0</v>
      </c>
      <c r="V67" s="1101"/>
      <c r="W67" s="992"/>
      <c r="X67" s="1031">
        <f>'Calc. sheet'!I56</f>
        <v>0</v>
      </c>
      <c r="Y67" s="994">
        <f>'Calc. sheet'!J56</f>
        <v>0</v>
      </c>
      <c r="Z67" s="1106">
        <f>IF(ISERROR(VLOOKUP(R67,Stock_list,1,FALSE)),'Calc. sheet'!K56,"STOCK LIST")</f>
        <v>203.06077831429934</v>
      </c>
    </row>
    <row r="68" spans="1:26" s="994" customFormat="1" ht="15.95" customHeight="1">
      <c r="A68" s="1138">
        <f>A67*I17*(273.14+20)/273.14/3600</f>
        <v>59.632417034813237</v>
      </c>
      <c r="B68" s="1139" t="s">
        <v>145</v>
      </c>
      <c r="C68" s="1140">
        <f>C67*I18/3600</f>
        <v>59.632417034813237</v>
      </c>
      <c r="D68" s="1140" t="s">
        <v>146</v>
      </c>
      <c r="E68" s="1141">
        <f>C68*3600</f>
        <v>214676.70132532765</v>
      </c>
      <c r="F68" s="1142" t="s">
        <v>147</v>
      </c>
      <c r="G68" s="1102">
        <f>'Calc. sheet'!A26</f>
        <v>25</v>
      </c>
      <c r="H68" s="1103" t="str">
        <f>'Calc. sheet'!C26</f>
        <v>XOE 136-38</v>
      </c>
      <c r="I68" s="994">
        <f>'Calc. sheet'!D26</f>
        <v>2132.9757119702394</v>
      </c>
      <c r="J68" s="1104">
        <f>'Calc. sheet'!E26</f>
        <v>0.7880370788469786</v>
      </c>
      <c r="K68" s="1105" t="str">
        <f>'Calc. sheet'!F26</f>
        <v>Reg</v>
      </c>
      <c r="L68" s="1105"/>
      <c r="M68" s="992"/>
      <c r="N68" s="1031" t="str">
        <f>'Calc. sheet'!I26</f>
        <v>A.S.= 25 m/s</v>
      </c>
      <c r="O68" s="994">
        <f>'Calc. sheet'!J26</f>
        <v>0</v>
      </c>
      <c r="P68" s="1106">
        <f>IF(ISERROR(VLOOKUP(H68,Stock_list,1,FALSE)),'Calc. sheet'!K26,"STOCK LIST")</f>
        <v>2.257858646225567</v>
      </c>
      <c r="Q68" s="1107">
        <f>'Calc. sheet'!A57</f>
        <v>0</v>
      </c>
      <c r="R68" s="1103">
        <f>'Calc. sheet'!C57</f>
        <v>0</v>
      </c>
      <c r="S68" s="994">
        <f>'Calc. sheet'!D57</f>
        <v>0</v>
      </c>
      <c r="T68" s="1104">
        <f>'Calc. sheet'!E57</f>
        <v>0</v>
      </c>
      <c r="U68" s="992">
        <f>'Calc. sheet'!F57</f>
        <v>0</v>
      </c>
      <c r="V68" s="1101"/>
      <c r="W68" s="992"/>
      <c r="X68" s="1031">
        <f>'Calc. sheet'!I57</f>
        <v>0</v>
      </c>
      <c r="Y68" s="994">
        <f>'Calc. sheet'!J57</f>
        <v>0</v>
      </c>
      <c r="Z68" s="1106">
        <f>IF(ISERROR(VLOOKUP(R68,Stock_list,1,FALSE)),'Calc. sheet'!K57,"STOCK LIST")</f>
        <v>203.06077831429934</v>
      </c>
    </row>
    <row r="69" spans="1:26" s="994" customFormat="1" ht="15.95" customHeight="1">
      <c r="A69" s="1143">
        <v>1.29</v>
      </c>
      <c r="B69" s="1139" t="s">
        <v>164</v>
      </c>
      <c r="C69" s="1140">
        <f>A69*(273.14)/(273.14+20)</f>
        <v>1.2019874462714062</v>
      </c>
      <c r="D69" s="1140" t="str">
        <f>"kg/m3 @ Std. Cond."</f>
        <v>kg/m3 @ Std. Cond.</v>
      </c>
      <c r="E69" s="1140"/>
      <c r="F69" s="1142"/>
      <c r="G69" s="1102">
        <f>'Calc. sheet'!A27</f>
        <v>26</v>
      </c>
      <c r="H69" s="1103" t="str">
        <f>'Calc. sheet'!C27</f>
        <v>XOE 135-38</v>
      </c>
      <c r="I69" s="994">
        <f>'Calc. sheet'!D27</f>
        <v>2292.2933375398534</v>
      </c>
      <c r="J69" s="1104">
        <f>'Calc. sheet'!E27</f>
        <v>0.60152579198470635</v>
      </c>
      <c r="K69" s="1105" t="str">
        <f>'Calc. sheet'!F27</f>
        <v>Reg</v>
      </c>
      <c r="L69" s="1105"/>
      <c r="M69" s="992"/>
      <c r="N69" s="1031" t="str">
        <f>'Calc. sheet'!I27</f>
        <v>O.P. warning</v>
      </c>
      <c r="O69" s="994">
        <f>'Calc. sheet'!J27</f>
        <v>0</v>
      </c>
      <c r="P69" s="1106">
        <f>IF(ISERROR(VLOOKUP(H69,Stock_list,1,FALSE)),'Calc. sheet'!K27,"STOCK LIST")</f>
        <v>2.3652853710212542</v>
      </c>
      <c r="Q69" s="1107">
        <f>'Calc. sheet'!A58</f>
        <v>0</v>
      </c>
      <c r="R69" s="1103">
        <f>'Calc. sheet'!C58</f>
        <v>0</v>
      </c>
      <c r="S69" s="994">
        <f>'Calc. sheet'!D58</f>
        <v>0</v>
      </c>
      <c r="T69" s="1104">
        <f>'Calc. sheet'!E58</f>
        <v>0</v>
      </c>
      <c r="U69" s="992">
        <f>'Calc. sheet'!F58</f>
        <v>0</v>
      </c>
      <c r="V69" s="1101"/>
      <c r="W69" s="992"/>
      <c r="X69" s="1031">
        <f>'Calc. sheet'!I58</f>
        <v>0</v>
      </c>
      <c r="Y69" s="994">
        <f>'Calc. sheet'!J58</f>
        <v>0</v>
      </c>
      <c r="Z69" s="1106">
        <f>IF(ISERROR(VLOOKUP(R69,Stock_list,1,FALSE)),'Calc. sheet'!K58,"STOCK LIST")</f>
        <v>203.06077831429934</v>
      </c>
    </row>
    <row r="70" spans="1:26" s="994" customFormat="1" ht="15.95" customHeight="1">
      <c r="A70" s="1144"/>
      <c r="B70" s="1139" t="s">
        <v>165</v>
      </c>
      <c r="C70" s="1140">
        <f>C69*(101325+L7)/101325*(273.14+20)/(273.14+T_in_SU)</f>
        <v>1.2019874462714062</v>
      </c>
      <c r="D70" s="1140" t="str">
        <f>"kg/m3 @ Inlet : "&amp;ROUND(Pin_in_SU,0)&amp;" mmh2o"&amp;" / "&amp;T_in_SU&amp;" C"</f>
        <v>kg/m3 @ Inlet : 0 mmh2o / 20 C</v>
      </c>
      <c r="E70" s="1140"/>
      <c r="F70" s="1142"/>
      <c r="G70" s="1102">
        <f>'Calc. sheet'!A28</f>
        <v>27</v>
      </c>
      <c r="H70" s="1103" t="str">
        <f>'Calc. sheet'!C28</f>
        <v>XOE 166-45</v>
      </c>
      <c r="I70" s="994">
        <f>'Calc. sheet'!D28</f>
        <v>1951.1701892125279</v>
      </c>
      <c r="J70" s="1104">
        <f>'Calc. sheet'!E28</f>
        <v>0.79473270359515613</v>
      </c>
      <c r="K70" s="1105" t="str">
        <f>'Calc. sheet'!F28</f>
        <v>Reg</v>
      </c>
      <c r="L70" s="1105"/>
      <c r="M70" s="992"/>
      <c r="N70" s="1031" t="str">
        <f>'Calc. sheet'!I28</f>
        <v>A.S.= 17 m/s</v>
      </c>
      <c r="O70" s="994">
        <f>'Calc. sheet'!J28</f>
        <v>0</v>
      </c>
      <c r="P70" s="1106">
        <f>IF(ISERROR(VLOOKUP(H70,Stock_list,1,FALSE)),'Calc. sheet'!K28,"STOCK LIST")</f>
        <v>2.7447588402241605</v>
      </c>
      <c r="Q70" s="1107">
        <f>'Calc. sheet'!A59</f>
        <v>0</v>
      </c>
      <c r="R70" s="1103">
        <f>'Calc. sheet'!C59</f>
        <v>0</v>
      </c>
      <c r="S70" s="994">
        <f>'Calc. sheet'!D59</f>
        <v>0</v>
      </c>
      <c r="T70" s="1104">
        <f>'Calc. sheet'!E59</f>
        <v>0</v>
      </c>
      <c r="U70" s="992">
        <f>'Calc. sheet'!F59</f>
        <v>0</v>
      </c>
      <c r="V70" s="1101"/>
      <c r="W70" s="992"/>
      <c r="X70" s="1031">
        <f>'Calc. sheet'!I59</f>
        <v>0</v>
      </c>
      <c r="Y70" s="994">
        <f>'Calc. sheet'!J59</f>
        <v>0</v>
      </c>
      <c r="Z70" s="1106">
        <f>IF(ISERROR(VLOOKUP(R70,Stock_list,1,FALSE)),'Calc. sheet'!K59,"STOCK LIST")</f>
        <v>203.06077831429934</v>
      </c>
    </row>
    <row r="71" spans="1:26" s="994" customFormat="1" ht="15.95" customHeight="1">
      <c r="A71" s="1145">
        <v>0</v>
      </c>
      <c r="B71" s="1146" t="s">
        <v>148</v>
      </c>
      <c r="C71" s="1147">
        <f>g*A71</f>
        <v>0</v>
      </c>
      <c r="D71" s="1148" t="s">
        <v>17</v>
      </c>
      <c r="E71" s="1149">
        <f>C71/10^5</f>
        <v>0</v>
      </c>
      <c r="F71" s="1150" t="s">
        <v>149</v>
      </c>
      <c r="G71" s="1102">
        <f>'Calc. sheet'!A29</f>
        <v>28</v>
      </c>
      <c r="H71" s="1103" t="str">
        <f>'Calc. sheet'!C29</f>
        <v>XOE 166-45A</v>
      </c>
      <c r="I71" s="994">
        <f>'Calc. sheet'!D29</f>
        <v>1824.3906116719097</v>
      </c>
      <c r="J71" s="1104">
        <f>'Calc. sheet'!E29</f>
        <v>0.81690851486359295</v>
      </c>
      <c r="K71" s="1105" t="str">
        <f>'Calc. sheet'!F29</f>
        <v>Reg</v>
      </c>
      <c r="L71" s="1105"/>
      <c r="M71" s="992"/>
      <c r="N71" s="1031" t="str">
        <f>'Calc. sheet'!I29</f>
        <v>A.S.= 17 m/s</v>
      </c>
      <c r="O71" s="994">
        <f>'Calc. sheet'!J29</f>
        <v>0</v>
      </c>
      <c r="P71" s="1106">
        <f>IF(ISERROR(VLOOKUP(H71,Stock_list,1,FALSE)),'Calc. sheet'!K29,"STOCK LIST")</f>
        <v>2.8248671406561452</v>
      </c>
      <c r="Q71" s="1107">
        <f>'Calc. sheet'!A60</f>
        <v>0</v>
      </c>
      <c r="R71" s="1103">
        <f>'Calc. sheet'!C60</f>
        <v>0</v>
      </c>
      <c r="S71" s="994">
        <f>'Calc. sheet'!D60</f>
        <v>0</v>
      </c>
      <c r="T71" s="1104">
        <f>'Calc. sheet'!E60</f>
        <v>0</v>
      </c>
      <c r="U71" s="992">
        <f>'Calc. sheet'!F60</f>
        <v>0</v>
      </c>
      <c r="V71" s="1101"/>
      <c r="W71" s="992"/>
      <c r="X71" s="1031">
        <f>'Calc. sheet'!I60</f>
        <v>0</v>
      </c>
      <c r="Y71" s="994">
        <f>'Calc. sheet'!J60</f>
        <v>0</v>
      </c>
      <c r="Z71" s="1106">
        <f>IF(ISERROR(VLOOKUP(R71,Stock_list,1,FALSE)),'Calc. sheet'!K60,"STOCK LIST")</f>
        <v>203.06077831429934</v>
      </c>
    </row>
    <row r="72" spans="1:26" s="994" customFormat="1" ht="15.95" customHeight="1">
      <c r="A72" s="1145">
        <v>4500</v>
      </c>
      <c r="B72" s="1146" t="s">
        <v>150</v>
      </c>
      <c r="C72" s="1147">
        <f>A72/g</f>
        <v>458.85591924135821</v>
      </c>
      <c r="D72" s="1148" t="s">
        <v>151</v>
      </c>
      <c r="E72" s="1149">
        <f>A72/10^5</f>
        <v>4.4999999999999998E-2</v>
      </c>
      <c r="F72" s="1150" t="s">
        <v>149</v>
      </c>
      <c r="G72" s="1102">
        <f>'Calc. sheet'!A30</f>
        <v>29</v>
      </c>
      <c r="H72" s="1103" t="str">
        <f>'Calc. sheet'!C30</f>
        <v>XOE 166-50A</v>
      </c>
      <c r="I72" s="994">
        <f>'Calc. sheet'!D30</f>
        <v>1871.360097261585</v>
      </c>
      <c r="J72" s="1104">
        <f>'Calc. sheet'!E30</f>
        <v>0.67490658017655258</v>
      </c>
      <c r="K72" s="1105" t="str">
        <f>'Calc. sheet'!F30</f>
        <v>Reg</v>
      </c>
      <c r="L72" s="1105"/>
      <c r="M72" s="992"/>
      <c r="N72" s="1031" t="str">
        <f>'Calc. sheet'!I30</f>
        <v>O.P. warning</v>
      </c>
      <c r="O72" s="994">
        <f>'Calc. sheet'!J30</f>
        <v>0</v>
      </c>
      <c r="P72" s="1106">
        <f>IF(ISERROR(VLOOKUP(H72,Stock_list,1,FALSE)),'Calc. sheet'!K30,"STOCK LIST")</f>
        <v>2.8608005114316137</v>
      </c>
      <c r="Q72" s="1107">
        <f>'Calc. sheet'!A61</f>
        <v>0</v>
      </c>
      <c r="R72" s="1103">
        <f>'Calc. sheet'!C61</f>
        <v>0</v>
      </c>
      <c r="S72" s="994">
        <f>'Calc. sheet'!D61</f>
        <v>0</v>
      </c>
      <c r="T72" s="1104">
        <f>'Calc. sheet'!E61</f>
        <v>0</v>
      </c>
      <c r="U72" s="992">
        <f>'Calc. sheet'!F61</f>
        <v>0</v>
      </c>
      <c r="V72" s="1101"/>
      <c r="W72" s="992"/>
      <c r="X72" s="1031">
        <f>'Calc. sheet'!I61</f>
        <v>0</v>
      </c>
      <c r="Y72" s="994">
        <f>'Calc. sheet'!J61</f>
        <v>0</v>
      </c>
      <c r="Z72" s="1106">
        <f>IF(ISERROR(VLOOKUP(R72,Stock_list,1,FALSE)),'Calc. sheet'!K61,"STOCK LIST")</f>
        <v>203.06077831429934</v>
      </c>
    </row>
    <row r="73" spans="1:26" s="994" customFormat="1" ht="15.95" customHeight="1">
      <c r="A73" s="1143">
        <v>0.25</v>
      </c>
      <c r="B73" s="1146" t="s">
        <v>560</v>
      </c>
      <c r="C73" s="1147">
        <f>A73/g*10^5</f>
        <v>2549.1995513408788</v>
      </c>
      <c r="D73" s="1148" t="s">
        <v>151</v>
      </c>
      <c r="E73" s="1147">
        <f>A73*10^5</f>
        <v>25000</v>
      </c>
      <c r="F73" s="1150" t="s">
        <v>17</v>
      </c>
      <c r="G73" s="1102">
        <f>'Calc. sheet'!A31</f>
        <v>30</v>
      </c>
      <c r="H73" s="1103" t="str">
        <f>'Calc. sheet'!C31</f>
        <v>XOE 166-45G</v>
      </c>
      <c r="I73" s="994">
        <f>'Calc. sheet'!D31</f>
        <v>1672.3774886767021</v>
      </c>
      <c r="J73" s="1104">
        <f>'Calc. sheet'!E31</f>
        <v>0.89787337149793101</v>
      </c>
      <c r="K73" s="1105" t="str">
        <f>'Calc. sheet'!F31</f>
        <v>Reg</v>
      </c>
      <c r="L73" s="1105"/>
      <c r="M73" s="992"/>
      <c r="N73" s="1031" t="str">
        <f>'Calc. sheet'!I31</f>
        <v>A.S.= 17 m/s</v>
      </c>
      <c r="O73" s="994">
        <f>'Calc. sheet'!J31</f>
        <v>0</v>
      </c>
      <c r="P73" s="1106">
        <f>IF(ISERROR(VLOOKUP(H73,Stock_list,1,FALSE)),'Calc. sheet'!K31,"STOCK LIST")</f>
        <v>3.2680696881802684</v>
      </c>
      <c r="Q73" s="1107">
        <f>'Calc. sheet'!A62</f>
        <v>0</v>
      </c>
      <c r="R73" s="1103">
        <f>'Calc. sheet'!C62</f>
        <v>0</v>
      </c>
      <c r="S73" s="994">
        <f>'Calc. sheet'!D62</f>
        <v>0</v>
      </c>
      <c r="T73" s="1104">
        <f>'Calc. sheet'!E62</f>
        <v>0</v>
      </c>
      <c r="U73" s="992">
        <f>'Calc. sheet'!F62</f>
        <v>0</v>
      </c>
      <c r="V73" s="1101"/>
      <c r="W73" s="992"/>
      <c r="X73" s="1031">
        <f>'Calc. sheet'!I62</f>
        <v>0</v>
      </c>
      <c r="Y73" s="994">
        <f>'Calc. sheet'!J62</f>
        <v>0</v>
      </c>
      <c r="Z73" s="1106">
        <f>IF(ISERROR(VLOOKUP(R73,Stock_list,1,FALSE)),'Calc. sheet'!K62,"STOCK LIST")</f>
        <v>203.06077831429934</v>
      </c>
    </row>
    <row r="74" spans="1:26" s="994" customFormat="1" ht="15.95" customHeight="1" thickBot="1">
      <c r="A74" s="1151">
        <v>0</v>
      </c>
      <c r="B74" s="1152" t="s">
        <v>152</v>
      </c>
      <c r="C74" s="1153">
        <f>A74*(273.14+20)/(273.14+E74)</f>
        <v>0</v>
      </c>
      <c r="D74" s="1152" t="s">
        <v>153</v>
      </c>
      <c r="E74" s="1154">
        <v>750</v>
      </c>
      <c r="F74" s="1155" t="s">
        <v>21</v>
      </c>
      <c r="G74" s="1156">
        <f>'Calc. sheet'!A32</f>
        <v>31</v>
      </c>
      <c r="H74" s="1157" t="str">
        <f>'Calc. sheet'!C32</f>
        <v>XOE 173-50</v>
      </c>
      <c r="I74" s="1158">
        <f>'Calc. sheet'!D32</f>
        <v>1573.7634363317159</v>
      </c>
      <c r="J74" s="1159">
        <f>'Calc. sheet'!E32</f>
        <v>0.65463417198010898</v>
      </c>
      <c r="K74" s="1160" t="str">
        <f>'Calc. sheet'!F32</f>
        <v>Reg</v>
      </c>
      <c r="L74" s="1160"/>
      <c r="M74" s="1161"/>
      <c r="N74" s="1162" t="str">
        <f>'Calc. sheet'!I32</f>
        <v>O.P. warning</v>
      </c>
      <c r="O74" s="1158">
        <f>'Calc. sheet'!J32</f>
        <v>0</v>
      </c>
      <c r="P74" s="1163">
        <f>IF(ISERROR(VLOOKUP(H74,Stock_list,1,FALSE)),'Calc. sheet'!K32,"STOCK LIST")</f>
        <v>3.391212086171671</v>
      </c>
      <c r="Q74" s="1164">
        <f>'Calc. sheet'!A63</f>
        <v>0</v>
      </c>
      <c r="R74" s="1157">
        <f>'Calc. sheet'!C63</f>
        <v>0</v>
      </c>
      <c r="S74" s="1158">
        <f>'Calc. sheet'!D63</f>
        <v>0</v>
      </c>
      <c r="T74" s="1159">
        <f>'Calc. sheet'!E63</f>
        <v>0</v>
      </c>
      <c r="U74" s="1161">
        <f>'Calc. sheet'!F63</f>
        <v>0</v>
      </c>
      <c r="V74" s="1165"/>
      <c r="W74" s="1161"/>
      <c r="X74" s="1162">
        <f>'Calc. sheet'!I63</f>
        <v>0</v>
      </c>
      <c r="Y74" s="1158">
        <f>'Calc. sheet'!J63</f>
        <v>0</v>
      </c>
      <c r="Z74" s="1163">
        <f>IF(ISERROR(VLOOKUP(R74,Stock_list,1,FALSE)),'Calc. sheet'!K63,"STOCK LIST")</f>
        <v>203.06077831429934</v>
      </c>
    </row>
    <row r="75" spans="1:26" ht="15.95" customHeight="1">
      <c r="A75" s="1166"/>
      <c r="B75" s="990"/>
      <c r="C75" s="990"/>
      <c r="D75" s="990"/>
      <c r="E75" s="990"/>
      <c r="F75" s="990"/>
      <c r="G75" s="990"/>
      <c r="H75" s="990"/>
      <c r="I75" s="990"/>
      <c r="J75" s="990"/>
      <c r="K75" s="990"/>
      <c r="L75" s="990"/>
      <c r="M75" s="990"/>
      <c r="N75" s="990"/>
      <c r="O75" s="990"/>
      <c r="P75" s="990"/>
      <c r="Q75" s="990"/>
      <c r="R75" s="990"/>
      <c r="S75" s="990"/>
      <c r="T75" s="990"/>
      <c r="U75" s="990"/>
      <c r="V75" s="990"/>
      <c r="W75" s="990"/>
      <c r="X75" s="990"/>
      <c r="Y75" s="990"/>
      <c r="Z75" s="996"/>
    </row>
    <row r="76" spans="1:26" ht="15.95" customHeight="1">
      <c r="A76" s="1250" t="s">
        <v>1905</v>
      </c>
      <c r="B76" s="1249">
        <v>20</v>
      </c>
      <c r="C76" s="1246" t="s">
        <v>1907</v>
      </c>
      <c r="D76" s="990"/>
      <c r="E76" s="990"/>
      <c r="F76" s="990"/>
      <c r="G76" s="990"/>
      <c r="H76" s="990"/>
      <c r="I76" s="990"/>
      <c r="J76" s="990"/>
      <c r="K76" s="990"/>
      <c r="L76" s="990"/>
      <c r="M76" s="990"/>
      <c r="N76" s="990"/>
      <c r="O76" s="990"/>
      <c r="P76" s="990"/>
      <c r="Q76" s="990"/>
      <c r="R76" s="990"/>
      <c r="S76" s="990"/>
      <c r="T76" s="990"/>
      <c r="U76" s="990"/>
      <c r="V76" s="990"/>
      <c r="W76" s="990"/>
      <c r="X76" s="990"/>
      <c r="Y76" s="990"/>
      <c r="Z76" s="996"/>
    </row>
    <row r="77" spans="1:26" ht="15.95" customHeight="1">
      <c r="A77" s="1250" t="s">
        <v>1908</v>
      </c>
      <c r="B77" s="1249">
        <v>75661</v>
      </c>
      <c r="C77" s="1246" t="s">
        <v>1909</v>
      </c>
      <c r="D77" s="1247"/>
      <c r="E77" s="990"/>
      <c r="F77" s="990"/>
      <c r="G77" s="990"/>
      <c r="H77" s="990"/>
      <c r="I77" s="990"/>
      <c r="J77" s="990"/>
      <c r="K77" s="990"/>
      <c r="L77" s="990"/>
      <c r="M77" s="990"/>
      <c r="N77" s="990"/>
      <c r="O77" s="990"/>
      <c r="P77" s="990"/>
      <c r="Q77" s="990"/>
      <c r="R77" s="990"/>
      <c r="S77" s="990"/>
      <c r="T77" s="990"/>
      <c r="U77" s="990"/>
      <c r="V77" s="990"/>
      <c r="W77" s="990"/>
      <c r="X77" s="990"/>
      <c r="Y77" s="990"/>
      <c r="Z77" s="996"/>
    </row>
    <row r="78" spans="1:26" ht="15.95" customHeight="1">
      <c r="A78" s="1250" t="s">
        <v>1906</v>
      </c>
      <c r="B78" s="1248">
        <f>1.293*(B77/101325)*(273.15/(B76+273.15))</f>
        <v>0.89963283037195318</v>
      </c>
      <c r="C78" s="990" t="s">
        <v>30</v>
      </c>
      <c r="D78" s="990"/>
      <c r="E78" s="990"/>
      <c r="F78" s="990"/>
      <c r="G78" s="990"/>
      <c r="H78" s="990"/>
      <c r="I78" s="990"/>
      <c r="J78" s="990"/>
      <c r="K78" s="990"/>
      <c r="L78" s="990"/>
      <c r="M78" s="990"/>
      <c r="N78" s="990"/>
      <c r="O78" s="990"/>
      <c r="P78" s="990"/>
      <c r="Q78" s="990"/>
      <c r="R78" s="990"/>
      <c r="S78" s="990"/>
      <c r="T78" s="990"/>
      <c r="U78" s="990"/>
      <c r="V78" s="990"/>
      <c r="W78" s="990"/>
      <c r="X78" s="990"/>
      <c r="Y78" s="990"/>
      <c r="Z78" s="996"/>
    </row>
    <row r="79" spans="1:26" ht="15.95" customHeight="1">
      <c r="A79" s="1166"/>
      <c r="B79" s="990"/>
      <c r="C79" s="990"/>
      <c r="D79" s="990"/>
      <c r="E79" s="990"/>
      <c r="F79" s="990"/>
      <c r="G79" s="990"/>
      <c r="H79" s="990"/>
      <c r="I79" s="990"/>
      <c r="J79" s="990"/>
      <c r="K79" s="990"/>
      <c r="L79" s="990"/>
      <c r="M79" s="990"/>
      <c r="N79" s="990"/>
      <c r="O79" s="990"/>
      <c r="P79" s="990"/>
      <c r="Q79" s="990"/>
      <c r="R79" s="990"/>
      <c r="S79" s="990"/>
      <c r="T79" s="990"/>
      <c r="U79" s="990"/>
      <c r="V79" s="990"/>
      <c r="W79" s="990"/>
      <c r="X79" s="990"/>
      <c r="Y79" s="990"/>
      <c r="Z79" s="996"/>
    </row>
    <row r="80" spans="1:26" ht="15.95" customHeight="1" thickBot="1">
      <c r="A80" s="1167" t="s">
        <v>1949</v>
      </c>
      <c r="B80" s="1168"/>
      <c r="C80" s="1168"/>
      <c r="D80" s="1168"/>
      <c r="E80" s="1168"/>
      <c r="F80" s="1168"/>
      <c r="G80" s="1168"/>
      <c r="H80" s="1168"/>
      <c r="I80" s="1168"/>
      <c r="J80" s="1168"/>
      <c r="K80" s="1168"/>
      <c r="L80" s="1168"/>
      <c r="M80" s="1168"/>
      <c r="N80" s="1168"/>
      <c r="O80" s="1168"/>
      <c r="P80" s="1168"/>
      <c r="Q80" s="1168"/>
      <c r="R80" s="1168"/>
      <c r="S80" s="1168"/>
      <c r="T80" s="1168"/>
      <c r="U80" s="1168"/>
      <c r="V80" s="1168"/>
      <c r="W80" s="1168"/>
      <c r="X80" s="1168"/>
      <c r="Y80" s="1168"/>
      <c r="Z80" s="1169"/>
    </row>
    <row r="81" spans="1:11" ht="15.95" customHeight="1">
      <c r="A81" s="1170">
        <v>6666</v>
      </c>
      <c r="B81" s="1375" t="s">
        <v>1163</v>
      </c>
      <c r="C81" s="1375"/>
    </row>
    <row r="82" spans="1:11" ht="15.95" customHeight="1">
      <c r="A82" s="1171"/>
      <c r="B82" s="1376"/>
      <c r="C82" s="1376"/>
    </row>
    <row r="83" spans="1:11" ht="15.95" customHeight="1">
      <c r="A83" s="1171"/>
      <c r="B83" s="1376"/>
      <c r="C83" s="1376"/>
    </row>
    <row r="92" spans="1:11" ht="15.95" customHeight="1">
      <c r="K92" s="1172"/>
    </row>
    <row r="93" spans="1:11" ht="15.95" customHeight="1">
      <c r="K93" s="1172"/>
    </row>
  </sheetData>
  <mergeCells count="19">
    <mergeCell ref="U2:V2"/>
    <mergeCell ref="S1:T1"/>
    <mergeCell ref="S2:T2"/>
    <mergeCell ref="D17:E19"/>
    <mergeCell ref="K17:L19"/>
    <mergeCell ref="Q1:Q2"/>
    <mergeCell ref="I6:J6"/>
    <mergeCell ref="L6:M6"/>
    <mergeCell ref="D3:E3"/>
    <mergeCell ref="D4:E4"/>
    <mergeCell ref="C1:P1"/>
    <mergeCell ref="B81:C83"/>
    <mergeCell ref="A65:F65"/>
    <mergeCell ref="A20:E20"/>
    <mergeCell ref="A52:E52"/>
    <mergeCell ref="A53:E53"/>
    <mergeCell ref="A40:E40"/>
    <mergeCell ref="B39:C39"/>
    <mergeCell ref="D39:E39"/>
  </mergeCells>
  <phoneticPr fontId="77" type="noConversion"/>
  <conditionalFormatting sqref="A20:A21 B21:E21">
    <cfRule type="expression" dxfId="323" priority="53">
      <formula>$B$21&gt;1000</formula>
    </cfRule>
  </conditionalFormatting>
  <conditionalFormatting sqref="A54:E62 A41:E51">
    <cfRule type="expression" dxfId="322" priority="54">
      <formula>OR($B$42=0,$B$42&lt;$I$8,$B$43=0,$B$43&lt;$I$9)</formula>
    </cfRule>
  </conditionalFormatting>
  <conditionalFormatting sqref="D12">
    <cfRule type="expression" dxfId="321" priority="22">
      <formula>$C$4="Std."</formula>
    </cfRule>
  </conditionalFormatting>
  <conditionalFormatting sqref="G44:P74">
    <cfRule type="expression" dxfId="320" priority="65">
      <formula>OR($N44="O.P. warning",$N44="A.S. warning",$N44="P.S. warning")</formula>
    </cfRule>
  </conditionalFormatting>
  <conditionalFormatting sqref="Q44:Z74">
    <cfRule type="expression" dxfId="319" priority="66">
      <formula>OR($X44="O.P. warning",$X44="A.S. warning",$X44="P.S. warning")</formula>
    </cfRule>
  </conditionalFormatting>
  <conditionalFormatting sqref="A62:E62 B50:B51">
    <cfRule type="expression" dxfId="318" priority="390">
      <formula>$D$56*$D$58/1000&gt;1500</formula>
    </cfRule>
  </conditionalFormatting>
  <conditionalFormatting sqref="B12">
    <cfRule type="expression" dxfId="317" priority="15">
      <formula>$C$4="SI"</formula>
    </cfRule>
  </conditionalFormatting>
  <conditionalFormatting sqref="F44:G64 G65:G74">
    <cfRule type="expression" dxfId="316" priority="13">
      <formula>$G44="STOCK LIST"</formula>
    </cfRule>
  </conditionalFormatting>
  <conditionalFormatting sqref="O44:O74">
    <cfRule type="expression" dxfId="315" priority="12">
      <formula>$O44="STOCK LIST"</formula>
    </cfRule>
  </conditionalFormatting>
  <conditionalFormatting sqref="Y44:Y74">
    <cfRule type="expression" dxfId="314" priority="11">
      <formula>$Y44="STOCK LIST"</formula>
    </cfRule>
  </conditionalFormatting>
  <conditionalFormatting sqref="P44:P74">
    <cfRule type="expression" dxfId="313" priority="10">
      <formula>P44="STOCK LIST"</formula>
    </cfRule>
  </conditionalFormatting>
  <conditionalFormatting sqref="Z44:Z74">
    <cfRule type="expression" dxfId="312" priority="9">
      <formula>Z44="STOCK LIST"</formula>
    </cfRule>
  </conditionalFormatting>
  <conditionalFormatting sqref="A47:C47">
    <cfRule type="expression" dxfId="311" priority="6">
      <formula>AND($B$47&gt;1400,$B$4="Direct")</formula>
    </cfRule>
  </conditionalFormatting>
  <conditionalFormatting sqref="B60:C60">
    <cfRule type="expression" dxfId="310" priority="5">
      <formula>AND($B$47&gt;1400,$B$4="D")</formula>
    </cfRule>
  </conditionalFormatting>
  <conditionalFormatting sqref="A60:C60">
    <cfRule type="expression" dxfId="309" priority="4">
      <formula>AND($B$47&gt;1400,$B$4="Direct")</formula>
    </cfRule>
  </conditionalFormatting>
  <conditionalFormatting sqref="D60:E60">
    <cfRule type="expression" dxfId="308" priority="3">
      <formula>OR($B$42=0,$B$42&lt;$I$8,$B$43=0,$B$43&lt;$I$9)</formula>
    </cfRule>
  </conditionalFormatting>
  <conditionalFormatting sqref="D47:E47">
    <cfRule type="expression" dxfId="307" priority="2">
      <formula>OR($B$42=0,$B$42&lt;$I$8,$B$43=0,$B$43&lt;$I$9)</formula>
    </cfRule>
  </conditionalFormatting>
  <conditionalFormatting sqref="B54:E54">
    <cfRule type="expression" dxfId="306" priority="1">
      <formula>OR($B$42=0,$B$42&lt;$I$8,$B$43=0,$B$43&lt;$I$9)</formula>
    </cfRule>
  </conditionalFormatting>
  <dataValidations xWindow="378" yWindow="255" count="10">
    <dataValidation type="list" allowBlank="1" showInputMessage="1" showErrorMessage="1" sqref="B14">
      <formula1>"Y,N"</formula1>
    </dataValidation>
    <dataValidation type="list" allowBlank="1" showInputMessage="1" showErrorMessage="1" sqref="B13">
      <formula1>"50,60"</formula1>
    </dataValidation>
    <dataValidation type="list" allowBlank="1" showInputMessage="1" showErrorMessage="1" sqref="B24">
      <formula1>Mat_opt_IMP</formula1>
    </dataValidation>
    <dataValidation type="list" allowBlank="1" showInputMessage="1" showErrorMessage="1" sqref="B28">
      <formula1>Mat_opt_BFRAME</formula1>
    </dataValidation>
    <dataValidation type="list" allowBlank="1" showInputMessage="1" showErrorMessage="1" sqref="B25">
      <formula1>Mat_opt_HOUSE</formula1>
    </dataValidation>
    <dataValidation type="list" allowBlank="1" showInputMessage="1" showErrorMessage="1" sqref="B26">
      <formula1>Mat_opt_FRAME</formula1>
    </dataValidation>
    <dataValidation type="list" allowBlank="1" showInputMessage="1" showErrorMessage="1" sqref="B27">
      <formula1>Mat_opt_DM</formula1>
    </dataValidation>
    <dataValidation type="list" allowBlank="1" showErrorMessage="1" prompt="Select Drive:_x000a_- D_x000a_- C_x000a_- B" sqref="B4">
      <formula1>"Direct, Coupling,Belt"</formula1>
    </dataValidation>
    <dataValidation allowBlank="1" showErrorMessage="1" sqref="B15"/>
    <dataValidation type="list" allowBlank="1" showInputMessage="1" showErrorMessage="1" prompt="Select Version:_x000a_- International_x000a_- JB local - C_x000a_- Local Desktop" sqref="D4:E4">
      <formula1>"INTERNATIONAL, JB local - C, Local - Desktop"</formula1>
    </dataValidation>
  </dataValidations>
  <pageMargins left="0.51181102362204722" right="0.35433070866141736" top="0.98425196850393704" bottom="0.98425196850393704" header="0.51181102362204722" footer="0.51181102362204722"/>
  <pageSetup paperSize="9" scale="35" orientation="landscape" r:id="rId1"/>
  <headerFooter alignWithMargins="0">
    <oddHeader>&amp;L&amp;G&amp;R&amp;D</oddHeader>
    <oddFooter>&amp;LCONFIDENTIAL&amp;C&amp;F / &amp;A&amp;RPage &amp;P / &amp;N</oddFooter>
  </headerFooter>
  <ignoredErrors>
    <ignoredError sqref="B7" unlockedFormula="1"/>
  </ignoredErrors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pageSetUpPr fitToPage="1"/>
  </sheetPr>
  <dimension ref="A1:AE69"/>
  <sheetViews>
    <sheetView topLeftCell="A34" zoomScale="70" zoomScaleNormal="70" workbookViewId="0">
      <selection activeCell="N11" sqref="N11"/>
    </sheetView>
  </sheetViews>
  <sheetFormatPr defaultColWidth="12.5703125" defaultRowHeight="14.1" customHeight="1"/>
  <cols>
    <col min="1" max="1" width="44.5703125" style="70" customWidth="1"/>
    <col min="2" max="8" width="12.5703125" style="2" customWidth="1"/>
    <col min="9" max="12" width="12.5703125" style="46" customWidth="1"/>
    <col min="13" max="13" width="12.5703125" style="46"/>
    <col min="14" max="17" width="12.5703125" style="2"/>
    <col min="18" max="18" width="12.5703125" style="3"/>
    <col min="19" max="19" width="12.5703125" style="76"/>
    <col min="20" max="16384" width="12.5703125" style="2"/>
  </cols>
  <sheetData>
    <row r="1" spans="1:31" ht="33" customHeight="1" thickBot="1">
      <c r="A1" s="794" t="s">
        <v>565</v>
      </c>
      <c r="B1" s="1411">
        <f>'Fan Selection'!B1</f>
        <v>6666</v>
      </c>
      <c r="C1" s="1412"/>
      <c r="D1" s="1412"/>
      <c r="E1" s="1412"/>
      <c r="F1" s="1412"/>
      <c r="G1" s="1412"/>
      <c r="H1" s="1412"/>
      <c r="I1" s="1412"/>
      <c r="J1" s="1412"/>
      <c r="K1" s="1412"/>
      <c r="L1" s="1412"/>
      <c r="M1" s="1412"/>
      <c r="N1" s="1412"/>
      <c r="O1" s="1412"/>
      <c r="P1" s="1413"/>
    </row>
    <row r="2" spans="1:31" ht="33" customHeight="1" thickBot="1">
      <c r="A2" s="794" t="s">
        <v>564</v>
      </c>
      <c r="B2" s="1411">
        <f>'Fan Selection'!B2</f>
        <v>0</v>
      </c>
      <c r="C2" s="1412"/>
      <c r="D2" s="1412"/>
      <c r="E2" s="1412"/>
      <c r="F2" s="1412"/>
      <c r="G2" s="1412"/>
      <c r="H2" s="1412"/>
      <c r="I2" s="1412"/>
      <c r="J2" s="1412"/>
      <c r="K2" s="1412"/>
      <c r="L2" s="1412"/>
      <c r="M2" s="1412"/>
      <c r="N2" s="1412"/>
      <c r="O2" s="1414"/>
      <c r="P2" s="597">
        <f>'Fan Selection'!P2</f>
        <v>0</v>
      </c>
    </row>
    <row r="3" spans="1:31" ht="14.1" customHeight="1">
      <c r="A3" s="118"/>
      <c r="I3" s="2"/>
      <c r="J3" s="2"/>
      <c r="K3" s="2"/>
      <c r="L3" s="2"/>
      <c r="M3" s="2"/>
      <c r="S3" s="4"/>
      <c r="T3" s="1415" t="s">
        <v>44</v>
      </c>
      <c r="U3" s="1416"/>
      <c r="V3" s="5"/>
      <c r="W3" s="5"/>
      <c r="X3" s="6"/>
      <c r="Z3" s="81" t="s">
        <v>130</v>
      </c>
      <c r="AA3" s="81"/>
      <c r="AB3" s="81" t="s">
        <v>131</v>
      </c>
      <c r="AC3" s="81" t="s">
        <v>132</v>
      </c>
      <c r="AD3" s="81" t="s">
        <v>133</v>
      </c>
      <c r="AE3" s="81" t="s">
        <v>134</v>
      </c>
    </row>
    <row r="4" spans="1:31" ht="14.1" customHeight="1">
      <c r="S4" s="4"/>
      <c r="T4" s="13" t="s">
        <v>8</v>
      </c>
      <c r="U4" s="14" t="s">
        <v>10</v>
      </c>
      <c r="V4" s="15" t="s">
        <v>11</v>
      </c>
      <c r="W4" s="16" t="s">
        <v>7</v>
      </c>
      <c r="X4" s="17" t="s">
        <v>13</v>
      </c>
      <c r="AA4" s="2" t="s">
        <v>135</v>
      </c>
      <c r="AB4" s="2">
        <v>3600</v>
      </c>
      <c r="AD4" s="2">
        <v>800</v>
      </c>
    </row>
    <row r="5" spans="1:31" ht="14.1" customHeight="1">
      <c r="S5" s="4"/>
      <c r="T5" s="23">
        <f t="shared" ref="T5:T25" si="0">T6+0.05</f>
        <v>1.2000000000000004</v>
      </c>
      <c r="U5" s="24">
        <f t="shared" ref="U5:U25" si="1">LOG(T5)</f>
        <v>7.918124604762497E-2</v>
      </c>
      <c r="V5" s="25">
        <f t="shared" ref="V5:V27" si="2">10^(-0.381488-1.04357*$U5-0.502523*$U5^2+0.0704883*$U5^3)</f>
        <v>0.3410084706905987</v>
      </c>
      <c r="W5" s="26">
        <f t="shared" ref="W5:W25" si="3">1/(SQRT(V5)*T5)</f>
        <v>1.4270400783536472</v>
      </c>
      <c r="X5" s="27">
        <f t="shared" ref="X5:X27" si="4">10^(-0.097358-0.0800538*$U5+0.151771*$U5^2+0.340467*$U5^3)</f>
        <v>0.78963032006907463</v>
      </c>
      <c r="Z5" s="2">
        <v>250</v>
      </c>
      <c r="AA5" s="2" t="s">
        <v>136</v>
      </c>
      <c r="AC5" s="2">
        <v>1500</v>
      </c>
      <c r="AE5" s="82">
        <v>1500</v>
      </c>
    </row>
    <row r="6" spans="1:31" ht="14.1" customHeight="1">
      <c r="Q6" s="31"/>
      <c r="R6" s="32"/>
      <c r="S6" s="4"/>
      <c r="T6" s="23">
        <f t="shared" si="0"/>
        <v>1.1500000000000004</v>
      </c>
      <c r="U6" s="24">
        <f t="shared" si="1"/>
        <v>6.0697840353611816E-2</v>
      </c>
      <c r="V6" s="25">
        <f t="shared" si="2"/>
        <v>0.35754763393175026</v>
      </c>
      <c r="W6" s="26">
        <f t="shared" si="3"/>
        <v>1.454237051116839</v>
      </c>
      <c r="X6" s="27">
        <f t="shared" si="4"/>
        <v>0.79144037708394976</v>
      </c>
      <c r="AA6" s="2" t="s">
        <v>8</v>
      </c>
      <c r="AB6" s="83">
        <v>0.1</v>
      </c>
      <c r="AC6" s="83"/>
      <c r="AD6" s="83">
        <v>0.75</v>
      </c>
      <c r="AE6" s="82"/>
    </row>
    <row r="7" spans="1:31" ht="14.1" customHeight="1">
      <c r="Q7" s="36"/>
      <c r="R7" s="37"/>
      <c r="S7" s="4"/>
      <c r="T7" s="23">
        <f t="shared" si="0"/>
        <v>1.1000000000000003</v>
      </c>
      <c r="U7" s="24">
        <f t="shared" si="1"/>
        <v>4.1392685158225161E-2</v>
      </c>
      <c r="V7" s="25">
        <f t="shared" si="2"/>
        <v>0.37537023704703071</v>
      </c>
      <c r="W7" s="26">
        <f t="shared" si="3"/>
        <v>1.4838069383565089</v>
      </c>
      <c r="X7" s="27">
        <f t="shared" si="4"/>
        <v>0.79361988647323023</v>
      </c>
      <c r="Z7" s="2">
        <v>10</v>
      </c>
      <c r="AB7" s="2">
        <f t="shared" ref="AB7:AB29" si="5">AB$6^2*3600/(3650*(AB$4/1500)^2)*($Z7*g)^(3/2)</f>
        <v>1.662996808818026</v>
      </c>
      <c r="AC7" s="82">
        <f t="shared" ref="AC7:AC29" si="6">AC$5*1000/(g*AB7/3600)</f>
        <v>331105327.54478806</v>
      </c>
      <c r="AD7" s="2">
        <f t="shared" ref="AD7:AD29" si="7">AD$6^2*3600/(3650*(AD$4/1500)^2)*($Z7*g)^(3/2)</f>
        <v>1894.2573025442825</v>
      </c>
      <c r="AE7" s="82">
        <f t="shared" ref="AE7:AE29" si="8">AE$5*1000/(g*AD7/3600)</f>
        <v>290682.31773479341</v>
      </c>
    </row>
    <row r="8" spans="1:31" ht="14.1" customHeight="1">
      <c r="Q8" s="33"/>
      <c r="R8" s="32"/>
      <c r="S8" s="4"/>
      <c r="T8" s="23">
        <f t="shared" si="0"/>
        <v>1.0500000000000003</v>
      </c>
      <c r="U8" s="24">
        <f t="shared" si="1"/>
        <v>2.1189299069938182E-2</v>
      </c>
      <c r="V8" s="25">
        <f t="shared" si="2"/>
        <v>0.39461585254425141</v>
      </c>
      <c r="W8" s="26">
        <f t="shared" si="3"/>
        <v>1.5160846025250829</v>
      </c>
      <c r="X8" s="27">
        <f t="shared" si="4"/>
        <v>0.79619069607329174</v>
      </c>
      <c r="Z8" s="2">
        <v>50</v>
      </c>
      <c r="AB8" s="2">
        <f t="shared" si="5"/>
        <v>18.592869554411653</v>
      </c>
      <c r="AC8" s="82">
        <f t="shared" si="6"/>
        <v>29614960.804099165</v>
      </c>
      <c r="AD8" s="2">
        <f t="shared" si="7"/>
        <v>21178.440476822019</v>
      </c>
      <c r="AE8" s="82">
        <f t="shared" si="8"/>
        <v>25999.41689248761</v>
      </c>
    </row>
    <row r="9" spans="1:31" ht="14.1" customHeight="1">
      <c r="Q9" s="12"/>
      <c r="R9" s="38"/>
      <c r="S9" s="4"/>
      <c r="T9" s="23">
        <f t="shared" si="0"/>
        <v>1.0000000000000002</v>
      </c>
      <c r="U9" s="24">
        <f t="shared" si="1"/>
        <v>9.6432746655328696E-17</v>
      </c>
      <c r="V9" s="25">
        <f t="shared" si="2"/>
        <v>0.41544353021222824</v>
      </c>
      <c r="W9" s="26">
        <f t="shared" si="3"/>
        <v>1.5514722067892768</v>
      </c>
      <c r="X9" s="27">
        <f t="shared" si="4"/>
        <v>0.79917520293823352</v>
      </c>
      <c r="Z9" s="2">
        <v>100</v>
      </c>
      <c r="AB9" s="2">
        <f t="shared" si="5"/>
        <v>52.588576574565487</v>
      </c>
      <c r="AC9" s="82">
        <f t="shared" si="6"/>
        <v>10470469.804576175</v>
      </c>
      <c r="AD9" s="2">
        <f t="shared" si="7"/>
        <v>59901.675504465988</v>
      </c>
      <c r="AE9" s="82">
        <f t="shared" si="8"/>
        <v>9192.1819957870412</v>
      </c>
    </row>
    <row r="10" spans="1:31" ht="14.1" customHeight="1">
      <c r="Q10" s="31"/>
      <c r="R10" s="32"/>
      <c r="S10" s="4"/>
      <c r="T10" s="23">
        <f t="shared" si="0"/>
        <v>0.95000000000000029</v>
      </c>
      <c r="U10" s="24">
        <f t="shared" si="1"/>
        <v>-2.22763947111521E-2</v>
      </c>
      <c r="V10" s="25">
        <f t="shared" si="2"/>
        <v>0.43803501424220792</v>
      </c>
      <c r="W10" s="26">
        <f t="shared" si="3"/>
        <v>1.5904571803159357</v>
      </c>
      <c r="X10" s="27">
        <f t="shared" si="4"/>
        <v>0.80259575964204466</v>
      </c>
      <c r="Z10" s="2">
        <v>150</v>
      </c>
      <c r="AB10" s="2">
        <f t="shared" si="5"/>
        <v>96.611384180224306</v>
      </c>
      <c r="AC10" s="82">
        <f t="shared" si="6"/>
        <v>5699401.8640956338</v>
      </c>
      <c r="AD10" s="2">
        <f t="shared" si="7"/>
        <v>110046.40479278674</v>
      </c>
      <c r="AE10" s="82">
        <f t="shared" si="8"/>
        <v>5003.5901138836853</v>
      </c>
    </row>
    <row r="11" spans="1:31" ht="14.1" customHeight="1">
      <c r="Q11" s="36"/>
      <c r="R11" s="37"/>
      <c r="S11" s="4"/>
      <c r="T11" s="23">
        <f t="shared" si="0"/>
        <v>0.90000000000000024</v>
      </c>
      <c r="U11" s="24">
        <f t="shared" si="1"/>
        <v>-4.5757490560675004E-2</v>
      </c>
      <c r="V11" s="25">
        <f t="shared" si="2"/>
        <v>0.46259851555786097</v>
      </c>
      <c r="W11" s="26">
        <f t="shared" si="3"/>
        <v>1.6336362929180528</v>
      </c>
      <c r="X11" s="27">
        <f t="shared" si="4"/>
        <v>0.80647370698650178</v>
      </c>
      <c r="Z11" s="2">
        <v>250</v>
      </c>
      <c r="AB11" s="2">
        <f t="shared" si="5"/>
        <v>207.8746011022528</v>
      </c>
      <c r="AC11" s="82">
        <f t="shared" si="6"/>
        <v>2648842.6203583106</v>
      </c>
      <c r="AD11" s="2">
        <f t="shared" si="7"/>
        <v>236782.16281803479</v>
      </c>
      <c r="AE11" s="82">
        <f t="shared" si="8"/>
        <v>2325.4585418783527</v>
      </c>
    </row>
    <row r="12" spans="1:31" ht="14.1" customHeight="1">
      <c r="Q12" s="33"/>
      <c r="R12" s="32"/>
      <c r="S12" s="4"/>
      <c r="T12" s="23">
        <f t="shared" si="0"/>
        <v>0.8500000000000002</v>
      </c>
      <c r="U12" s="24">
        <f t="shared" si="1"/>
        <v>-7.058107428570716E-2</v>
      </c>
      <c r="V12" s="25">
        <f t="shared" si="2"/>
        <v>0.48937310115559246</v>
      </c>
      <c r="W12" s="26">
        <f t="shared" si="3"/>
        <v>1.6817484154010878</v>
      </c>
      <c r="X12" s="27">
        <f t="shared" si="4"/>
        <v>0.81082782972204237</v>
      </c>
      <c r="Z12" s="2">
        <v>500</v>
      </c>
      <c r="AB12" s="2">
        <f t="shared" si="5"/>
        <v>587.95816030340666</v>
      </c>
      <c r="AC12" s="82">
        <f t="shared" si="6"/>
        <v>936507.28957565164</v>
      </c>
      <c r="AD12" s="2">
        <f t="shared" si="7"/>
        <v>669721.09197059902</v>
      </c>
      <c r="AE12" s="82">
        <f t="shared" si="8"/>
        <v>822.17375216518121</v>
      </c>
    </row>
    <row r="13" spans="1:31" ht="14.1" customHeight="1">
      <c r="Q13" s="33"/>
      <c r="R13" s="32"/>
      <c r="S13" s="4"/>
      <c r="T13" s="23">
        <f t="shared" si="0"/>
        <v>0.80000000000000016</v>
      </c>
      <c r="U13" s="24">
        <f t="shared" si="1"/>
        <v>-9.6910013008056337E-2</v>
      </c>
      <c r="V13" s="25">
        <f t="shared" si="2"/>
        <v>0.51863372994047663</v>
      </c>
      <c r="W13" s="26">
        <f t="shared" si="3"/>
        <v>1.735719864985616</v>
      </c>
      <c r="X13" s="27">
        <f t="shared" si="4"/>
        <v>0.81567191451966647</v>
      </c>
      <c r="Z13" s="2">
        <v>750</v>
      </c>
      <c r="AB13" s="2">
        <f t="shared" si="5"/>
        <v>1080.1481121366494</v>
      </c>
      <c r="AC13" s="82">
        <f t="shared" si="6"/>
        <v>509769.99996827292</v>
      </c>
      <c r="AD13" s="2">
        <f t="shared" si="7"/>
        <v>1230356.208980652</v>
      </c>
      <c r="AE13" s="82">
        <f t="shared" si="8"/>
        <v>447.53470504759218</v>
      </c>
    </row>
    <row r="14" spans="1:31" ht="14.1" customHeight="1">
      <c r="Q14" s="31"/>
      <c r="R14" s="32"/>
      <c r="S14" s="4"/>
      <c r="T14" s="23">
        <f t="shared" si="0"/>
        <v>0.75000000000000011</v>
      </c>
      <c r="U14" s="24">
        <f t="shared" si="1"/>
        <v>-0.12493873660829989</v>
      </c>
      <c r="V14" s="25">
        <f t="shared" si="2"/>
        <v>0.5506968851456836</v>
      </c>
      <c r="W14" s="26">
        <f t="shared" si="3"/>
        <v>1.7967283754112209</v>
      </c>
      <c r="X14" s="27">
        <f t="shared" si="4"/>
        <v>0.82101089664494931</v>
      </c>
      <c r="Z14" s="2">
        <v>1000</v>
      </c>
      <c r="AB14" s="2">
        <f t="shared" si="5"/>
        <v>1662.9968088180258</v>
      </c>
      <c r="AC14" s="82">
        <f t="shared" si="6"/>
        <v>331105.32754478813</v>
      </c>
      <c r="AD14" s="2">
        <f t="shared" si="7"/>
        <v>1894257.3025442821</v>
      </c>
      <c r="AE14" s="82">
        <f t="shared" si="8"/>
        <v>290.68231773479351</v>
      </c>
    </row>
    <row r="15" spans="1:31" ht="14.1" customHeight="1">
      <c r="Q15" s="36"/>
      <c r="R15" s="37"/>
      <c r="S15" s="4"/>
      <c r="T15" s="23">
        <f t="shared" si="0"/>
        <v>0.70000000000000007</v>
      </c>
      <c r="U15" s="24">
        <f t="shared" si="1"/>
        <v>-0.15490195998574313</v>
      </c>
      <c r="V15" s="25">
        <f t="shared" si="2"/>
        <v>0.58592657960074268</v>
      </c>
      <c r="W15" s="26">
        <f t="shared" si="3"/>
        <v>1.8662952908662922</v>
      </c>
      <c r="X15" s="27">
        <f t="shared" si="4"/>
        <v>0.82683475869002665</v>
      </c>
      <c r="Z15" s="2">
        <f t="shared" ref="Z15:Z28" si="9">Z14+$Z$5</f>
        <v>1250</v>
      </c>
      <c r="AB15" s="2">
        <f t="shared" si="5"/>
        <v>2324.1086943014552</v>
      </c>
      <c r="AC15" s="82">
        <f t="shared" si="6"/>
        <v>236919.68643279347</v>
      </c>
      <c r="AD15" s="2">
        <f t="shared" si="7"/>
        <v>2647305.0596027509</v>
      </c>
      <c r="AE15" s="82">
        <f t="shared" si="8"/>
        <v>207.99533513990104</v>
      </c>
    </row>
    <row r="16" spans="1:31" ht="14.1" customHeight="1">
      <c r="S16" s="4"/>
      <c r="T16" s="23">
        <f t="shared" si="0"/>
        <v>0.65</v>
      </c>
      <c r="U16" s="24">
        <f t="shared" si="1"/>
        <v>-0.18708664335714442</v>
      </c>
      <c r="V16" s="25">
        <f t="shared" si="2"/>
        <v>0.62474014706077041</v>
      </c>
      <c r="W16" s="26">
        <f t="shared" si="3"/>
        <v>1.9464216904259914</v>
      </c>
      <c r="X16" s="27">
        <f t="shared" si="4"/>
        <v>0.8331087908582816</v>
      </c>
      <c r="Z16" s="2">
        <f t="shared" si="9"/>
        <v>1500</v>
      </c>
      <c r="AB16" s="2">
        <f t="shared" si="5"/>
        <v>3055.1202191106859</v>
      </c>
      <c r="AC16" s="82">
        <f t="shared" si="6"/>
        <v>180230.91191151613</v>
      </c>
      <c r="AD16" s="2">
        <f t="shared" si="7"/>
        <v>3479972.8745807651</v>
      </c>
      <c r="AE16" s="82">
        <f t="shared" si="8"/>
        <v>158.22741237773707</v>
      </c>
    </row>
    <row r="17" spans="17:31" ht="14.1" customHeight="1">
      <c r="S17" s="4"/>
      <c r="T17" s="23">
        <f t="shared" si="0"/>
        <v>0.6</v>
      </c>
      <c r="U17" s="24">
        <f t="shared" si="1"/>
        <v>-0.22184874961635639</v>
      </c>
      <c r="V17" s="25">
        <f t="shared" si="2"/>
        <v>0.66761248680697594</v>
      </c>
      <c r="W17" s="26">
        <f t="shared" si="3"/>
        <v>2.0397950057679184</v>
      </c>
      <c r="X17" s="27">
        <f t="shared" si="4"/>
        <v>0.83975784835365697</v>
      </c>
      <c r="Z17" s="2">
        <f t="shared" si="9"/>
        <v>1750</v>
      </c>
      <c r="AB17" s="2">
        <f t="shared" si="5"/>
        <v>3849.8914888232034</v>
      </c>
      <c r="AC17" s="82">
        <f t="shared" si="6"/>
        <v>143024.05786972976</v>
      </c>
      <c r="AD17" s="2">
        <f t="shared" si="7"/>
        <v>4385267.0239876788</v>
      </c>
      <c r="AE17" s="82">
        <f t="shared" si="8"/>
        <v>125.56295889797951</v>
      </c>
    </row>
    <row r="18" spans="17:31" s="46" customFormat="1" ht="14.1" customHeight="1">
      <c r="R18" s="3"/>
      <c r="T18" s="23">
        <f t="shared" si="0"/>
        <v>0.54999999999999993</v>
      </c>
      <c r="U18" s="24">
        <f t="shared" si="1"/>
        <v>-0.25963731050575622</v>
      </c>
      <c r="V18" s="25">
        <f t="shared" si="2"/>
        <v>0.71507589342353095</v>
      </c>
      <c r="W18" s="26">
        <f t="shared" si="3"/>
        <v>2.1501127860509404</v>
      </c>
      <c r="X18" s="27">
        <f t="shared" si="4"/>
        <v>0.84664047877133941</v>
      </c>
      <c r="Z18" s="2">
        <f t="shared" si="9"/>
        <v>2000</v>
      </c>
      <c r="AA18" s="2"/>
      <c r="AB18" s="2">
        <f t="shared" si="5"/>
        <v>4703.6652824272542</v>
      </c>
      <c r="AC18" s="82">
        <f t="shared" si="6"/>
        <v>117063.41119695643</v>
      </c>
      <c r="AD18" s="2">
        <f t="shared" si="7"/>
        <v>5357768.7357647941</v>
      </c>
      <c r="AE18" s="82">
        <f t="shared" si="8"/>
        <v>102.77171902064762</v>
      </c>
    </row>
    <row r="19" spans="17:31" ht="14.1" customHeight="1">
      <c r="S19" s="4"/>
      <c r="T19" s="23">
        <f t="shared" si="0"/>
        <v>0.49999999999999994</v>
      </c>
      <c r="U19" s="24">
        <f t="shared" si="1"/>
        <v>-0.30102999566398125</v>
      </c>
      <c r="V19" s="25">
        <f t="shared" si="2"/>
        <v>0.76770939844116437</v>
      </c>
      <c r="W19" s="26">
        <f t="shared" si="3"/>
        <v>2.2826092191348621</v>
      </c>
      <c r="X19" s="27">
        <f t="shared" si="4"/>
        <v>0.85350549642134788</v>
      </c>
      <c r="Z19" s="2">
        <f t="shared" si="9"/>
        <v>2250</v>
      </c>
      <c r="AB19" s="2">
        <f t="shared" si="5"/>
        <v>5612.6142297608358</v>
      </c>
      <c r="AC19" s="82">
        <f t="shared" si="6"/>
        <v>98105.282235492807</v>
      </c>
      <c r="AD19" s="2">
        <f t="shared" si="7"/>
        <v>6393118.3960869508</v>
      </c>
      <c r="AE19" s="82">
        <f t="shared" si="8"/>
        <v>86.128094143642528</v>
      </c>
    </row>
    <row r="20" spans="17:31" ht="14.1" customHeight="1">
      <c r="S20" s="4"/>
      <c r="T20" s="23">
        <f t="shared" si="0"/>
        <v>0.44999999999999996</v>
      </c>
      <c r="U20" s="24">
        <f t="shared" si="1"/>
        <v>-0.34678748622465638</v>
      </c>
      <c r="V20" s="25">
        <f t="shared" si="2"/>
        <v>0.82610469012025167</v>
      </c>
      <c r="W20" s="26">
        <f t="shared" si="3"/>
        <v>2.444949776043845</v>
      </c>
      <c r="X20" s="27">
        <f t="shared" si="4"/>
        <v>0.85991718381879456</v>
      </c>
      <c r="Z20" s="2">
        <f t="shared" si="9"/>
        <v>2500</v>
      </c>
      <c r="AB20" s="2">
        <f t="shared" si="5"/>
        <v>6573.572071820694</v>
      </c>
      <c r="AC20" s="82">
        <f t="shared" si="6"/>
        <v>83763.758436609292</v>
      </c>
      <c r="AD20" s="2">
        <f t="shared" si="7"/>
        <v>7487709.438058258</v>
      </c>
      <c r="AE20" s="82">
        <f t="shared" si="8"/>
        <v>73.537455966296235</v>
      </c>
    </row>
    <row r="21" spans="17:31" ht="14.1" customHeight="1">
      <c r="S21" s="4"/>
      <c r="T21" s="23">
        <f t="shared" si="0"/>
        <v>0.39999999999999997</v>
      </c>
      <c r="U21" s="24">
        <f t="shared" si="1"/>
        <v>-0.39794000867203766</v>
      </c>
      <c r="V21" s="25">
        <f t="shared" si="2"/>
        <v>0.89078046805250233</v>
      </c>
      <c r="W21" s="26">
        <f t="shared" si="3"/>
        <v>2.6488335332060342</v>
      </c>
      <c r="X21" s="27">
        <f t="shared" si="4"/>
        <v>0.86512234600801541</v>
      </c>
      <c r="Z21" s="2">
        <f t="shared" si="9"/>
        <v>2750</v>
      </c>
      <c r="AB21" s="2">
        <f t="shared" si="5"/>
        <v>7583.8626083106947</v>
      </c>
      <c r="AC21" s="82">
        <f t="shared" si="6"/>
        <v>72605.100003556377</v>
      </c>
      <c r="AD21" s="2">
        <f t="shared" si="7"/>
        <v>8638493.5022788998</v>
      </c>
      <c r="AE21" s="82">
        <f t="shared" si="8"/>
        <v>63.741102883780627</v>
      </c>
    </row>
    <row r="22" spans="17:31" ht="14.1" customHeight="1">
      <c r="S22" s="4"/>
      <c r="T22" s="23">
        <f t="shared" si="0"/>
        <v>0.35</v>
      </c>
      <c r="U22" s="24">
        <f t="shared" si="1"/>
        <v>-0.45593195564972439</v>
      </c>
      <c r="V22" s="25">
        <f t="shared" si="2"/>
        <v>0.96198177721143163</v>
      </c>
      <c r="W22" s="26">
        <f t="shared" si="3"/>
        <v>2.9130539844292533</v>
      </c>
      <c r="X22" s="27">
        <f t="shared" si="4"/>
        <v>0.86780489251407511</v>
      </c>
      <c r="Z22" s="2">
        <f t="shared" si="9"/>
        <v>3000</v>
      </c>
      <c r="AB22" s="2">
        <f t="shared" si="5"/>
        <v>8641.184897093166</v>
      </c>
      <c r="AC22" s="82">
        <f t="shared" si="6"/>
        <v>63721.249996034334</v>
      </c>
      <c r="AD22" s="2">
        <f t="shared" si="7"/>
        <v>9842849.6718451828</v>
      </c>
      <c r="AE22" s="82">
        <f t="shared" si="8"/>
        <v>55.941838130949222</v>
      </c>
    </row>
    <row r="23" spans="17:31" ht="14.1" customHeight="1">
      <c r="S23" s="4"/>
      <c r="T23" s="23">
        <f t="shared" si="0"/>
        <v>0.3</v>
      </c>
      <c r="U23" s="24">
        <f t="shared" si="1"/>
        <v>-0.52287874528033762</v>
      </c>
      <c r="V23" s="25">
        <f t="shared" si="2"/>
        <v>1.0392139037257673</v>
      </c>
      <c r="W23" s="26">
        <f t="shared" si="3"/>
        <v>3.2698382588292727</v>
      </c>
      <c r="X23" s="27">
        <f t="shared" si="4"/>
        <v>0.86561164027111293</v>
      </c>
      <c r="Z23" s="2">
        <f t="shared" si="9"/>
        <v>3250</v>
      </c>
      <c r="AB23" s="2">
        <f t="shared" si="5"/>
        <v>9743.5329308303353</v>
      </c>
      <c r="AC23" s="82">
        <f t="shared" si="6"/>
        <v>56512.058510865616</v>
      </c>
      <c r="AD23" s="2">
        <f t="shared" si="7"/>
        <v>11098492.979023928</v>
      </c>
      <c r="AE23" s="82">
        <f t="shared" si="8"/>
        <v>49.612781134367623</v>
      </c>
    </row>
    <row r="24" spans="17:31" s="46" customFormat="1" ht="14.1" customHeight="1">
      <c r="R24" s="3"/>
      <c r="T24" s="23">
        <f>T25+0.05</f>
        <v>0.25</v>
      </c>
      <c r="U24" s="24">
        <f t="shared" si="1"/>
        <v>-0.6020599913279624</v>
      </c>
      <c r="V24" s="25">
        <f t="shared" si="2"/>
        <v>1.1201295836261296</v>
      </c>
      <c r="W24" s="26">
        <f t="shared" si="3"/>
        <v>3.7794260972471108</v>
      </c>
      <c r="X24" s="27">
        <f t="shared" si="4"/>
        <v>0.85418438326437196</v>
      </c>
      <c r="Z24" s="2">
        <f t="shared" si="9"/>
        <v>3500</v>
      </c>
      <c r="AA24" s="2"/>
      <c r="AB24" s="2">
        <f t="shared" si="5"/>
        <v>10889.137514317052</v>
      </c>
      <c r="AC24" s="82">
        <f t="shared" si="6"/>
        <v>50566.640596251505</v>
      </c>
      <c r="AD24" s="2">
        <f t="shared" si="7"/>
        <v>12403408.199901765</v>
      </c>
      <c r="AE24" s="82">
        <f t="shared" si="8"/>
        <v>44.393209851304483</v>
      </c>
    </row>
    <row r="25" spans="17:31" ht="14.1" customHeight="1">
      <c r="S25" s="4"/>
      <c r="T25" s="23">
        <f t="shared" si="0"/>
        <v>0.2</v>
      </c>
      <c r="U25" s="24">
        <f t="shared" si="1"/>
        <v>-0.69897000433601875</v>
      </c>
      <c r="V25" s="25">
        <f t="shared" si="2"/>
        <v>1.1977137667353135</v>
      </c>
      <c r="W25" s="26">
        <f t="shared" si="3"/>
        <v>4.5687088600097159</v>
      </c>
      <c r="X25" s="27">
        <f t="shared" si="4"/>
        <v>0.82505112887815613</v>
      </c>
      <c r="Z25" s="2">
        <f>Z24+$Z$5</f>
        <v>3750</v>
      </c>
      <c r="AB25" s="2">
        <f t="shared" si="5"/>
        <v>12076.423022528033</v>
      </c>
      <c r="AC25" s="82">
        <f t="shared" si="6"/>
        <v>45595.214912765092</v>
      </c>
      <c r="AD25" s="2">
        <f t="shared" si="7"/>
        <v>13755800.599098336</v>
      </c>
      <c r="AE25" s="82">
        <f t="shared" si="8"/>
        <v>40.028720911069492</v>
      </c>
    </row>
    <row r="26" spans="17:31" s="45" customFormat="1" ht="14.1" customHeight="1">
      <c r="R26" s="51"/>
      <c r="T26" s="23">
        <f>T27+0.05</f>
        <v>0.15000000000000002</v>
      </c>
      <c r="U26" s="24">
        <f>LOG(T26)</f>
        <v>-0.82390874094431865</v>
      </c>
      <c r="V26" s="25">
        <f t="shared" si="2"/>
        <v>1.2524763517820845</v>
      </c>
      <c r="W26" s="26">
        <f>1/(SQRT(V26)*T26)</f>
        <v>5.9569502577467786</v>
      </c>
      <c r="X26" s="27">
        <f t="shared" si="4"/>
        <v>0.76068553507535552</v>
      </c>
      <c r="Z26" s="2">
        <f t="shared" si="9"/>
        <v>4000</v>
      </c>
      <c r="AA26" s="2"/>
      <c r="AB26" s="2">
        <f t="shared" si="5"/>
        <v>13303.974470544184</v>
      </c>
      <c r="AC26" s="82">
        <f t="shared" si="6"/>
        <v>41388.165943098589</v>
      </c>
      <c r="AD26" s="2">
        <f t="shared" si="7"/>
        <v>15154058.420354234</v>
      </c>
      <c r="AE26" s="82">
        <f t="shared" si="8"/>
        <v>36.335289716849239</v>
      </c>
    </row>
    <row r="27" spans="17:31" s="45" customFormat="1" ht="14.1" customHeight="1">
      <c r="R27" s="51"/>
      <c r="T27" s="23">
        <v>0.1</v>
      </c>
      <c r="U27" s="24">
        <f>LOG(T27)</f>
        <v>-1</v>
      </c>
      <c r="V27" s="25">
        <f t="shared" si="2"/>
        <v>1.2276390656513998</v>
      </c>
      <c r="W27" s="26">
        <f>1/(SQRT(V27)*T27)</f>
        <v>9.0253624129547383</v>
      </c>
      <c r="X27" s="27">
        <f t="shared" si="4"/>
        <v>0.62229999858935348</v>
      </c>
      <c r="Z27" s="2">
        <f t="shared" si="9"/>
        <v>4250</v>
      </c>
      <c r="AA27" s="2"/>
      <c r="AB27" s="2">
        <f t="shared" si="5"/>
        <v>14570.511932871372</v>
      </c>
      <c r="AC27" s="82">
        <f t="shared" si="6"/>
        <v>37790.511797145839</v>
      </c>
      <c r="AD27" s="2">
        <f t="shared" si="7"/>
        <v>16596723.748536294</v>
      </c>
      <c r="AE27" s="82">
        <f t="shared" si="8"/>
        <v>33.176855350032021</v>
      </c>
    </row>
    <row r="28" spans="17:31" s="45" customFormat="1" ht="14.1" customHeight="1">
      <c r="R28" s="51"/>
      <c r="T28" s="54"/>
      <c r="X28" s="55"/>
      <c r="Z28" s="2">
        <f t="shared" si="9"/>
        <v>4500</v>
      </c>
      <c r="AA28" s="2"/>
      <c r="AB28" s="2">
        <f t="shared" si="5"/>
        <v>15874.87032819201</v>
      </c>
      <c r="AC28" s="82">
        <f t="shared" si="6"/>
        <v>34685.455169468514</v>
      </c>
      <c r="AD28" s="2">
        <f t="shared" si="7"/>
        <v>18082469.483206209</v>
      </c>
      <c r="AE28" s="82">
        <f t="shared" si="8"/>
        <v>30.450879709821464</v>
      </c>
    </row>
    <row r="29" spans="17:31" s="45" customFormat="1" ht="14.1" customHeight="1">
      <c r="R29" s="51"/>
      <c r="T29" s="60" t="s">
        <v>12</v>
      </c>
      <c r="U29" s="61"/>
      <c r="X29" s="55"/>
      <c r="Z29" s="2">
        <v>5000</v>
      </c>
      <c r="AA29" s="2"/>
      <c r="AB29" s="2">
        <f t="shared" si="5"/>
        <v>18592.869554411649</v>
      </c>
      <c r="AC29" s="82">
        <f t="shared" si="6"/>
        <v>29614.960804099173</v>
      </c>
      <c r="AD29" s="2">
        <f t="shared" si="7"/>
        <v>21178440.476822015</v>
      </c>
      <c r="AE29" s="82">
        <f t="shared" si="8"/>
        <v>25.999416892487616</v>
      </c>
    </row>
    <row r="30" spans="17:31" s="45" customFormat="1" ht="14.1" customHeight="1">
      <c r="R30" s="62"/>
      <c r="T30" s="63">
        <v>0.75</v>
      </c>
      <c r="U30" s="64">
        <v>0</v>
      </c>
      <c r="X30" s="55"/>
    </row>
    <row r="31" spans="17:31" s="45" customFormat="1" ht="14.1" customHeight="1">
      <c r="Q31" s="58"/>
      <c r="R31" s="62"/>
      <c r="T31" s="65"/>
      <c r="U31" s="64">
        <v>18</v>
      </c>
      <c r="X31" s="55"/>
    </row>
    <row r="32" spans="17:31" s="45" customFormat="1" ht="14.1" customHeight="1">
      <c r="Q32" s="58"/>
      <c r="R32" s="62"/>
      <c r="T32" s="66">
        <v>0.1</v>
      </c>
      <c r="U32" s="45">
        <v>0</v>
      </c>
      <c r="X32" s="55"/>
    </row>
    <row r="33" spans="1:24" s="45" customFormat="1" ht="14.1" customHeight="1" thickBot="1">
      <c r="Q33" s="58"/>
      <c r="R33" s="62"/>
      <c r="T33" s="67"/>
      <c r="U33" s="68">
        <v>18</v>
      </c>
      <c r="V33" s="68"/>
      <c r="W33" s="68"/>
      <c r="X33" s="69"/>
    </row>
    <row r="34" spans="1:24" s="45" customFormat="1" ht="14.1" customHeight="1">
      <c r="A34" s="58"/>
      <c r="G34" s="4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62"/>
      <c r="T34" s="58"/>
      <c r="U34" s="58"/>
    </row>
    <row r="35" spans="1:24" s="45" customFormat="1" ht="14.1" customHeight="1">
      <c r="A35" s="58"/>
      <c r="I35" s="58"/>
      <c r="J35" s="58"/>
      <c r="K35" s="58"/>
      <c r="L35" s="58"/>
      <c r="M35" s="58"/>
      <c r="N35" s="58"/>
      <c r="O35" s="58"/>
      <c r="P35" s="58"/>
      <c r="Q35" s="58"/>
      <c r="R35" s="62"/>
      <c r="T35" s="58"/>
      <c r="U35" s="58"/>
    </row>
    <row r="40" spans="1:24" ht="14.1" customHeight="1">
      <c r="A40" s="7" t="s">
        <v>33</v>
      </c>
      <c r="B40" s="8"/>
      <c r="C40" s="9"/>
      <c r="D40" s="10"/>
      <c r="E40" s="10"/>
      <c r="F40" s="10"/>
      <c r="G40" s="11"/>
      <c r="H40" s="12"/>
      <c r="I40" s="2"/>
      <c r="J40" s="2"/>
      <c r="K40" s="2"/>
      <c r="L40" s="2"/>
      <c r="M40" s="2"/>
    </row>
    <row r="41" spans="1:24" ht="14.1" customHeight="1" thickBot="1">
      <c r="A41" s="18" t="s">
        <v>34</v>
      </c>
      <c r="B41" s="19"/>
      <c r="C41" s="20"/>
      <c r="D41" s="21"/>
      <c r="E41" s="21"/>
      <c r="F41" s="21"/>
      <c r="G41" s="22"/>
      <c r="H41" s="12"/>
      <c r="I41" s="2"/>
      <c r="J41" s="2"/>
      <c r="K41" s="2"/>
      <c r="L41" s="2"/>
      <c r="M41" s="2"/>
    </row>
    <row r="42" spans="1:24" ht="14.1" customHeight="1">
      <c r="A42" s="49"/>
      <c r="B42" s="71"/>
      <c r="C42" s="28"/>
      <c r="D42" s="28"/>
      <c r="E42" s="29"/>
      <c r="F42" s="12"/>
      <c r="G42" s="30"/>
      <c r="H42" s="31"/>
      <c r="I42" s="31"/>
      <c r="J42" s="12"/>
      <c r="K42" s="12"/>
      <c r="L42" s="31"/>
      <c r="M42" s="31"/>
      <c r="N42" s="31"/>
      <c r="O42" s="31"/>
      <c r="P42" s="31"/>
    </row>
    <row r="43" spans="1:24" ht="14.1" customHeight="1">
      <c r="A43" s="39" t="s">
        <v>15</v>
      </c>
      <c r="B43" s="40">
        <f>Pin_in_SU</f>
        <v>0</v>
      </c>
      <c r="C43" s="40" t="s">
        <v>16</v>
      </c>
      <c r="D43" s="40">
        <f>B43*g</f>
        <v>0</v>
      </c>
      <c r="E43" s="42" t="s">
        <v>17</v>
      </c>
      <c r="F43" s="12"/>
      <c r="G43" s="33"/>
      <c r="H43" s="33"/>
      <c r="I43" s="33"/>
      <c r="J43" s="34"/>
      <c r="K43" s="35"/>
      <c r="L43" s="36"/>
      <c r="M43" s="34"/>
      <c r="N43" s="36"/>
      <c r="O43" s="36"/>
      <c r="P43" s="36"/>
    </row>
    <row r="44" spans="1:24" ht="14.1" customHeight="1">
      <c r="A44" s="39" t="s">
        <v>18</v>
      </c>
      <c r="B44" s="40">
        <f>Ps_in_SU*(273.14+T_in_SU)/(273.14+T_std)</f>
        <v>0</v>
      </c>
      <c r="C44" s="40" t="s">
        <v>16</v>
      </c>
      <c r="D44" s="40">
        <f>B44*g</f>
        <v>0</v>
      </c>
      <c r="E44" s="42" t="s">
        <v>17</v>
      </c>
      <c r="F44" s="147" t="s">
        <v>196</v>
      </c>
      <c r="G44" s="30">
        <f>Sel_Fan_rev</f>
        <v>1672.3774886767021</v>
      </c>
      <c r="H44" s="31">
        <f>G44/60</f>
        <v>27.872958144611701</v>
      </c>
      <c r="I44" s="31"/>
      <c r="J44" s="12"/>
      <c r="K44" s="12" t="s">
        <v>198</v>
      </c>
      <c r="L44" s="31" t="s">
        <v>10</v>
      </c>
      <c r="M44" s="31" t="s">
        <v>11</v>
      </c>
      <c r="N44" s="31" t="s">
        <v>9</v>
      </c>
      <c r="O44" s="33"/>
      <c r="P44" s="33"/>
    </row>
    <row r="45" spans="1:24" ht="14.1" customHeight="1">
      <c r="A45" s="39" t="s">
        <v>19</v>
      </c>
      <c r="B45" s="40">
        <f>Pt_in_SU*(273.14+T_in_SU)/(273.14+T_std)</f>
        <v>713.77587437544605</v>
      </c>
      <c r="C45" s="40" t="s">
        <v>16</v>
      </c>
      <c r="D45" s="40">
        <f>IF(B45=0,1.1*B44,B45)*g</f>
        <v>7000</v>
      </c>
      <c r="E45" s="42" t="s">
        <v>17</v>
      </c>
      <c r="F45" s="22"/>
      <c r="G45" s="33" t="s">
        <v>35</v>
      </c>
      <c r="H45" s="33"/>
      <c r="I45" s="146" t="s">
        <v>197</v>
      </c>
      <c r="J45" s="34">
        <f>(2*PI()^2)^0.25*$H44*SQRT($D$48)/((IF($D$45=0,$D$44*1.1,$D$45)/$K45)^0.75)</f>
        <v>0.14715702613761439</v>
      </c>
      <c r="K45" s="35">
        <f>$B$53*(101325+$D$43)/101325</f>
        <v>1.2050000000000001</v>
      </c>
      <c r="L45" s="36">
        <f>LOG($J45)</f>
        <v>-0.83221899730920401</v>
      </c>
      <c r="M45" s="34">
        <f>10^(-0.381488-1.04357*$L45-0.502523*$L45^2+0.0704883*$L45^3)</f>
        <v>1.2540669732354601</v>
      </c>
      <c r="N45" s="36">
        <f>SQRT(2*IF($D$45=0,$D$44*1.1,$D$45)/($M45*$K45))/(PI()*$H44)</f>
        <v>1.0992011998632292</v>
      </c>
      <c r="O45" s="12"/>
      <c r="P45" s="12"/>
    </row>
    <row r="46" spans="1:24" ht="14.1" customHeight="1">
      <c r="A46" s="39" t="s">
        <v>20</v>
      </c>
      <c r="B46" s="40">
        <v>20</v>
      </c>
      <c r="C46" s="40" t="s">
        <v>21</v>
      </c>
      <c r="D46" s="40">
        <f>273.14+B46</f>
        <v>293.14</v>
      </c>
      <c r="E46" s="42" t="s">
        <v>22</v>
      </c>
      <c r="F46" s="22"/>
      <c r="G46" s="31" t="s">
        <v>36</v>
      </c>
      <c r="H46" s="33"/>
      <c r="I46" s="146" t="s">
        <v>48</v>
      </c>
      <c r="J46" s="34">
        <f>(2^(-3/2)*PI())^0.5*$N45*(IF($D$45=0,$D$44*1.1,$D$45)/($K45*$D$48^2))^0.25</f>
        <v>6.0681824771527273</v>
      </c>
      <c r="K46" s="12"/>
      <c r="L46" s="33"/>
      <c r="M46" s="33"/>
      <c r="N46" s="33"/>
      <c r="O46" s="31"/>
      <c r="P46" s="31"/>
    </row>
    <row r="47" spans="1:24" ht="14.1" customHeight="1">
      <c r="A47" s="39"/>
      <c r="B47" s="40"/>
      <c r="C47" s="40"/>
      <c r="D47" s="40"/>
      <c r="E47" s="42"/>
      <c r="O47" s="36"/>
      <c r="P47" s="36"/>
    </row>
    <row r="48" spans="1:24" ht="14.1" customHeight="1">
      <c r="A48" s="39" t="s">
        <v>23</v>
      </c>
      <c r="B48" s="40">
        <f>Q_in_SU</f>
        <v>10000</v>
      </c>
      <c r="C48" s="40" t="s">
        <v>24</v>
      </c>
      <c r="D48" s="50">
        <f>B48/3600</f>
        <v>2.7777777777777777</v>
      </c>
      <c r="E48" s="42" t="s">
        <v>25</v>
      </c>
      <c r="F48" s="147" t="s">
        <v>37</v>
      </c>
      <c r="G48" s="30">
        <f>B49*60</f>
        <v>3000</v>
      </c>
      <c r="H48" s="31">
        <f>B49</f>
        <v>50</v>
      </c>
      <c r="I48" s="31"/>
      <c r="J48" s="12"/>
      <c r="K48" s="12" t="s">
        <v>198</v>
      </c>
      <c r="L48" s="31" t="s">
        <v>10</v>
      </c>
      <c r="M48" s="31" t="s">
        <v>11</v>
      </c>
      <c r="N48" s="31" t="s">
        <v>9</v>
      </c>
      <c r="O48" s="33"/>
      <c r="P48" s="33"/>
    </row>
    <row r="49" spans="1:16" ht="14.1" customHeight="1">
      <c r="A49" s="39" t="s">
        <v>95</v>
      </c>
      <c r="B49" s="40">
        <f>'Fan Selection'!I13</f>
        <v>50</v>
      </c>
      <c r="C49" s="40" t="s">
        <v>31</v>
      </c>
      <c r="D49" s="50"/>
      <c r="E49" s="42"/>
      <c r="F49" s="22"/>
      <c r="G49" s="33" t="s">
        <v>35</v>
      </c>
      <c r="H49" s="33"/>
      <c r="I49" s="146" t="s">
        <v>197</v>
      </c>
      <c r="J49" s="34">
        <f>(2*PI()^2)^0.25*$H48*SQRT($D$48)/((IF($D$45=0,$D$44*1.1,$D$45)/$K49)^0.75)</f>
        <v>0.26397812778630791</v>
      </c>
      <c r="K49" s="35">
        <f>$B$53*(101325+$D$43)/101325</f>
        <v>1.2050000000000001</v>
      </c>
      <c r="L49" s="36">
        <f>LOG($J49)</f>
        <v>-0.5784320556120901</v>
      </c>
      <c r="M49" s="34">
        <f>10^(-0.381488-1.04357*$L49-0.502523*$L49^2+0.0704883*$L49^3)</f>
        <v>1.0974089261394102</v>
      </c>
      <c r="N49" s="36">
        <f>SQRT(2*IF($D$45=0,$D$44*1.1,$D$45)/($M49*$K49))/(PI()*$H48)</f>
        <v>0.65503781630029101</v>
      </c>
      <c r="O49" s="33"/>
      <c r="P49" s="33"/>
    </row>
    <row r="50" spans="1:16" ht="14.1" customHeight="1">
      <c r="A50" s="39" t="s">
        <v>94</v>
      </c>
      <c r="B50" s="40" t="str">
        <f>'Fan Selection'!I14</f>
        <v>Y</v>
      </c>
      <c r="C50" s="40"/>
      <c r="D50" s="40"/>
      <c r="E50" s="42"/>
      <c r="F50" s="22"/>
      <c r="G50" s="31" t="s">
        <v>36</v>
      </c>
      <c r="H50" s="33"/>
      <c r="I50" s="146" t="s">
        <v>48</v>
      </c>
      <c r="J50" s="34">
        <f>(2^(-3/2)*PI())^0.5*$N49*(IF($D$45=0,$D$44*1.1,$D$45)/($K49*$D$48^2))^0.25</f>
        <v>3.6161614445475485</v>
      </c>
      <c r="K50" s="12"/>
      <c r="L50" s="33"/>
      <c r="M50" s="33"/>
      <c r="N50" s="33"/>
      <c r="O50" s="31"/>
      <c r="P50" s="31"/>
    </row>
    <row r="51" spans="1:16" ht="14.1" customHeight="1">
      <c r="A51" s="1"/>
      <c r="B51" s="74"/>
      <c r="C51" s="40"/>
      <c r="D51" s="40"/>
      <c r="E51" s="42"/>
      <c r="F51" s="12"/>
      <c r="G51" s="12"/>
      <c r="H51" s="12"/>
      <c r="I51" s="33"/>
      <c r="J51" s="33"/>
      <c r="K51" s="12"/>
      <c r="L51" s="33"/>
      <c r="M51" s="33"/>
      <c r="N51" s="33"/>
      <c r="O51" s="36"/>
      <c r="P51" s="36"/>
    </row>
    <row r="52" spans="1:16" ht="14.1" customHeight="1">
      <c r="A52" s="1"/>
      <c r="B52" s="74"/>
      <c r="C52" s="74"/>
      <c r="D52" s="40"/>
      <c r="E52" s="42"/>
      <c r="F52" s="147" t="s">
        <v>38</v>
      </c>
      <c r="G52" s="30">
        <v>600</v>
      </c>
      <c r="H52" s="31">
        <f>G52/60</f>
        <v>10</v>
      </c>
      <c r="I52" s="31"/>
      <c r="J52" s="12"/>
      <c r="K52" s="12" t="s">
        <v>198</v>
      </c>
      <c r="L52" s="31" t="s">
        <v>10</v>
      </c>
      <c r="M52" s="31" t="s">
        <v>11</v>
      </c>
      <c r="N52" s="31" t="s">
        <v>9</v>
      </c>
    </row>
    <row r="53" spans="1:16" ht="14.1" customHeight="1">
      <c r="A53" s="39" t="s">
        <v>29</v>
      </c>
      <c r="B53" s="41">
        <f>'Fan Selection'!I17</f>
        <v>1.2050000000000001</v>
      </c>
      <c r="C53" s="40" t="s">
        <v>30</v>
      </c>
      <c r="D53" s="41"/>
      <c r="E53" s="42"/>
      <c r="F53" s="22"/>
      <c r="G53" s="33" t="s">
        <v>35</v>
      </c>
      <c r="H53" s="33"/>
      <c r="I53" s="146" t="s">
        <v>197</v>
      </c>
      <c r="J53" s="34">
        <f>(2*PI()^2)^0.25*$H52*SQRT($D$48)/((IF($D$45=0,$D$44*1.1,$D$45)/$K53)^0.75)</f>
        <v>5.279562555726159E-2</v>
      </c>
      <c r="K53" s="35">
        <f>$B$53*(101325+$D$43)/101325</f>
        <v>1.2050000000000001</v>
      </c>
      <c r="L53" s="36">
        <f>LOG($J53)</f>
        <v>-1.2774020599481088</v>
      </c>
      <c r="M53" s="34">
        <f>10^(-0.381488-1.04357*$L53-0.502523*$L53^2+0.0704883*$L53^3)</f>
        <v>0.96527070028431139</v>
      </c>
      <c r="N53" s="36">
        <f>SQRT(2*IF($D$45=0,$D$44*1.1,$D$45)/($M53*$K53))/(PI()*$H52)</f>
        <v>3.492175488871768</v>
      </c>
    </row>
    <row r="54" spans="1:16" ht="14.1" customHeight="1" thickBot="1">
      <c r="A54" s="52" t="s">
        <v>41</v>
      </c>
      <c r="B54" s="43">
        <f>B53/(101325/(101325+D$43))</f>
        <v>1.2050000000000001</v>
      </c>
      <c r="C54" s="53" t="s">
        <v>30</v>
      </c>
      <c r="D54" s="43"/>
      <c r="E54" s="44"/>
      <c r="F54" s="22"/>
      <c r="G54" s="31" t="s">
        <v>36</v>
      </c>
      <c r="H54" s="33"/>
      <c r="I54" s="146" t="s">
        <v>48</v>
      </c>
      <c r="J54" s="34">
        <f>(2^(-3/2)*PI())^0.5*$N53*(IF($D$45=0,$D$44*1.1,$D$45)/($K53*$D$48^2))^0.25</f>
        <v>19.278689025585749</v>
      </c>
      <c r="K54" s="12"/>
      <c r="L54" s="33"/>
      <c r="M54" s="33"/>
      <c r="O54" s="46"/>
      <c r="P54" s="46"/>
    </row>
    <row r="55" spans="1:16" ht="14.1" customHeight="1">
      <c r="A55" s="40"/>
      <c r="B55" s="41"/>
      <c r="C55" s="41"/>
      <c r="D55" s="41"/>
      <c r="E55" s="40"/>
      <c r="F55" s="47"/>
      <c r="G55" s="48"/>
      <c r="H55" s="45"/>
      <c r="I55" s="2"/>
      <c r="J55" s="2"/>
      <c r="K55" s="2"/>
      <c r="L55" s="2"/>
      <c r="M55" s="2"/>
    </row>
    <row r="56" spans="1:16" ht="14.1" customHeight="1">
      <c r="A56" s="7" t="s">
        <v>43</v>
      </c>
      <c r="B56" s="8"/>
      <c r="C56" s="9"/>
      <c r="D56" s="10"/>
      <c r="E56" s="10"/>
      <c r="F56" s="47"/>
      <c r="G56" s="48"/>
      <c r="H56" s="45"/>
      <c r="I56" s="2"/>
      <c r="J56" s="2"/>
      <c r="K56" s="2"/>
      <c r="L56" s="2"/>
      <c r="M56" s="2"/>
    </row>
    <row r="57" spans="1:16" ht="14.1" customHeight="1" thickBot="1">
      <c r="A57" s="18" t="s">
        <v>39</v>
      </c>
      <c r="B57" s="19"/>
      <c r="C57" s="20"/>
      <c r="D57" s="21"/>
      <c r="E57" s="21"/>
      <c r="F57" s="47"/>
      <c r="G57" s="48"/>
      <c r="H57" s="45"/>
      <c r="I57" s="2"/>
      <c r="J57" s="2"/>
      <c r="K57" s="2"/>
      <c r="L57" s="2"/>
      <c r="M57" s="2"/>
    </row>
    <row r="58" spans="1:16" ht="14.1" customHeight="1">
      <c r="A58" s="49"/>
      <c r="B58" s="28"/>
      <c r="C58" s="28"/>
      <c r="D58" s="28"/>
      <c r="E58" s="29"/>
      <c r="F58" s="47"/>
      <c r="G58" s="48"/>
      <c r="H58" s="45"/>
      <c r="I58" s="2"/>
      <c r="J58" s="2"/>
      <c r="K58" s="2"/>
      <c r="L58" s="2"/>
      <c r="M58" s="2"/>
    </row>
    <row r="59" spans="1:16" ht="14.1" customHeight="1">
      <c r="A59" s="39" t="s">
        <v>215</v>
      </c>
      <c r="B59" s="40">
        <f>B44*B$68/B$54</f>
        <v>0</v>
      </c>
      <c r="C59" s="40" t="s">
        <v>16</v>
      </c>
      <c r="D59" s="40">
        <f>B59*g</f>
        <v>0</v>
      </c>
      <c r="E59" s="42" t="s">
        <v>17</v>
      </c>
      <c r="F59" s="47"/>
      <c r="G59" s="48"/>
      <c r="H59" s="45"/>
      <c r="I59" s="2"/>
      <c r="J59" s="2"/>
      <c r="K59" s="2"/>
      <c r="L59" s="2"/>
      <c r="M59" s="2"/>
    </row>
    <row r="60" spans="1:16" ht="14.1" customHeight="1">
      <c r="A60" s="39" t="s">
        <v>216</v>
      </c>
      <c r="B60" s="40">
        <f>B45*B$68/B$54</f>
        <v>713.77587437544605</v>
      </c>
      <c r="C60" s="40" t="s">
        <v>16</v>
      </c>
      <c r="D60" s="40">
        <f>B60*g</f>
        <v>7000</v>
      </c>
      <c r="E60" s="42" t="s">
        <v>17</v>
      </c>
      <c r="F60" s="47"/>
      <c r="G60" s="48"/>
      <c r="H60" s="45"/>
      <c r="N60" s="46"/>
      <c r="O60" s="46"/>
      <c r="P60" s="46"/>
    </row>
    <row r="61" spans="1:16" ht="14.1" customHeight="1">
      <c r="A61" s="39" t="s">
        <v>20</v>
      </c>
      <c r="B61" s="40">
        <v>20</v>
      </c>
      <c r="C61" s="40" t="s">
        <v>21</v>
      </c>
      <c r="D61" s="40">
        <f>273.14+B61</f>
        <v>293.14</v>
      </c>
      <c r="E61" s="42" t="s">
        <v>22</v>
      </c>
      <c r="F61" s="47"/>
      <c r="G61" s="48"/>
      <c r="H61" s="45"/>
      <c r="I61" s="2"/>
      <c r="J61" s="2"/>
      <c r="K61" s="2"/>
      <c r="L61" s="2"/>
      <c r="M61" s="2"/>
    </row>
    <row r="62" spans="1:16" ht="14.1" customHeight="1">
      <c r="A62" s="39"/>
      <c r="B62" s="40"/>
      <c r="C62" s="40"/>
      <c r="D62" s="40"/>
      <c r="E62" s="42"/>
      <c r="F62" s="47"/>
      <c r="G62" s="48"/>
      <c r="H62" s="45"/>
      <c r="I62" s="45"/>
      <c r="J62" s="45"/>
      <c r="K62" s="45"/>
      <c r="L62" s="45"/>
      <c r="M62" s="45"/>
      <c r="N62" s="45"/>
      <c r="O62" s="45"/>
      <c r="P62" s="45"/>
    </row>
    <row r="63" spans="1:16" ht="14.1" customHeight="1">
      <c r="A63" s="39" t="s">
        <v>23</v>
      </c>
      <c r="B63" s="40">
        <f>B48</f>
        <v>10000</v>
      </c>
      <c r="C63" s="40" t="s">
        <v>24</v>
      </c>
      <c r="D63" s="50">
        <f>B63/3600</f>
        <v>2.7777777777777777</v>
      </c>
      <c r="E63" s="42" t="s">
        <v>25</v>
      </c>
      <c r="F63" s="47"/>
      <c r="G63" s="48"/>
      <c r="H63" s="45"/>
      <c r="I63" s="45"/>
      <c r="J63" s="45"/>
      <c r="K63" s="45"/>
      <c r="L63" s="45"/>
      <c r="M63" s="45"/>
      <c r="N63" s="45"/>
      <c r="O63" s="45"/>
      <c r="P63" s="45"/>
    </row>
    <row r="64" spans="1:16" ht="14.1" customHeight="1">
      <c r="A64" s="39" t="s">
        <v>95</v>
      </c>
      <c r="B64" s="40">
        <f>B49</f>
        <v>50</v>
      </c>
      <c r="C64" s="40" t="s">
        <v>31</v>
      </c>
      <c r="D64" s="50"/>
      <c r="E64" s="42"/>
      <c r="F64" s="47"/>
      <c r="G64" s="48"/>
      <c r="H64" s="45"/>
      <c r="I64" s="45"/>
      <c r="J64" s="45"/>
      <c r="K64" s="45"/>
      <c r="L64" s="45"/>
      <c r="M64" s="45"/>
      <c r="N64" s="45"/>
      <c r="O64" s="45"/>
      <c r="P64" s="45"/>
    </row>
    <row r="65" spans="1:16" ht="14.1" customHeight="1">
      <c r="A65" s="39" t="s">
        <v>94</v>
      </c>
      <c r="B65" s="40" t="str">
        <f>B50</f>
        <v>Y</v>
      </c>
      <c r="C65" s="40"/>
      <c r="D65" s="40"/>
      <c r="E65" s="42"/>
      <c r="F65" s="47"/>
      <c r="G65" s="48"/>
      <c r="H65" s="45"/>
      <c r="I65" s="45"/>
      <c r="J65" s="45"/>
      <c r="K65" s="45"/>
      <c r="L65" s="45"/>
      <c r="M65" s="45"/>
      <c r="N65" s="45"/>
      <c r="O65" s="45"/>
      <c r="P65" s="45"/>
    </row>
    <row r="66" spans="1:16" ht="14.1" customHeight="1">
      <c r="A66" s="1"/>
      <c r="B66" s="74"/>
      <c r="C66" s="40"/>
      <c r="D66" s="40"/>
      <c r="E66" s="42"/>
      <c r="F66" s="47"/>
      <c r="G66" s="45"/>
      <c r="H66" s="59"/>
      <c r="I66" s="45"/>
      <c r="J66" s="45"/>
      <c r="K66" s="45"/>
      <c r="L66" s="45"/>
      <c r="M66" s="45"/>
      <c r="N66" s="45"/>
      <c r="O66" s="45"/>
      <c r="P66" s="45"/>
    </row>
    <row r="67" spans="1:16" ht="14.1" customHeight="1">
      <c r="A67" s="1"/>
      <c r="B67" s="74"/>
      <c r="C67" s="74"/>
      <c r="D67" s="40"/>
      <c r="E67" s="42"/>
      <c r="F67" s="45"/>
      <c r="G67" s="45"/>
      <c r="H67" s="58"/>
      <c r="I67" s="58"/>
      <c r="J67" s="58"/>
      <c r="K67" s="33"/>
      <c r="L67" s="58"/>
      <c r="M67" s="58"/>
      <c r="N67" s="58"/>
      <c r="O67" s="58"/>
      <c r="P67" s="58"/>
    </row>
    <row r="68" spans="1:16" ht="14.1" customHeight="1" thickBot="1">
      <c r="A68" s="52" t="s">
        <v>42</v>
      </c>
      <c r="B68" s="43">
        <f>rho_std</f>
        <v>1.2050000000000001</v>
      </c>
      <c r="C68" s="53" t="s">
        <v>30</v>
      </c>
      <c r="D68" s="43"/>
      <c r="E68" s="44"/>
      <c r="F68" s="45"/>
      <c r="G68" s="45"/>
      <c r="H68" s="58"/>
      <c r="I68" s="58"/>
      <c r="J68" s="58"/>
      <c r="K68" s="58"/>
      <c r="L68" s="58"/>
      <c r="M68" s="58"/>
      <c r="N68" s="58"/>
      <c r="O68" s="58"/>
      <c r="P68" s="58"/>
    </row>
    <row r="69" spans="1:16" ht="14.1" customHeight="1">
      <c r="A69" s="56"/>
      <c r="B69" s="57"/>
      <c r="C69" s="58"/>
      <c r="D69" s="58"/>
      <c r="E69" s="58"/>
      <c r="F69" s="45"/>
      <c r="G69" s="48"/>
      <c r="H69" s="45"/>
      <c r="I69" s="58"/>
      <c r="J69" s="58"/>
      <c r="K69" s="58"/>
      <c r="L69" s="58"/>
      <c r="M69" s="58"/>
      <c r="N69" s="58"/>
      <c r="O69" s="58"/>
      <c r="P69" s="58"/>
    </row>
  </sheetData>
  <mergeCells count="3">
    <mergeCell ref="B1:P1"/>
    <mergeCell ref="B2:O2"/>
    <mergeCell ref="T3:U3"/>
  </mergeCells>
  <phoneticPr fontId="77" type="noConversion"/>
  <pageMargins left="0.51181102362204722" right="0.35433070866141736" top="0.98425196850393704" bottom="0.98425196850393704" header="0.51181102362204722" footer="0.51181102362204722"/>
  <pageSetup paperSize="9" scale="60" orientation="landscape" r:id="rId1"/>
  <headerFooter alignWithMargins="0">
    <oddHeader>&amp;L&amp;G&amp;R&amp;D</oddHeader>
    <oddFooter>&amp;LCONFIDENTIAL&amp;C&amp;F / &amp;A&amp;RPage &amp;P / &amp;N</oddFooter>
  </headerFooter>
  <drawing r:id="rId2"/>
  <legacyDrawing r:id="rId3"/>
  <legacyDrawingHF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>
    <pageSetUpPr fitToPage="1"/>
  </sheetPr>
  <dimension ref="A1:U172"/>
  <sheetViews>
    <sheetView topLeftCell="A34" zoomScale="75" zoomScaleNormal="75" zoomScaleSheetLayoutView="75" workbookViewId="0">
      <selection activeCell="M28" sqref="M28:R37"/>
    </sheetView>
  </sheetViews>
  <sheetFormatPr defaultColWidth="14.5703125" defaultRowHeight="15" customHeight="1"/>
  <cols>
    <col min="1" max="1" width="17.5703125" style="86" customWidth="1"/>
    <col min="2" max="2" width="21" style="87" customWidth="1"/>
    <col min="3" max="3" width="14.5703125" style="87"/>
    <col min="4" max="5" width="14.5703125" style="86"/>
    <col min="6" max="6" width="17" style="86" bestFit="1" customWidth="1"/>
    <col min="7" max="11" width="14.5703125" style="86"/>
    <col min="12" max="12" width="15.42578125" style="86" customWidth="1"/>
    <col min="13" max="16384" width="14.5703125" style="86"/>
  </cols>
  <sheetData>
    <row r="1" spans="2:20" s="1269" customFormat="1" ht="21" customHeight="1">
      <c r="M1" s="1270"/>
      <c r="N1" s="1271"/>
      <c r="O1" s="1271"/>
      <c r="P1" s="1271"/>
      <c r="Q1" s="1270"/>
    </row>
    <row r="2" spans="2:20" s="1269" customFormat="1" ht="20.25" customHeight="1">
      <c r="F2" s="1324">
        <f ca="1">TODAY()</f>
        <v>43825</v>
      </c>
      <c r="M2" s="1270"/>
      <c r="N2" s="1271"/>
      <c r="O2" s="1271"/>
      <c r="P2" s="1271"/>
      <c r="Q2" s="1270"/>
    </row>
    <row r="3" spans="2:20" s="1269" customFormat="1" ht="15" customHeight="1">
      <c r="K3" s="1270"/>
      <c r="L3" s="1270"/>
      <c r="M3" s="1270"/>
      <c r="N3" s="1270"/>
      <c r="O3" s="1270"/>
      <c r="P3" s="1270"/>
      <c r="Q3" s="1270"/>
    </row>
    <row r="4" spans="2:20" s="1269" customFormat="1" ht="15" customHeight="1">
      <c r="B4" s="1272"/>
      <c r="C4" s="1273"/>
      <c r="K4" s="1274"/>
      <c r="L4" s="1275"/>
      <c r="M4" s="1275"/>
      <c r="N4" s="1276"/>
      <c r="O4" s="1274"/>
      <c r="P4" s="1274"/>
      <c r="Q4" s="1277"/>
    </row>
    <row r="5" spans="2:20" s="1269" customFormat="1" ht="15" customHeight="1">
      <c r="B5" s="1272"/>
      <c r="C5" s="1273"/>
      <c r="K5" s="1274"/>
      <c r="L5" s="1275"/>
      <c r="M5" s="1275"/>
      <c r="N5" s="1276"/>
      <c r="O5" s="1274"/>
      <c r="P5" s="1274"/>
      <c r="Q5" s="1277"/>
    </row>
    <row r="6" spans="2:20" s="1251" customFormat="1" ht="15" customHeight="1" thickBot="1">
      <c r="B6" s="1252"/>
      <c r="C6" s="1253"/>
      <c r="S6" s="1254"/>
    </row>
    <row r="7" spans="2:20" ht="15" customHeight="1" thickBot="1">
      <c r="G7" s="100"/>
      <c r="M7" s="319" t="s">
        <v>0</v>
      </c>
      <c r="N7" s="320" t="s">
        <v>5</v>
      </c>
      <c r="O7" s="320" t="s">
        <v>6</v>
      </c>
      <c r="P7" s="321" t="s">
        <v>166</v>
      </c>
      <c r="Q7" s="322" t="s">
        <v>4</v>
      </c>
      <c r="R7" s="323" t="s">
        <v>111</v>
      </c>
      <c r="S7" s="324"/>
      <c r="T7" s="706" t="s">
        <v>781</v>
      </c>
    </row>
    <row r="8" spans="2:20" ht="15" customHeight="1">
      <c r="G8" s="100"/>
      <c r="M8" s="304">
        <f>'Data for BOSS'!S11</f>
        <v>1672.3774886767021</v>
      </c>
      <c r="N8" s="305">
        <f>'Data for BOSS'!T11*rho_std/rho_med_OP</f>
        <v>714.19385389401737</v>
      </c>
      <c r="O8" s="305">
        <f>'Data for BOSS'!U11</f>
        <v>4774.2507882755517</v>
      </c>
      <c r="P8" s="306">
        <f>Q8/R8</f>
        <v>14.274563137553157</v>
      </c>
      <c r="Q8" s="306">
        <f t="shared" ref="Q8:Q28" si="0">N8*g*O8/3600/1000</f>
        <v>9.2887016025981097</v>
      </c>
      <c r="R8" s="307">
        <f>'Data for BOSS'!X11</f>
        <v>0.65071704913768114</v>
      </c>
      <c r="T8" s="703">
        <f t="shared" ref="T8:T17" si="1">0.5*rho_std*($O8/(PI()/4*Inlet_m^2)/3600)^2/g</f>
        <v>4.271658382199611</v>
      </c>
    </row>
    <row r="9" spans="2:20" ht="15" customHeight="1">
      <c r="G9" s="100"/>
      <c r="M9" s="308"/>
      <c r="N9" s="309">
        <f>'Data for BOSS'!T12*rho_std/rho_med_OP</f>
        <v>734.36172744888722</v>
      </c>
      <c r="O9" s="309">
        <f>'Data for BOSS'!U12</f>
        <v>8230.0242143358737</v>
      </c>
      <c r="P9" s="310">
        <f t="shared" ref="P9:P17" si="2">Q9/R9</f>
        <v>19.032750850070883</v>
      </c>
      <c r="Q9" s="310">
        <f t="shared" ref="Q9:Q17" si="3">N9*g*O9/3600/1000</f>
        <v>16.464358814903989</v>
      </c>
      <c r="R9" s="311">
        <f>'Data for BOSS'!X12</f>
        <v>0.86505408201897793</v>
      </c>
      <c r="S9" s="326"/>
      <c r="T9" s="703">
        <f t="shared" si="1"/>
        <v>12.693701533964179</v>
      </c>
    </row>
    <row r="10" spans="2:20" ht="15" customHeight="1">
      <c r="G10" s="100"/>
      <c r="M10" s="308"/>
      <c r="N10" s="309">
        <f>'Data for BOSS'!T13*rho_std/rho_med_OP</f>
        <v>639.64653738523714</v>
      </c>
      <c r="O10" s="309">
        <f>'Data for BOSS'!U13</f>
        <v>11837.731690067933</v>
      </c>
      <c r="P10" s="310">
        <f t="shared" si="2"/>
        <v>24.232285134372773</v>
      </c>
      <c r="Q10" s="310">
        <f t="shared" si="3"/>
        <v>20.627292164407578</v>
      </c>
      <c r="R10" s="311">
        <f>'Data for BOSS'!X13</f>
        <v>0.85123181945182624</v>
      </c>
      <c r="S10" s="326"/>
      <c r="T10" s="703">
        <f t="shared" si="1"/>
        <v>26.261712400271765</v>
      </c>
    </row>
    <row r="11" spans="2:20" ht="15" customHeight="1">
      <c r="G11" s="100"/>
      <c r="M11" s="308"/>
      <c r="N11" s="309">
        <f>'Data for BOSS'!T14*rho_std/rho_med_OP</f>
        <v>508.25571196025805</v>
      </c>
      <c r="O11" s="309">
        <f>'Data for BOSS'!U14</f>
        <v>14176.890069302517</v>
      </c>
      <c r="P11" s="310">
        <f t="shared" si="2"/>
        <v>27.282769632308188</v>
      </c>
      <c r="Q11" s="310">
        <f t="shared" si="3"/>
        <v>19.62894302275955</v>
      </c>
      <c r="R11" s="311">
        <f>'Data for BOSS'!X14</f>
        <v>0.71946299027922023</v>
      </c>
      <c r="S11" s="326"/>
      <c r="T11" s="703">
        <f t="shared" si="1"/>
        <v>37.665869735483099</v>
      </c>
    </row>
    <row r="12" spans="2:20" ht="15" customHeight="1">
      <c r="G12" s="100"/>
      <c r="M12" s="308"/>
      <c r="N12" s="309">
        <f>'Data for BOSS'!T15*rho_std/rho_med_OP</f>
        <v>360.33184869094299</v>
      </c>
      <c r="O12" s="309">
        <f>'Data for BOSS'!U15</f>
        <v>15938.460009162362</v>
      </c>
      <c r="P12" s="310">
        <f t="shared" si="2"/>
        <v>27.106751763712655</v>
      </c>
      <c r="Q12" s="310">
        <f t="shared" si="3"/>
        <v>15.64525627642402</v>
      </c>
      <c r="R12" s="311">
        <f>'Data for BOSS'!X15</f>
        <v>0.57717193165756053</v>
      </c>
      <c r="S12" s="326"/>
      <c r="T12" s="703">
        <f t="shared" si="1"/>
        <v>47.607872128177043</v>
      </c>
    </row>
    <row r="13" spans="2:20" ht="15" customHeight="1">
      <c r="G13" s="100"/>
      <c r="M13" s="308"/>
      <c r="N13" s="309">
        <f>'Data for BOSS'!T16*rho_std/rho_med_OP</f>
        <v>230.2411958350778</v>
      </c>
      <c r="O13" s="309">
        <f>'Data for BOSS'!U16</f>
        <v>17131.909385187471</v>
      </c>
      <c r="P13" s="310">
        <f t="shared" si="2"/>
        <v>25.874626683543898</v>
      </c>
      <c r="Q13" s="310">
        <f t="shared" si="3"/>
        <v>10.745397243390915</v>
      </c>
      <c r="R13" s="311">
        <f>'Data for BOSS'!X16</f>
        <v>0.41528704451704884</v>
      </c>
      <c r="S13" s="326"/>
      <c r="T13" s="703">
        <f t="shared" si="1"/>
        <v>55.004420542951479</v>
      </c>
    </row>
    <row r="14" spans="2:20" ht="15" customHeight="1">
      <c r="G14" s="100"/>
      <c r="M14" s="308"/>
      <c r="N14" s="309">
        <f>'Data for BOSS'!T17*rho_std/rho_med_OP</f>
        <v>154.69124433984632</v>
      </c>
      <c r="O14" s="309">
        <f>'Data for BOSS'!U17</f>
        <v>17775.426409843509</v>
      </c>
      <c r="P14" s="310">
        <f t="shared" si="2"/>
        <v>25.843614349630329</v>
      </c>
      <c r="Q14" s="310">
        <f t="shared" si="3"/>
        <v>7.4906487927524044</v>
      </c>
      <c r="R14" s="311">
        <f>'Data for BOSS'!X17</f>
        <v>0.28984524731772093</v>
      </c>
      <c r="S14" s="326"/>
      <c r="T14" s="703">
        <f t="shared" si="1"/>
        <v>59.214233507890143</v>
      </c>
    </row>
    <row r="15" spans="2:20" ht="15" customHeight="1">
      <c r="G15" s="100"/>
      <c r="M15" s="308"/>
      <c r="N15" s="309">
        <f>'Data for BOSS'!T18*rho_std/rho_med_OP</f>
        <v>154.69124433984632</v>
      </c>
      <c r="O15" s="309">
        <f>'Data for BOSS'!U18</f>
        <v>17775.426409843509</v>
      </c>
      <c r="P15" s="310">
        <f t="shared" si="2"/>
        <v>25.336876813363066</v>
      </c>
      <c r="Q15" s="310">
        <f t="shared" si="3"/>
        <v>7.4906487927524044</v>
      </c>
      <c r="R15" s="311">
        <f>'Data for BOSS'!X18</f>
        <v>0.29564215226407536</v>
      </c>
      <c r="S15" s="326"/>
      <c r="T15" s="703">
        <f t="shared" si="1"/>
        <v>59.214233507890143</v>
      </c>
    </row>
    <row r="16" spans="2:20" ht="15" customHeight="1">
      <c r="G16" s="100"/>
      <c r="M16" s="308"/>
      <c r="N16" s="309">
        <f>'Data for BOSS'!T19*rho_std/rho_med_OP</f>
        <v>154.69124433984632</v>
      </c>
      <c r="O16" s="309">
        <f>'Data for BOSS'!U19</f>
        <v>17775.426409843509</v>
      </c>
      <c r="P16" s="310">
        <f t="shared" si="2"/>
        <v>25.336876813363066</v>
      </c>
      <c r="Q16" s="310">
        <f t="shared" si="3"/>
        <v>7.4906487927524044</v>
      </c>
      <c r="R16" s="311">
        <f>'Data for BOSS'!X19</f>
        <v>0.29564215226407536</v>
      </c>
      <c r="S16" s="326"/>
      <c r="T16" s="703">
        <f t="shared" si="1"/>
        <v>59.214233507890143</v>
      </c>
    </row>
    <row r="17" spans="2:20" ht="15" customHeight="1" thickBot="1">
      <c r="G17" s="100"/>
      <c r="M17" s="308"/>
      <c r="N17" s="309">
        <f>'Data for BOSS'!T20*rho_std/rho_med_OP</f>
        <v>154.69124433984632</v>
      </c>
      <c r="O17" s="309">
        <f>'Data for BOSS'!U20</f>
        <v>17775.426409843509</v>
      </c>
      <c r="P17" s="310">
        <f t="shared" si="2"/>
        <v>25.336876813363066</v>
      </c>
      <c r="Q17" s="310">
        <f t="shared" si="3"/>
        <v>7.4906487927524044</v>
      </c>
      <c r="R17" s="311">
        <f>'Data for BOSS'!X20</f>
        <v>0.29564215226407536</v>
      </c>
      <c r="S17" s="329"/>
      <c r="T17" s="704">
        <f t="shared" si="1"/>
        <v>59.214233507890143</v>
      </c>
    </row>
    <row r="18" spans="2:20" ht="15" customHeight="1">
      <c r="G18" s="100"/>
      <c r="M18" s="312">
        <f>'Data for BOSS'!S21</f>
        <v>4000</v>
      </c>
      <c r="N18" s="309">
        <f>'Data for BOSS'!T21*rho_std/rho_med_OP</f>
        <v>4085.7093182644167</v>
      </c>
      <c r="O18" s="309">
        <f>'Data for BOSS'!U21</f>
        <v>11419.074510631594</v>
      </c>
      <c r="P18" s="310">
        <f t="shared" ref="P18:P28" si="4">Q18/R18</f>
        <v>195.31691712408863</v>
      </c>
      <c r="Q18" s="310">
        <f t="shared" si="0"/>
        <v>127.09604795765598</v>
      </c>
      <c r="R18" s="311">
        <f>'Data for BOSS'!X21</f>
        <v>0.65071704913768114</v>
      </c>
    </row>
    <row r="19" spans="2:20" ht="15" customHeight="1">
      <c r="G19" s="100"/>
      <c r="M19" s="313"/>
      <c r="N19" s="309">
        <f>'Data for BOSS'!T22*rho_std/rho_med_OP</f>
        <v>4201.0842524835207</v>
      </c>
      <c r="O19" s="309">
        <f>'Data for BOSS'!U22</f>
        <v>19684.60893562499</v>
      </c>
      <c r="P19" s="310">
        <f t="shared" ref="P19:P27" si="5">Q19/R19</f>
        <v>260.42255616545157</v>
      </c>
      <c r="Q19" s="310">
        <f t="shared" ref="Q19:Q27" si="6">N19*g*O19/3600/1000</f>
        <v>225.27959526074045</v>
      </c>
      <c r="R19" s="311">
        <f>'Data for BOSS'!X22</f>
        <v>0.86505408201897793</v>
      </c>
    </row>
    <row r="20" spans="2:20" ht="15" customHeight="1">
      <c r="G20" s="100"/>
      <c r="M20" s="313"/>
      <c r="N20" s="309">
        <f>'Data for BOSS'!T23*rho_std/rho_med_OP</f>
        <v>3659.2443409324669</v>
      </c>
      <c r="O20" s="309">
        <f>'Data for BOSS'!U23</f>
        <v>28313.53990404342</v>
      </c>
      <c r="P20" s="310">
        <f t="shared" si="5"/>
        <v>331.56708066716118</v>
      </c>
      <c r="Q20" s="310">
        <f t="shared" si="6"/>
        <v>282.24044934663806</v>
      </c>
      <c r="R20" s="311">
        <f>'Data for BOSS'!X23</f>
        <v>0.85123181945182624</v>
      </c>
    </row>
    <row r="21" spans="2:20" ht="15" customHeight="1">
      <c r="G21" s="100"/>
      <c r="M21" s="313"/>
      <c r="N21" s="309">
        <f>'Data for BOSS'!T24*rho_std/rho_med_OP</f>
        <v>2907.5930674773017</v>
      </c>
      <c r="O21" s="309">
        <f>'Data for BOSS'!U24</f>
        <v>33908.349437351557</v>
      </c>
      <c r="P21" s="310">
        <f t="shared" si="5"/>
        <v>373.30644754866825</v>
      </c>
      <c r="Q21" s="310">
        <f t="shared" si="6"/>
        <v>268.58017304387772</v>
      </c>
      <c r="R21" s="311">
        <f>'Data for BOSS'!X24</f>
        <v>0.71946299027922023</v>
      </c>
    </row>
    <row r="22" spans="2:20" ht="15" customHeight="1">
      <c r="G22" s="100"/>
      <c r="M22" s="313"/>
      <c r="N22" s="309">
        <f>'Data for BOSS'!T25*rho_std/rho_med_OP</f>
        <v>2061.3607689803757</v>
      </c>
      <c r="O22" s="309">
        <f>'Data for BOSS'!U25</f>
        <v>38121.680343291264</v>
      </c>
      <c r="P22" s="310">
        <f t="shared" si="5"/>
        <v>370.89801885480591</v>
      </c>
      <c r="Q22" s="310">
        <f t="shared" si="6"/>
        <v>214.07192599039064</v>
      </c>
      <c r="R22" s="311">
        <f>'Data for BOSS'!X25</f>
        <v>0.57717193165756053</v>
      </c>
    </row>
    <row r="23" spans="2:20" ht="15" customHeight="1">
      <c r="G23" s="100"/>
      <c r="M23" s="313"/>
      <c r="N23" s="309">
        <f>'Data for BOSS'!T26*rho_std/rho_med_OP</f>
        <v>1317.147430130804</v>
      </c>
      <c r="O23" s="309">
        <f>'Data for BOSS'!U26</f>
        <v>40976.177929166915</v>
      </c>
      <c r="P23" s="310">
        <f t="shared" si="5"/>
        <v>354.03901799776924</v>
      </c>
      <c r="Q23" s="310">
        <f t="shared" si="6"/>
        <v>147.02781742801184</v>
      </c>
      <c r="R23" s="311">
        <f>'Data for BOSS'!X26</f>
        <v>0.41528704451704884</v>
      </c>
    </row>
    <row r="24" spans="2:20" ht="15" customHeight="1">
      <c r="G24" s="100"/>
      <c r="M24" s="313"/>
      <c r="N24" s="309">
        <f>'Data for BOSS'!T27*rho_std/rho_med_OP</f>
        <v>884.94664999877887</v>
      </c>
      <c r="O24" s="309">
        <f>'Data for BOSS'!U27</f>
        <v>42515.344843366969</v>
      </c>
      <c r="P24" s="310">
        <f t="shared" si="5"/>
        <v>353.6146804264929</v>
      </c>
      <c r="Q24" s="310">
        <f t="shared" si="6"/>
        <v>102.49353450339369</v>
      </c>
      <c r="R24" s="311">
        <f>'Data for BOSS'!X27</f>
        <v>0.28984524731772093</v>
      </c>
    </row>
    <row r="25" spans="2:20" ht="15" customHeight="1">
      <c r="B25" s="100"/>
      <c r="C25" s="100"/>
      <c r="D25" s="100"/>
      <c r="E25" s="100"/>
      <c r="F25" s="100"/>
      <c r="G25" s="100"/>
      <c r="M25" s="313"/>
      <c r="N25" s="309">
        <f>'Data for BOSS'!T28*rho_std/rho_med_OP</f>
        <v>884.94664999877887</v>
      </c>
      <c r="O25" s="309">
        <f>'Data for BOSS'!U28</f>
        <v>42515.344843366969</v>
      </c>
      <c r="P25" s="310">
        <f t="shared" si="5"/>
        <v>346.68105924165968</v>
      </c>
      <c r="Q25" s="310">
        <f t="shared" si="6"/>
        <v>102.49353450339369</v>
      </c>
      <c r="R25" s="311">
        <f>'Data for BOSS'!X28</f>
        <v>0.29564215226407536</v>
      </c>
    </row>
    <row r="26" spans="2:20" ht="15" customHeight="1">
      <c r="B26" s="86"/>
      <c r="C26" s="86"/>
      <c r="M26" s="313"/>
      <c r="N26" s="309">
        <f>'Data for BOSS'!T29*rho_std/rho_med_OP</f>
        <v>884.94664999877887</v>
      </c>
      <c r="O26" s="309">
        <f>'Data for BOSS'!U29</f>
        <v>42515.344843366969</v>
      </c>
      <c r="P26" s="310">
        <f t="shared" si="5"/>
        <v>346.68105924165968</v>
      </c>
      <c r="Q26" s="310">
        <f t="shared" si="6"/>
        <v>102.49353450339369</v>
      </c>
      <c r="R26" s="311">
        <f>'Data for BOSS'!X29</f>
        <v>0.29564215226407536</v>
      </c>
    </row>
    <row r="27" spans="2:20" ht="15" customHeight="1">
      <c r="B27" s="86"/>
      <c r="C27" s="86"/>
      <c r="M27" s="313"/>
      <c r="N27" s="309">
        <f>'Data for BOSS'!T30*rho_std/rho_med_OP</f>
        <v>884.94664999877887</v>
      </c>
      <c r="O27" s="309">
        <f>'Data for BOSS'!U30</f>
        <v>42515.344843366969</v>
      </c>
      <c r="P27" s="310">
        <f t="shared" si="5"/>
        <v>346.68105924165968</v>
      </c>
      <c r="Q27" s="310">
        <f t="shared" si="6"/>
        <v>102.49353450339369</v>
      </c>
      <c r="R27" s="311">
        <f>'Data for BOSS'!X30</f>
        <v>0.29564215226407536</v>
      </c>
    </row>
    <row r="28" spans="2:20" ht="15" customHeight="1">
      <c r="B28" s="86"/>
      <c r="C28" s="86"/>
      <c r="M28" s="312">
        <f>'Data for BOSS'!S31</f>
        <v>1000</v>
      </c>
      <c r="N28" s="309">
        <f>'Data for BOSS'!T31*rho_std/rho_med_OP</f>
        <v>255.35683239152604</v>
      </c>
      <c r="O28" s="309">
        <f>'Data for BOSS'!U31</f>
        <v>2854.7686276578984</v>
      </c>
      <c r="P28" s="310">
        <f t="shared" si="4"/>
        <v>3.0518268300638849</v>
      </c>
      <c r="Q28" s="310">
        <f t="shared" si="0"/>
        <v>1.9858757493383747</v>
      </c>
      <c r="R28" s="311">
        <f>'Data for BOSS'!X31</f>
        <v>0.65071704913768114</v>
      </c>
    </row>
    <row r="29" spans="2:20" ht="15" customHeight="1">
      <c r="B29" s="86"/>
      <c r="C29" s="86"/>
      <c r="M29" s="308"/>
      <c r="N29" s="309">
        <f>'Data for BOSS'!T32*rho_std/rho_med_OP</f>
        <v>262.56776578022004</v>
      </c>
      <c r="O29" s="309">
        <f>'Data for BOSS'!U32</f>
        <v>4921.1522339062476</v>
      </c>
      <c r="P29" s="310">
        <f t="shared" ref="P29:P37" si="7">Q29/R29</f>
        <v>4.0691024400851807</v>
      </c>
      <c r="Q29" s="310">
        <f t="shared" ref="Q29:Q37" si="8">N29*g*O29/3600/1000</f>
        <v>3.5199936759490695</v>
      </c>
      <c r="R29" s="311">
        <f>'Data for BOSS'!X32</f>
        <v>0.86505408201897793</v>
      </c>
    </row>
    <row r="30" spans="2:20" ht="15" customHeight="1">
      <c r="B30" s="86"/>
      <c r="C30" s="86"/>
      <c r="M30" s="308"/>
      <c r="N30" s="309">
        <f>'Data for BOSS'!T33*rho_std/rho_med_OP</f>
        <v>228.70277130827918</v>
      </c>
      <c r="O30" s="309">
        <f>'Data for BOSS'!U33</f>
        <v>7078.3849760108551</v>
      </c>
      <c r="P30" s="310">
        <f t="shared" si="7"/>
        <v>5.1807356354243934</v>
      </c>
      <c r="Q30" s="310">
        <f t="shared" si="8"/>
        <v>4.4100070210412197</v>
      </c>
      <c r="R30" s="311">
        <f>'Data for BOSS'!X33</f>
        <v>0.85123181945182624</v>
      </c>
      <c r="S30" s="328"/>
    </row>
    <row r="31" spans="2:20" ht="15" customHeight="1">
      <c r="B31" s="86"/>
      <c r="C31" s="86"/>
      <c r="M31" s="308"/>
      <c r="N31" s="309">
        <f>'Data for BOSS'!T34*rho_std/rho_med_OP</f>
        <v>181.72456671733136</v>
      </c>
      <c r="O31" s="309">
        <f>'Data for BOSS'!U34</f>
        <v>8477.0873593378892</v>
      </c>
      <c r="P31" s="310">
        <f t="shared" si="7"/>
        <v>5.8329132429479413</v>
      </c>
      <c r="Q31" s="310">
        <f t="shared" si="8"/>
        <v>4.1965652038105894</v>
      </c>
      <c r="R31" s="311">
        <f>'Data for BOSS'!X34</f>
        <v>0.71946299027922023</v>
      </c>
      <c r="S31" s="328"/>
    </row>
    <row r="32" spans="2:20" ht="15" customHeight="1">
      <c r="B32" s="86"/>
      <c r="C32" s="86"/>
      <c r="M32" s="308"/>
      <c r="N32" s="309">
        <f>'Data for BOSS'!T35*rho_std/rho_med_OP</f>
        <v>128.83504806127348</v>
      </c>
      <c r="O32" s="309">
        <f>'Data for BOSS'!U35</f>
        <v>9530.420085822816</v>
      </c>
      <c r="P32" s="310">
        <f t="shared" si="7"/>
        <v>5.7952815446063424</v>
      </c>
      <c r="Q32" s="310">
        <f t="shared" si="8"/>
        <v>3.3448738435998537</v>
      </c>
      <c r="R32" s="311">
        <f>'Data for BOSS'!X35</f>
        <v>0.57717193165756053</v>
      </c>
      <c r="S32" s="328"/>
    </row>
    <row r="33" spans="1:19" ht="15" customHeight="1">
      <c r="B33" s="86"/>
      <c r="C33" s="86"/>
      <c r="M33" s="308"/>
      <c r="N33" s="309">
        <f>'Data for BOSS'!T36*rho_std/rho_med_OP</f>
        <v>82.321714383175248</v>
      </c>
      <c r="O33" s="309">
        <f>'Data for BOSS'!U36</f>
        <v>10244.044482291729</v>
      </c>
      <c r="P33" s="310">
        <f t="shared" si="7"/>
        <v>5.5318596562151443</v>
      </c>
      <c r="Q33" s="310">
        <f t="shared" si="8"/>
        <v>2.2973096473126851</v>
      </c>
      <c r="R33" s="311">
        <f>'Data for BOSS'!X36</f>
        <v>0.41528704451704884</v>
      </c>
      <c r="S33" s="328"/>
    </row>
    <row r="34" spans="1:19" ht="15" customHeight="1">
      <c r="B34" s="86"/>
      <c r="C34" s="86"/>
      <c r="M34" s="308"/>
      <c r="N34" s="309">
        <f>'Data for BOSS'!T37*rho_std/rho_med_OP</f>
        <v>55.309165624923679</v>
      </c>
      <c r="O34" s="309">
        <f>'Data for BOSS'!U37</f>
        <v>10628.836210841742</v>
      </c>
      <c r="P34" s="310">
        <f t="shared" si="7"/>
        <v>5.5252293816639515</v>
      </c>
      <c r="Q34" s="310">
        <f t="shared" si="8"/>
        <v>1.6014614766155264</v>
      </c>
      <c r="R34" s="311">
        <f>'Data for BOSS'!X37</f>
        <v>0.28984524731772093</v>
      </c>
      <c r="S34" s="328"/>
    </row>
    <row r="35" spans="1:19" ht="15" customHeight="1">
      <c r="B35" s="86"/>
      <c r="C35" s="86"/>
      <c r="M35" s="314"/>
      <c r="N35" s="309">
        <f>'Data for BOSS'!T38*rho_std/rho_med_OP</f>
        <v>55.309165624923679</v>
      </c>
      <c r="O35" s="309">
        <f>'Data for BOSS'!U38</f>
        <v>10628.836210841742</v>
      </c>
      <c r="P35" s="310">
        <f t="shared" si="7"/>
        <v>5.4168915506509325</v>
      </c>
      <c r="Q35" s="310">
        <f t="shared" si="8"/>
        <v>1.6014614766155264</v>
      </c>
      <c r="R35" s="311">
        <f>'Data for BOSS'!X38</f>
        <v>0.29564215226407536</v>
      </c>
      <c r="S35" s="328"/>
    </row>
    <row r="36" spans="1:19" ht="15" customHeight="1">
      <c r="B36" s="86"/>
      <c r="C36" s="86"/>
      <c r="M36" s="314"/>
      <c r="N36" s="309">
        <f>'Data for BOSS'!T39*rho_std/rho_med_OP</f>
        <v>55.309165624923679</v>
      </c>
      <c r="O36" s="309">
        <f>'Data for BOSS'!U39</f>
        <v>10628.836210841742</v>
      </c>
      <c r="P36" s="310">
        <f t="shared" si="7"/>
        <v>5.4168915506509325</v>
      </c>
      <c r="Q36" s="310">
        <f t="shared" si="8"/>
        <v>1.6014614766155264</v>
      </c>
      <c r="R36" s="311">
        <f>'Data for BOSS'!X39</f>
        <v>0.29564215226407536</v>
      </c>
      <c r="S36" s="328"/>
    </row>
    <row r="37" spans="1:19" ht="15" customHeight="1" thickBot="1">
      <c r="B37" s="86"/>
      <c r="C37" s="86"/>
      <c r="M37" s="315"/>
      <c r="N37" s="316">
        <f>'Data for BOSS'!T40*rho_std/rho_med_OP</f>
        <v>55.309165624923679</v>
      </c>
      <c r="O37" s="316">
        <f>'Data for BOSS'!U40</f>
        <v>10628.836210841742</v>
      </c>
      <c r="P37" s="317">
        <f t="shared" si="7"/>
        <v>5.4168915506509325</v>
      </c>
      <c r="Q37" s="317">
        <f t="shared" si="8"/>
        <v>1.6014614766155264</v>
      </c>
      <c r="R37" s="318">
        <f>'Data for BOSS'!X40</f>
        <v>0.29564215226407536</v>
      </c>
      <c r="S37" s="328"/>
    </row>
    <row r="38" spans="1:19" ht="15" customHeight="1">
      <c r="B38" s="86"/>
      <c r="C38" s="86"/>
      <c r="N38" s="328"/>
      <c r="O38" s="218"/>
      <c r="P38" s="218"/>
      <c r="Q38" s="218"/>
      <c r="R38" s="218"/>
    </row>
    <row r="39" spans="1:19" ht="15" customHeight="1">
      <c r="B39" s="86"/>
      <c r="C39" s="86"/>
      <c r="N39" s="328"/>
      <c r="O39" s="328"/>
      <c r="P39" s="328"/>
      <c r="Q39" s="328"/>
      <c r="R39" s="328"/>
    </row>
    <row r="40" spans="1:19" ht="15" customHeight="1">
      <c r="B40" s="86"/>
      <c r="C40" s="86"/>
      <c r="N40" s="328"/>
      <c r="O40" s="328"/>
      <c r="P40" s="328"/>
      <c r="Q40" s="328"/>
      <c r="R40" s="328"/>
    </row>
    <row r="41" spans="1:19" ht="15" customHeight="1">
      <c r="B41" s="86"/>
      <c r="C41" s="86"/>
      <c r="N41" s="328"/>
      <c r="O41" s="328"/>
      <c r="P41" s="328"/>
      <c r="Q41" s="328"/>
      <c r="R41" s="328"/>
    </row>
    <row r="42" spans="1:19" ht="15" customHeight="1">
      <c r="B42" s="86"/>
      <c r="C42" s="86"/>
      <c r="N42" s="328"/>
      <c r="O42" s="328"/>
      <c r="P42" s="328"/>
      <c r="Q42" s="328"/>
      <c r="R42" s="328"/>
    </row>
    <row r="43" spans="1:19" ht="15" customHeight="1">
      <c r="B43" s="86"/>
      <c r="C43" s="86"/>
      <c r="N43" s="328"/>
      <c r="O43" s="328"/>
      <c r="P43" s="328"/>
      <c r="Q43" s="328"/>
      <c r="R43" s="328"/>
    </row>
    <row r="44" spans="1:19" ht="15" customHeight="1">
      <c r="B44" s="86"/>
      <c r="C44" s="86"/>
      <c r="N44" s="328"/>
      <c r="O44" s="328"/>
      <c r="P44" s="328"/>
      <c r="Q44" s="328"/>
      <c r="R44" s="328"/>
    </row>
    <row r="45" spans="1:19" ht="15" customHeight="1">
      <c r="B45" s="86"/>
      <c r="C45" s="86"/>
      <c r="N45" s="328"/>
      <c r="O45" s="328"/>
      <c r="P45" s="328"/>
      <c r="Q45" s="328"/>
      <c r="R45" s="328"/>
    </row>
    <row r="46" spans="1:19" s="1251" customFormat="1" ht="15" customHeight="1">
      <c r="N46" s="1255"/>
      <c r="O46" s="1255"/>
      <c r="P46" s="1255"/>
      <c r="Q46" s="1255"/>
      <c r="R46" s="1255"/>
    </row>
    <row r="47" spans="1:19" s="1251" customFormat="1" ht="15" customHeight="1">
      <c r="N47" s="1255"/>
      <c r="O47" s="1255"/>
      <c r="P47" s="1255"/>
      <c r="Q47" s="1255"/>
      <c r="R47" s="1255"/>
    </row>
    <row r="48" spans="1:19" ht="15" customHeight="1">
      <c r="A48" s="1311" t="s">
        <v>2</v>
      </c>
      <c r="B48" s="1314" t="str">
        <f>BMS_TYPE</f>
        <v>GT 106-44</v>
      </c>
      <c r="C48" s="1270"/>
      <c r="D48" s="1270"/>
      <c r="E48" s="1270"/>
      <c r="F48" s="1270"/>
      <c r="G48" s="1270"/>
      <c r="H48" s="1270"/>
      <c r="I48" s="1270"/>
      <c r="J48" s="1270"/>
      <c r="K48" s="1270"/>
      <c r="L48" s="1270"/>
    </row>
    <row r="49" spans="1:16" ht="15" customHeight="1">
      <c r="A49" s="1311" t="s">
        <v>99</v>
      </c>
      <c r="B49" s="1310" t="s">
        <v>1913</v>
      </c>
      <c r="C49" s="1307">
        <f>E49*9.805</f>
        <v>0</v>
      </c>
      <c r="D49" s="1303" t="s">
        <v>1909</v>
      </c>
      <c r="E49" s="1320">
        <f>P_OP_in*9.805</f>
        <v>0</v>
      </c>
      <c r="F49" s="1303" t="s">
        <v>1912</v>
      </c>
      <c r="G49" s="1288">
        <v>0</v>
      </c>
      <c r="H49" s="1270"/>
      <c r="I49" s="1270"/>
      <c r="J49" s="1270"/>
      <c r="K49" s="1270"/>
      <c r="L49" s="1270"/>
    </row>
    <row r="50" spans="1:16" ht="15" customHeight="1">
      <c r="A50" s="1303"/>
      <c r="B50" s="1311" t="s">
        <v>1914</v>
      </c>
      <c r="C50" s="1307">
        <f t="shared" ref="C50:C52" si="9">E50*9.805</f>
        <v>183.75266843758897</v>
      </c>
      <c r="D50" s="1303" t="s">
        <v>1909</v>
      </c>
      <c r="E50" s="1307">
        <f>0.5*$C$56*($C$54/(PI()*$O$57^2/4)/3600)^2/g</f>
        <v>18.740710702456806</v>
      </c>
      <c r="F50" s="1303" t="s">
        <v>1912</v>
      </c>
      <c r="G50" s="1288">
        <v>0</v>
      </c>
      <c r="H50" s="1288"/>
      <c r="I50" s="1270"/>
      <c r="J50" s="1270"/>
      <c r="K50" s="1270"/>
      <c r="L50" s="1270"/>
    </row>
    <row r="51" spans="1:16" ht="15" customHeight="1">
      <c r="A51" s="1303"/>
      <c r="B51" s="1311" t="s">
        <v>1915</v>
      </c>
      <c r="C51" s="1307">
        <f t="shared" si="9"/>
        <v>6814.8197798136598</v>
      </c>
      <c r="D51" s="1303" t="s">
        <v>1909</v>
      </c>
      <c r="E51" s="1307">
        <f>$E$52-E50</f>
        <v>695.03516367298926</v>
      </c>
      <c r="F51" s="1303" t="s">
        <v>16</v>
      </c>
      <c r="G51" s="1288">
        <v>0</v>
      </c>
      <c r="H51" s="1270"/>
      <c r="I51" s="1270"/>
      <c r="J51" s="1270"/>
      <c r="K51" s="1270"/>
      <c r="L51" s="1270"/>
    </row>
    <row r="52" spans="1:16" ht="15" customHeight="1">
      <c r="A52" s="1303"/>
      <c r="B52" s="1310" t="s">
        <v>1916</v>
      </c>
      <c r="C52" s="1307">
        <f t="shared" si="9"/>
        <v>6998.5724482512487</v>
      </c>
      <c r="D52" s="1303" t="s">
        <v>1909</v>
      </c>
      <c r="E52" s="1320">
        <f>IF(Boss_Units="Pa",1/g,1)*P_std_tot</f>
        <v>713.77587437544605</v>
      </c>
      <c r="F52" s="1303" t="s">
        <v>16</v>
      </c>
      <c r="G52" s="1288">
        <v>0</v>
      </c>
      <c r="H52" s="1270"/>
      <c r="I52" s="1270"/>
      <c r="J52" s="1270"/>
      <c r="K52" s="1270"/>
      <c r="L52" s="1270"/>
    </row>
    <row r="53" spans="1:16" ht="15" customHeight="1">
      <c r="A53" s="1303"/>
      <c r="B53" s="1310" t="s">
        <v>1917</v>
      </c>
      <c r="C53" s="1320">
        <v>20</v>
      </c>
      <c r="D53" s="1303" t="s">
        <v>21</v>
      </c>
      <c r="E53" s="1303"/>
      <c r="F53" s="1303"/>
      <c r="G53" s="1270"/>
      <c r="H53" s="1270"/>
      <c r="I53" s="1270"/>
      <c r="J53" s="1270"/>
      <c r="K53" s="1270"/>
      <c r="L53" s="1270"/>
    </row>
    <row r="54" spans="1:16" ht="15" customHeight="1" thickBot="1">
      <c r="A54" s="1303"/>
      <c r="B54" s="1310" t="s">
        <v>1918</v>
      </c>
      <c r="C54" s="1320">
        <f>Q</f>
        <v>10000</v>
      </c>
      <c r="D54" s="1303" t="s">
        <v>103</v>
      </c>
      <c r="E54" s="1303"/>
      <c r="F54" s="1303"/>
      <c r="G54" s="1270"/>
      <c r="H54" s="1270"/>
      <c r="I54" s="1270"/>
      <c r="J54" s="1270"/>
      <c r="K54" s="1270"/>
      <c r="L54" s="1270"/>
    </row>
    <row r="55" spans="1:16" ht="15" customHeight="1" thickTop="1">
      <c r="A55" s="1303"/>
      <c r="B55" s="1310" t="s">
        <v>1919</v>
      </c>
      <c r="C55" s="1320">
        <f>rpm_OP</f>
        <v>1672.3774886767021</v>
      </c>
      <c r="D55" s="1303" t="s">
        <v>105</v>
      </c>
      <c r="E55" s="1304" t="s">
        <v>107</v>
      </c>
      <c r="F55" s="1305">
        <f>MAX(O8:O37)</f>
        <v>42515.344843366969</v>
      </c>
      <c r="G55" s="1270"/>
      <c r="H55" s="1270"/>
      <c r="I55" s="1270"/>
      <c r="J55" s="1270"/>
      <c r="K55" s="1270"/>
      <c r="L55" s="1270"/>
      <c r="N55" s="520"/>
      <c r="O55" s="519" t="s">
        <v>561</v>
      </c>
      <c r="P55" s="463">
        <v>1</v>
      </c>
    </row>
    <row r="56" spans="1:16" ht="15" customHeight="1" thickBot="1">
      <c r="A56" s="1303"/>
      <c r="B56" s="1310" t="s">
        <v>108</v>
      </c>
      <c r="C56" s="1321">
        <f>rho_std</f>
        <v>1.2050000000000001</v>
      </c>
      <c r="D56" s="1303" t="s">
        <v>30</v>
      </c>
      <c r="E56" s="1303"/>
      <c r="F56" s="1307"/>
      <c r="G56" s="1270"/>
      <c r="H56" s="1270"/>
      <c r="I56" s="1270"/>
      <c r="J56" s="1270"/>
      <c r="K56" s="1270"/>
      <c r="L56" s="1270"/>
      <c r="N56" s="1243" t="s">
        <v>98</v>
      </c>
      <c r="O56" s="1242">
        <f>'Data for BOSS'!$B$8</f>
        <v>1</v>
      </c>
    </row>
    <row r="57" spans="1:16" ht="15" customHeight="1">
      <c r="A57" s="1303"/>
      <c r="B57" s="1310" t="s">
        <v>1920</v>
      </c>
      <c r="C57" s="1322">
        <f>Eff_OP</f>
        <v>0.85827274783057184</v>
      </c>
      <c r="D57" s="1303"/>
      <c r="E57" s="1303"/>
      <c r="F57" s="1303"/>
      <c r="G57" s="1270"/>
      <c r="H57" s="1270"/>
      <c r="I57" s="1270"/>
      <c r="J57" s="1270"/>
      <c r="K57" s="1270"/>
      <c r="L57" s="1270"/>
      <c r="N57" s="1244" t="s">
        <v>119</v>
      </c>
      <c r="O57" s="1241">
        <f>Inlet_m</f>
        <v>0.45</v>
      </c>
      <c r="P57" s="218" t="s">
        <v>118</v>
      </c>
    </row>
    <row r="58" spans="1:16" ht="15" customHeight="1">
      <c r="A58" s="1303"/>
      <c r="B58" s="1310" t="s">
        <v>1921</v>
      </c>
      <c r="C58" s="1323">
        <f>Shaft_Power_std</f>
        <v>22.655320809839921</v>
      </c>
      <c r="D58" s="1303" t="s">
        <v>110</v>
      </c>
      <c r="E58" s="1303"/>
      <c r="F58" s="1303"/>
      <c r="G58" s="1270"/>
      <c r="H58" s="1270"/>
      <c r="I58" s="1270"/>
      <c r="J58" s="1270"/>
      <c r="K58" s="1270"/>
      <c r="L58" s="1270"/>
    </row>
    <row r="59" spans="1:16" ht="15" customHeight="1">
      <c r="A59" s="1270"/>
      <c r="B59" s="1270"/>
      <c r="C59" s="1270"/>
      <c r="D59" s="1270"/>
      <c r="E59" s="1270"/>
      <c r="F59" s="1270"/>
      <c r="G59" s="1270"/>
      <c r="H59" s="1270"/>
      <c r="I59" s="1270"/>
      <c r="J59" s="1270"/>
      <c r="K59" s="1270"/>
      <c r="L59" s="1270"/>
    </row>
    <row r="60" spans="1:16" ht="15" customHeight="1">
      <c r="A60" s="1270"/>
      <c r="B60" s="1270"/>
      <c r="C60" s="1270"/>
      <c r="D60" s="1270"/>
      <c r="E60" s="1270"/>
      <c r="F60" s="1270"/>
      <c r="G60" s="1270"/>
      <c r="H60" s="1270"/>
      <c r="I60" s="1270"/>
      <c r="J60" s="1270"/>
      <c r="K60" s="1270"/>
      <c r="L60" s="1270"/>
    </row>
    <row r="61" spans="1:16" ht="15" customHeight="1" thickBot="1">
      <c r="A61" s="1417" t="s">
        <v>245</v>
      </c>
      <c r="B61" s="1417"/>
      <c r="C61" s="1288">
        <v>0</v>
      </c>
      <c r="D61" s="1288">
        <v>0</v>
      </c>
      <c r="E61" s="1288">
        <v>0</v>
      </c>
      <c r="F61" s="1288">
        <v>0</v>
      </c>
      <c r="G61" s="1288">
        <v>0</v>
      </c>
      <c r="H61" s="1288">
        <v>0</v>
      </c>
      <c r="I61" s="1288">
        <v>0</v>
      </c>
      <c r="J61" s="1288">
        <v>0</v>
      </c>
      <c r="K61" s="1288">
        <v>0</v>
      </c>
    </row>
    <row r="62" spans="1:16" ht="15" customHeight="1">
      <c r="A62" s="1315" t="s">
        <v>183</v>
      </c>
      <c r="B62" s="1316"/>
      <c r="C62" s="1316"/>
      <c r="D62" s="1317">
        <v>63</v>
      </c>
      <c r="E62" s="1317">
        <v>125</v>
      </c>
      <c r="F62" s="1317">
        <v>250</v>
      </c>
      <c r="G62" s="1318">
        <v>500</v>
      </c>
      <c r="H62" s="1317">
        <v>1000</v>
      </c>
      <c r="I62" s="1317">
        <v>2000</v>
      </c>
      <c r="J62" s="1317">
        <v>4000</v>
      </c>
      <c r="K62" s="1319" t="s">
        <v>184</v>
      </c>
    </row>
    <row r="63" spans="1:16" ht="15" customHeight="1">
      <c r="A63" s="462" t="s">
        <v>195</v>
      </c>
      <c r="B63" s="463"/>
      <c r="C63" s="464"/>
      <c r="D63" s="1281">
        <f t="shared" ref="D63:J63" si="10">SUM(D114:D118)</f>
        <v>99.838935792612261</v>
      </c>
      <c r="E63" s="1281">
        <f t="shared" si="10"/>
        <v>81.338935792612261</v>
      </c>
      <c r="F63" s="1281">
        <f t="shared" si="10"/>
        <v>81.338935792612261</v>
      </c>
      <c r="G63" s="1281">
        <f t="shared" si="10"/>
        <v>89.338935792612261</v>
      </c>
      <c r="H63" s="1281">
        <f t="shared" si="10"/>
        <v>101.73893579261227</v>
      </c>
      <c r="I63" s="1281">
        <f t="shared" si="10"/>
        <v>98.638935792612273</v>
      </c>
      <c r="J63" s="1281">
        <f t="shared" si="10"/>
        <v>94.238935792612267</v>
      </c>
      <c r="K63" s="1282">
        <f t="array" ref="K63">10*LOG10(SUM(IF(ISNUMBER(D63:J63),10^(D63:J63/10))))</f>
        <v>105.52117945793667</v>
      </c>
    </row>
    <row r="64" spans="1:16" ht="15" customHeight="1">
      <c r="A64" s="466" t="s">
        <v>193</v>
      </c>
      <c r="B64" s="463"/>
      <c r="C64" s="463"/>
      <c r="D64" s="1283">
        <f t="shared" ref="D64:J64" si="11">D63+D120</f>
        <v>73.638935792612259</v>
      </c>
      <c r="E64" s="1283">
        <f t="shared" si="11"/>
        <v>65.238935792612267</v>
      </c>
      <c r="F64" s="1283">
        <f t="shared" si="11"/>
        <v>72.738935792612267</v>
      </c>
      <c r="G64" s="1283">
        <f t="shared" si="11"/>
        <v>86.138935792612259</v>
      </c>
      <c r="H64" s="1283">
        <f t="shared" si="11"/>
        <v>101.73893579261227</v>
      </c>
      <c r="I64" s="1283">
        <f t="shared" si="11"/>
        <v>99.838935792612276</v>
      </c>
      <c r="J64" s="1283">
        <f t="shared" si="11"/>
        <v>95.238935792612267</v>
      </c>
      <c r="K64" s="1282">
        <f t="array" ref="K64">10*LOG10(SUM(IF(ISNUMBER(D64:J64),10^(D64:J64/10))))</f>
        <v>104.52670093002359</v>
      </c>
    </row>
    <row r="65" spans="1:11" ht="15" customHeight="1" thickBot="1">
      <c r="A65" s="467" t="s">
        <v>244</v>
      </c>
      <c r="B65" s="468"/>
      <c r="C65" s="469">
        <f>MIN(0,10*LOG(1/(PI()/4*Inlet_m^2)))+IF(1&lt;Inlet_m,0,IF(1&lt;3*Inlet_m,10*LOG(Radiation_F/(4*PI()*(3*Inlet_m)^2))*(1-Inlet_m)/(3*Inlet_m-Inlet_m),10*LOG(Radiation_F/(4*PI()*1^2))))</f>
        <v>-8.3103618950739975</v>
      </c>
      <c r="D65" s="1284">
        <f t="shared" ref="D65:J65" si="12">D64+$C$65</f>
        <v>65.328573897538263</v>
      </c>
      <c r="E65" s="1284">
        <f t="shared" si="12"/>
        <v>56.928573897538271</v>
      </c>
      <c r="F65" s="1284">
        <f t="shared" si="12"/>
        <v>64.428573897538271</v>
      </c>
      <c r="G65" s="1284">
        <f t="shared" si="12"/>
        <v>77.828573897538263</v>
      </c>
      <c r="H65" s="1284">
        <f t="shared" si="12"/>
        <v>93.428573897538271</v>
      </c>
      <c r="I65" s="1284">
        <f t="shared" si="12"/>
        <v>91.52857389753828</v>
      </c>
      <c r="J65" s="1284">
        <f t="shared" si="12"/>
        <v>86.928573897538271</v>
      </c>
      <c r="K65" s="1285">
        <f t="array" ref="K65">10*LOG10(SUM(IF(ISNUMBER(D65:J65),10^(D65:J65/10))))</f>
        <v>96.216339034949598</v>
      </c>
    </row>
    <row r="66" spans="1:11" ht="15" customHeight="1" thickTop="1" thickBot="1">
      <c r="A66" s="472" t="s">
        <v>194</v>
      </c>
      <c r="B66" s="473"/>
      <c r="C66" s="474">
        <f>-2.5*(House_P_T-1)+MIN(0,10*LOG(1/(PI()/4*(House_X_Dim/1000)^2)))+IF(1&lt;House_X_Dim/1000,0,IF(1&lt;3*House_X_Dim/1000,10*LOG(Radiation_F/(4*PI()*(3*House_X_Dim/1000)^2))*(1-House_X_Dim/1000)/(3*House_X_Dim/1000-House_X_Dim/1000),10*LOG(Radiation_F/(4*PI()*1^2))))</f>
        <v>-13.375814485106119</v>
      </c>
      <c r="D66" s="1286">
        <f t="shared" ref="D66:J66" si="13">D64+$C$66-D121</f>
        <v>47.76312130750614</v>
      </c>
      <c r="E66" s="1286">
        <f t="shared" si="13"/>
        <v>44.363121307506148</v>
      </c>
      <c r="F66" s="1286">
        <f t="shared" si="13"/>
        <v>56.863121307506148</v>
      </c>
      <c r="G66" s="1286">
        <f t="shared" si="13"/>
        <v>70.26312130750614</v>
      </c>
      <c r="H66" s="1286">
        <f t="shared" si="13"/>
        <v>80.863121307506148</v>
      </c>
      <c r="I66" s="1286">
        <f t="shared" si="13"/>
        <v>78.963121307506157</v>
      </c>
      <c r="J66" s="1286">
        <f t="shared" si="13"/>
        <v>74.363121307506148</v>
      </c>
      <c r="K66" s="1287">
        <f t="array" ref="K66">10*LOG10(SUM(IF(ISNUMBER(D66:J66),10^(D66:J66/10))))</f>
        <v>83.788600174137798</v>
      </c>
    </row>
    <row r="67" spans="1:11" ht="15" customHeight="1">
      <c r="B67" s="86"/>
      <c r="C67" s="86"/>
    </row>
    <row r="68" spans="1:11" ht="15" customHeight="1">
      <c r="B68" s="86"/>
      <c r="C68" s="86"/>
    </row>
    <row r="69" spans="1:11" ht="15" customHeight="1">
      <c r="B69" s="86"/>
      <c r="C69" s="86"/>
    </row>
    <row r="70" spans="1:11" ht="15" customHeight="1">
      <c r="B70" s="86"/>
      <c r="C70" s="86"/>
    </row>
    <row r="71" spans="1:11" ht="15" customHeight="1">
      <c r="B71" s="86"/>
      <c r="C71" s="86"/>
    </row>
    <row r="72" spans="1:11" ht="15" customHeight="1">
      <c r="B72" s="86"/>
      <c r="C72" s="86"/>
    </row>
    <row r="73" spans="1:11" ht="15" customHeight="1">
      <c r="B73" s="86"/>
      <c r="C73" s="86"/>
    </row>
    <row r="74" spans="1:11" ht="15" customHeight="1">
      <c r="B74" s="86"/>
      <c r="C74" s="86"/>
    </row>
    <row r="75" spans="1:11" ht="15" customHeight="1">
      <c r="B75" s="86"/>
      <c r="C75" s="86"/>
    </row>
    <row r="76" spans="1:11" ht="15" customHeight="1">
      <c r="B76" s="86"/>
      <c r="C76" s="86"/>
    </row>
    <row r="77" spans="1:11" ht="15" customHeight="1">
      <c r="B77" s="86"/>
      <c r="C77" s="86"/>
    </row>
    <row r="78" spans="1:11" ht="15" customHeight="1">
      <c r="B78" s="86"/>
      <c r="C78" s="86"/>
    </row>
    <row r="79" spans="1:11" ht="15" customHeight="1">
      <c r="B79" s="86"/>
      <c r="C79" s="86"/>
    </row>
    <row r="80" spans="1:11" ht="15" customHeight="1">
      <c r="B80" s="86"/>
      <c r="C80" s="86"/>
    </row>
    <row r="81" spans="2:3" ht="15" customHeight="1">
      <c r="B81" s="86"/>
      <c r="C81" s="86"/>
    </row>
    <row r="82" spans="2:3" ht="15" customHeight="1">
      <c r="B82" s="86"/>
      <c r="C82" s="86"/>
    </row>
    <row r="83" spans="2:3" ht="15" customHeight="1">
      <c r="B83" s="86"/>
      <c r="C83" s="86"/>
    </row>
    <row r="84" spans="2:3" ht="15" customHeight="1">
      <c r="B84" s="86"/>
      <c r="C84" s="86"/>
    </row>
    <row r="85" spans="2:3" ht="15" customHeight="1">
      <c r="B85" s="86"/>
      <c r="C85" s="86"/>
    </row>
    <row r="86" spans="2:3" ht="15" customHeight="1">
      <c r="B86" s="86"/>
      <c r="C86" s="86"/>
    </row>
    <row r="101" spans="1:21" ht="15" customHeight="1">
      <c r="L101" s="328"/>
      <c r="U101" s="328"/>
    </row>
    <row r="105" spans="1:21" ht="15" customHeight="1">
      <c r="S105" s="498"/>
      <c r="T105" s="498"/>
    </row>
    <row r="107" spans="1:21" ht="15" customHeight="1">
      <c r="B107" s="86"/>
      <c r="C107" s="86"/>
    </row>
    <row r="108" spans="1:21" ht="15" customHeight="1">
      <c r="B108" s="86"/>
      <c r="C108" s="492"/>
    </row>
    <row r="109" spans="1:21" ht="15" customHeight="1">
      <c r="B109" s="86"/>
      <c r="C109" s="86"/>
    </row>
    <row r="110" spans="1:21" ht="15" customHeight="1">
      <c r="B110" s="86"/>
      <c r="C110" s="86"/>
    </row>
    <row r="111" spans="1:21" ht="15" customHeight="1">
      <c r="A111" s="476" t="str">
        <f>'Fan Selection'!A80&amp;" - CURVES"</f>
        <v>FS File 6666, , , GT 78-33, Steel, Steel -  - CURVES</v>
      </c>
      <c r="B111" s="476"/>
      <c r="C111" s="476"/>
      <c r="D111" s="476"/>
      <c r="E111" s="476"/>
      <c r="F111" s="476"/>
      <c r="G111" s="476"/>
      <c r="H111" s="476"/>
      <c r="I111" s="476"/>
      <c r="J111" s="476"/>
      <c r="K111" s="239"/>
      <c r="L111" s="239"/>
    </row>
    <row r="112" spans="1:21" ht="15" customHeight="1">
      <c r="B112" s="86"/>
      <c r="C112" s="86"/>
    </row>
    <row r="113" spans="1:18" ht="15" customHeight="1">
      <c r="B113" s="86"/>
      <c r="C113" s="86"/>
      <c r="M113" s="497"/>
      <c r="N113" s="498"/>
      <c r="O113" s="498"/>
      <c r="P113" s="498"/>
      <c r="Q113" s="499"/>
      <c r="R113" s="498"/>
    </row>
    <row r="114" spans="1:18" ht="15" customHeight="1">
      <c r="A114" s="477" t="s">
        <v>185</v>
      </c>
      <c r="B114" s="478"/>
      <c r="C114" s="479">
        <v>3</v>
      </c>
      <c r="D114" s="464">
        <f>INDEX('Curves (Std. conditions)'!$A$122:$J$124,$C$114,COLUMN(D1))</f>
        <v>18.5</v>
      </c>
      <c r="E114" s="464" t="str">
        <f>INDEX('Curves (Std. conditions)'!$A$122:$J$124,$C$114,COLUMN(A1))</f>
        <v>Barker Middel, Birger Jessen rapport,  Feb. 2011</v>
      </c>
      <c r="F114" s="464">
        <f>INDEX('Curves (Std. conditions)'!$A$122:$J$124,$C$114,COLUMN(B1))</f>
        <v>0</v>
      </c>
      <c r="G114" s="464">
        <f>INDEX('Curves (Std. conditions)'!$A$122:$J$124,$C$114,COLUMN(C1))</f>
        <v>3</v>
      </c>
      <c r="H114" s="464">
        <f>INDEX('Curves (Std. conditions)'!$A$122:$J$124,$C$114,COLUMN(H1))</f>
        <v>20.399999999999999</v>
      </c>
      <c r="I114" s="480">
        <f>INDEX('Curves (Std. conditions)'!$A$122:$J$124,$C$114,COLUMN(I1))</f>
        <v>17.3</v>
      </c>
      <c r="J114" s="478">
        <f>INDEX('Curves (Std. conditions)'!$A$122:$J$124,$C$114,COLUMN(J1))</f>
        <v>12.9</v>
      </c>
    </row>
    <row r="115" spans="1:18" ht="15" customHeight="1">
      <c r="A115" s="481" t="s">
        <v>186</v>
      </c>
      <c r="B115" s="482"/>
      <c r="C115" s="483">
        <f>$C$55*blades/60</f>
        <v>445.96733031378722</v>
      </c>
      <c r="D115" s="463">
        <f>IF($C$115&lt;=(D62/2+E62/2),5,0)</f>
        <v>0</v>
      </c>
      <c r="E115" s="463">
        <f>IF(AND($C$115&gt;(D62/2+E62/2),$C$115&lt;=(F62/2+E62/2)),5,0)</f>
        <v>0</v>
      </c>
      <c r="F115" s="463">
        <f>IF(AND($C$115&gt;(E62/2+F62/2),$C$115&lt;=(G62/2+F62/2)),5,0)</f>
        <v>0</v>
      </c>
      <c r="G115" s="463">
        <f>IF(AND($C$115&gt;(F62/2+G62/2),$C$115&lt;=(H62/2+G62/2)),5,0)</f>
        <v>5</v>
      </c>
      <c r="H115" s="463">
        <f>IF(AND($C$115&gt;(G62/2+H62/2),$C$115&lt;=(I62/2+H62/2)),5,0)</f>
        <v>0</v>
      </c>
      <c r="I115" s="463">
        <f>IF(AND($C$115&gt;(H62/2+I62/2),$C$115&lt;=(J62/2+I62/2)),5,0)</f>
        <v>0</v>
      </c>
      <c r="J115" s="482">
        <f>IF($C$115&gt;(I62/2+J62/2),5,0)</f>
        <v>0</v>
      </c>
    </row>
    <row r="116" spans="1:18" ht="15" customHeight="1">
      <c r="A116" s="481" t="s">
        <v>187</v>
      </c>
      <c r="B116" s="482"/>
      <c r="C116" s="483"/>
      <c r="D116" s="463">
        <v>0</v>
      </c>
      <c r="E116" s="463">
        <v>0</v>
      </c>
      <c r="F116" s="463">
        <v>0</v>
      </c>
      <c r="G116" s="463">
        <v>0</v>
      </c>
      <c r="H116" s="463">
        <v>0</v>
      </c>
      <c r="I116" s="463">
        <v>0</v>
      </c>
      <c r="J116" s="482">
        <v>0</v>
      </c>
    </row>
    <row r="117" spans="1:18" ht="15" customHeight="1">
      <c r="A117" s="481" t="s">
        <v>188</v>
      </c>
      <c r="B117" s="482"/>
      <c r="C117" s="483"/>
      <c r="D117" s="484">
        <f t="shared" ref="D117:J117" si="14">MAX(0,10*LOG($C$54/3600))</f>
        <v>4.4369749923271273</v>
      </c>
      <c r="E117" s="484">
        <f t="shared" si="14"/>
        <v>4.4369749923271273</v>
      </c>
      <c r="F117" s="484">
        <f t="shared" si="14"/>
        <v>4.4369749923271273</v>
      </c>
      <c r="G117" s="484">
        <f t="shared" si="14"/>
        <v>4.4369749923271273</v>
      </c>
      <c r="H117" s="484">
        <f t="shared" si="14"/>
        <v>4.4369749923271273</v>
      </c>
      <c r="I117" s="484">
        <f t="shared" si="14"/>
        <v>4.4369749923271273</v>
      </c>
      <c r="J117" s="485">
        <f t="shared" si="14"/>
        <v>4.4369749923271273</v>
      </c>
    </row>
    <row r="118" spans="1:18" ht="15" customHeight="1">
      <c r="A118" s="486" t="s">
        <v>189</v>
      </c>
      <c r="B118" s="487"/>
      <c r="C118" s="488"/>
      <c r="D118" s="489">
        <f t="shared" ref="D118:J118" si="15">MAX(0,20*LOG($E$52*g))</f>
        <v>76.901960800285138</v>
      </c>
      <c r="E118" s="489">
        <f t="shared" si="15"/>
        <v>76.901960800285138</v>
      </c>
      <c r="F118" s="489">
        <f t="shared" si="15"/>
        <v>76.901960800285138</v>
      </c>
      <c r="G118" s="489">
        <f t="shared" si="15"/>
        <v>76.901960800285138</v>
      </c>
      <c r="H118" s="489">
        <f t="shared" si="15"/>
        <v>76.901960800285138</v>
      </c>
      <c r="I118" s="489">
        <f t="shared" si="15"/>
        <v>76.901960800285138</v>
      </c>
      <c r="J118" s="490">
        <f t="shared" si="15"/>
        <v>76.901960800285138</v>
      </c>
    </row>
    <row r="119" spans="1:18" ht="15" customHeight="1">
      <c r="B119" s="86"/>
      <c r="C119" s="86"/>
    </row>
    <row r="120" spans="1:18" ht="15" customHeight="1">
      <c r="A120" s="494" t="s">
        <v>364</v>
      </c>
      <c r="B120" s="493"/>
      <c r="C120" s="493"/>
      <c r="D120" s="495">
        <v>-26.2</v>
      </c>
      <c r="E120" s="495">
        <v>-16.100000000000001</v>
      </c>
      <c r="F120" s="495">
        <v>-8.6</v>
      </c>
      <c r="G120" s="495">
        <v>-3.2</v>
      </c>
      <c r="H120" s="495">
        <v>0</v>
      </c>
      <c r="I120" s="495">
        <v>1.2</v>
      </c>
      <c r="J120" s="496">
        <v>1</v>
      </c>
    </row>
    <row r="121" spans="1:18" ht="15" customHeight="1">
      <c r="A121" s="494" t="s">
        <v>365</v>
      </c>
      <c r="B121" s="493"/>
      <c r="C121" s="493"/>
      <c r="D121" s="495">
        <v>12.5</v>
      </c>
      <c r="E121" s="495">
        <v>7.5</v>
      </c>
      <c r="F121" s="495">
        <v>2.5</v>
      </c>
      <c r="G121" s="495">
        <v>2.5</v>
      </c>
      <c r="H121" s="495">
        <v>7.5</v>
      </c>
      <c r="I121" s="495">
        <v>7.5</v>
      </c>
      <c r="J121" s="496">
        <v>7.5</v>
      </c>
    </row>
    <row r="122" spans="1:18" ht="15" customHeight="1">
      <c r="A122" s="477" t="s">
        <v>190</v>
      </c>
      <c r="B122" s="478"/>
      <c r="C122" s="479">
        <v>1</v>
      </c>
      <c r="D122" s="477">
        <v>27</v>
      </c>
      <c r="E122" s="464">
        <v>26</v>
      </c>
      <c r="F122" s="464">
        <v>23</v>
      </c>
      <c r="G122" s="464">
        <v>21</v>
      </c>
      <c r="H122" s="464">
        <v>18</v>
      </c>
      <c r="I122" s="464">
        <v>15</v>
      </c>
      <c r="J122" s="478">
        <v>10</v>
      </c>
    </row>
    <row r="123" spans="1:18" ht="15" customHeight="1">
      <c r="A123" s="481" t="s">
        <v>191</v>
      </c>
      <c r="B123" s="482"/>
      <c r="C123" s="483">
        <v>2</v>
      </c>
      <c r="D123" s="481">
        <v>15.7</v>
      </c>
      <c r="E123" s="463">
        <v>15</v>
      </c>
      <c r="F123" s="463">
        <v>16.7</v>
      </c>
      <c r="G123" s="463">
        <v>19.5</v>
      </c>
      <c r="H123" s="463">
        <v>18.3</v>
      </c>
      <c r="I123" s="463">
        <v>14.5</v>
      </c>
      <c r="J123" s="482">
        <v>10.4</v>
      </c>
    </row>
    <row r="124" spans="1:18" ht="15" customHeight="1">
      <c r="A124" s="486" t="s">
        <v>192</v>
      </c>
      <c r="B124" s="487"/>
      <c r="C124" s="488">
        <v>3</v>
      </c>
      <c r="D124" s="486">
        <v>18.5</v>
      </c>
      <c r="E124" s="491">
        <v>18</v>
      </c>
      <c r="F124" s="491">
        <v>20.3</v>
      </c>
      <c r="G124" s="491">
        <v>21.8</v>
      </c>
      <c r="H124" s="491">
        <v>20.399999999999999</v>
      </c>
      <c r="I124" s="491">
        <v>17.3</v>
      </c>
      <c r="J124" s="487">
        <v>12.9</v>
      </c>
    </row>
    <row r="125" spans="1:18" ht="15" customHeight="1">
      <c r="B125" s="86"/>
      <c r="C125" s="86"/>
    </row>
    <row r="126" spans="1:18" ht="15" customHeight="1">
      <c r="B126" s="86"/>
      <c r="C126" s="86"/>
    </row>
    <row r="127" spans="1:18" ht="15" customHeight="1">
      <c r="B127" s="86"/>
      <c r="C127" s="86"/>
    </row>
    <row r="128" spans="1:18" ht="15" customHeight="1">
      <c r="B128" s="86"/>
      <c r="C128" s="86"/>
    </row>
    <row r="129" spans="2:3" ht="15" customHeight="1">
      <c r="B129" s="86"/>
      <c r="C129" s="86"/>
    </row>
    <row r="130" spans="2:3" ht="15" customHeight="1">
      <c r="B130" s="86"/>
      <c r="C130" s="86"/>
    </row>
    <row r="131" spans="2:3" ht="15" customHeight="1">
      <c r="B131" s="86"/>
      <c r="C131" s="86"/>
    </row>
    <row r="132" spans="2:3" ht="15" customHeight="1">
      <c r="B132" s="86"/>
      <c r="C132" s="86"/>
    </row>
    <row r="133" spans="2:3" ht="15" customHeight="1">
      <c r="B133" s="86"/>
      <c r="C133" s="86"/>
    </row>
    <row r="134" spans="2:3" ht="15" customHeight="1">
      <c r="B134" s="86"/>
      <c r="C134" s="86"/>
    </row>
    <row r="135" spans="2:3" ht="15" customHeight="1">
      <c r="B135" s="86"/>
      <c r="C135" s="86"/>
    </row>
    <row r="136" spans="2:3" ht="15" customHeight="1">
      <c r="B136" s="86"/>
      <c r="C136" s="86"/>
    </row>
    <row r="137" spans="2:3" ht="15" customHeight="1">
      <c r="B137" s="86"/>
      <c r="C137" s="86"/>
    </row>
    <row r="138" spans="2:3" ht="15" customHeight="1">
      <c r="B138" s="86"/>
      <c r="C138" s="86"/>
    </row>
    <row r="139" spans="2:3" ht="15" customHeight="1">
      <c r="B139" s="86"/>
      <c r="C139" s="86"/>
    </row>
    <row r="140" spans="2:3" ht="15" customHeight="1">
      <c r="B140" s="86"/>
      <c r="C140" s="86"/>
    </row>
    <row r="141" spans="2:3" ht="15" customHeight="1">
      <c r="B141" s="86"/>
      <c r="C141" s="86"/>
    </row>
    <row r="142" spans="2:3" ht="15" customHeight="1">
      <c r="B142" s="86"/>
      <c r="C142" s="86"/>
    </row>
    <row r="143" spans="2:3" ht="15" customHeight="1">
      <c r="B143" s="86"/>
      <c r="C143" s="86"/>
    </row>
    <row r="144" spans="2:3" ht="15" customHeight="1">
      <c r="B144" s="86"/>
      <c r="C144" s="86"/>
    </row>
    <row r="145" spans="2:3" ht="15" customHeight="1">
      <c r="B145" s="86"/>
      <c r="C145" s="86"/>
    </row>
    <row r="146" spans="2:3" ht="15" customHeight="1">
      <c r="B146" s="86"/>
      <c r="C146" s="86"/>
    </row>
    <row r="147" spans="2:3" ht="15" customHeight="1">
      <c r="B147" s="86"/>
      <c r="C147" s="86"/>
    </row>
    <row r="148" spans="2:3" ht="15" customHeight="1">
      <c r="B148" s="86"/>
      <c r="C148" s="86"/>
    </row>
    <row r="149" spans="2:3" ht="15" customHeight="1">
      <c r="B149" s="86"/>
      <c r="C149" s="86"/>
    </row>
    <row r="150" spans="2:3" ht="15" customHeight="1">
      <c r="B150" s="86"/>
      <c r="C150" s="86"/>
    </row>
    <row r="151" spans="2:3" ht="15" customHeight="1">
      <c r="B151" s="86"/>
      <c r="C151" s="86"/>
    </row>
    <row r="152" spans="2:3" ht="15" customHeight="1">
      <c r="B152" s="86"/>
      <c r="C152" s="86"/>
    </row>
    <row r="153" spans="2:3" ht="15" customHeight="1">
      <c r="B153" s="86"/>
      <c r="C153" s="86"/>
    </row>
    <row r="154" spans="2:3" ht="15" customHeight="1">
      <c r="B154" s="86"/>
      <c r="C154" s="86"/>
    </row>
    <row r="155" spans="2:3" ht="15" customHeight="1">
      <c r="B155" s="86"/>
      <c r="C155" s="86"/>
    </row>
    <row r="156" spans="2:3" ht="15" customHeight="1">
      <c r="B156" s="86"/>
      <c r="C156" s="86"/>
    </row>
    <row r="157" spans="2:3" ht="15" customHeight="1">
      <c r="B157" s="86"/>
      <c r="C157" s="86"/>
    </row>
    <row r="158" spans="2:3" ht="15" customHeight="1">
      <c r="B158" s="86"/>
      <c r="C158" s="86"/>
    </row>
    <row r="159" spans="2:3" ht="15" customHeight="1">
      <c r="B159" s="86"/>
      <c r="C159" s="86"/>
    </row>
    <row r="160" spans="2:3" ht="15" customHeight="1">
      <c r="B160" s="86"/>
      <c r="C160" s="86"/>
    </row>
    <row r="161" spans="2:3" ht="15" customHeight="1">
      <c r="B161" s="86"/>
      <c r="C161" s="86"/>
    </row>
    <row r="162" spans="2:3" ht="15" customHeight="1">
      <c r="B162" s="86"/>
      <c r="C162" s="86"/>
    </row>
    <row r="163" spans="2:3" ht="15" customHeight="1">
      <c r="B163" s="86"/>
      <c r="C163" s="86"/>
    </row>
    <row r="164" spans="2:3" ht="15" customHeight="1">
      <c r="B164" s="86"/>
      <c r="C164" s="86"/>
    </row>
    <row r="165" spans="2:3" ht="15" customHeight="1">
      <c r="B165" s="86"/>
      <c r="C165" s="86"/>
    </row>
    <row r="166" spans="2:3" ht="15" customHeight="1">
      <c r="B166" s="86"/>
      <c r="C166" s="86"/>
    </row>
    <row r="167" spans="2:3" ht="15" customHeight="1">
      <c r="B167" s="86"/>
      <c r="C167" s="86"/>
    </row>
    <row r="168" spans="2:3" ht="15" customHeight="1">
      <c r="B168" s="86"/>
      <c r="C168" s="86"/>
    </row>
    <row r="169" spans="2:3" ht="15" customHeight="1">
      <c r="B169" s="86"/>
      <c r="C169" s="86"/>
    </row>
    <row r="170" spans="2:3" ht="15" customHeight="1">
      <c r="B170" s="86"/>
      <c r="C170" s="86"/>
    </row>
    <row r="171" spans="2:3" ht="15" customHeight="1">
      <c r="B171" s="86"/>
      <c r="C171" s="86"/>
    </row>
    <row r="172" spans="2:3" ht="15" customHeight="1">
      <c r="B172" s="86"/>
      <c r="C172" s="86"/>
    </row>
  </sheetData>
  <mergeCells count="1">
    <mergeCell ref="A61:B61"/>
  </mergeCells>
  <phoneticPr fontId="77" type="noConversion"/>
  <pageMargins left="0.51181102362204722" right="0.35433070866141736" top="0.98425196850393704" bottom="0.98425196850393704" header="0.51181102362204722" footer="0.51181102362204722"/>
  <pageSetup paperSize="9" scale="46" orientation="landscape" r:id="rId1"/>
  <headerFooter alignWithMargins="0">
    <oddHeader>&amp;R&amp;D</oddHeader>
    <oddFooter>&amp;LCONFIDENTIAL&amp;RPage &amp;P /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V118"/>
  <sheetViews>
    <sheetView topLeftCell="A53" zoomScale="75" zoomScaleNormal="75" workbookViewId="0">
      <selection activeCell="A61" sqref="A61:K66"/>
    </sheetView>
  </sheetViews>
  <sheetFormatPr defaultColWidth="14.5703125" defaultRowHeight="15" customHeight="1"/>
  <cols>
    <col min="1" max="1" width="17.5703125" style="86" customWidth="1"/>
    <col min="2" max="3" width="14.5703125" style="87"/>
    <col min="4" max="16384" width="14.5703125" style="86"/>
  </cols>
  <sheetData>
    <row r="1" spans="2:20" s="1269" customFormat="1" ht="22.5" customHeight="1">
      <c r="O1" s="1278"/>
      <c r="P1" s="1278"/>
      <c r="Q1" s="1270"/>
    </row>
    <row r="2" spans="2:20" s="1269" customFormat="1" ht="21" customHeight="1">
      <c r="O2" s="1278"/>
      <c r="P2" s="1278"/>
      <c r="Q2" s="1270"/>
    </row>
    <row r="3" spans="2:20" s="1269" customFormat="1" ht="15" customHeight="1">
      <c r="G3" s="1324">
        <f ca="1">TODAY()</f>
        <v>43825</v>
      </c>
      <c r="O3" s="1270"/>
      <c r="P3" s="1270"/>
      <c r="Q3" s="1270"/>
    </row>
    <row r="4" spans="2:20" s="1269" customFormat="1" ht="15" customHeight="1">
      <c r="B4" s="1272"/>
      <c r="C4" s="1273"/>
      <c r="K4" s="1276"/>
      <c r="L4" s="1279"/>
      <c r="M4" s="1279"/>
      <c r="N4" s="1276"/>
      <c r="O4" s="1276"/>
      <c r="P4" s="1276"/>
      <c r="R4" s="1280"/>
      <c r="S4" s="1280"/>
    </row>
    <row r="5" spans="2:20" s="1269" customFormat="1" ht="15" customHeight="1">
      <c r="B5" s="1272"/>
      <c r="C5" s="1273"/>
      <c r="K5" s="1276"/>
      <c r="L5" s="1279"/>
      <c r="M5" s="1279"/>
      <c r="N5" s="1276"/>
      <c r="O5" s="1276"/>
      <c r="P5" s="1276"/>
      <c r="R5" s="1280"/>
      <c r="S5" s="1280"/>
    </row>
    <row r="6" spans="2:20" s="1251" customFormat="1" ht="15" customHeight="1" thickBot="1">
      <c r="B6" s="1252"/>
      <c r="C6" s="1253"/>
    </row>
    <row r="7" spans="2:20" ht="15" customHeight="1" thickBot="1">
      <c r="G7" s="100"/>
      <c r="M7" s="319" t="s">
        <v>0</v>
      </c>
      <c r="N7" s="320" t="s">
        <v>5</v>
      </c>
      <c r="O7" s="320" t="s">
        <v>6</v>
      </c>
      <c r="P7" s="321" t="s">
        <v>1950</v>
      </c>
      <c r="Q7" s="322" t="s">
        <v>4</v>
      </c>
      <c r="R7" s="323" t="s">
        <v>111</v>
      </c>
      <c r="S7" s="324"/>
      <c r="T7" s="706" t="s">
        <v>781</v>
      </c>
    </row>
    <row r="8" spans="2:20" ht="15" customHeight="1">
      <c r="G8" s="100"/>
      <c r="M8" s="304">
        <f>'Data for BOSS'!S11</f>
        <v>1672.3774886767021</v>
      </c>
      <c r="N8" s="305">
        <f>'Data for BOSS'!T11</f>
        <v>714.19385389401737</v>
      </c>
      <c r="O8" s="305">
        <f>'Data for BOSS'!U11</f>
        <v>4774.2507882755517</v>
      </c>
      <c r="P8" s="306">
        <f>'Data for BOSS'!V11</f>
        <v>14.274563137553155</v>
      </c>
      <c r="Q8" s="306">
        <f>'Data for BOSS'!W11</f>
        <v>9.2887016025981115</v>
      </c>
      <c r="R8" s="307">
        <f>'Data for BOSS'!X11</f>
        <v>0.65071704913768114</v>
      </c>
      <c r="T8" s="703">
        <f>'Data for BOSS'!Z11</f>
        <v>4.271658382199611</v>
      </c>
    </row>
    <row r="9" spans="2:20" ht="15" customHeight="1">
      <c r="G9" s="100"/>
      <c r="M9" s="308"/>
      <c r="N9" s="309">
        <f>'Data for BOSS'!T12</f>
        <v>734.36172744888722</v>
      </c>
      <c r="O9" s="309">
        <f>'Data for BOSS'!U12</f>
        <v>8230.0242143358737</v>
      </c>
      <c r="P9" s="310">
        <f>'Data for BOSS'!V12</f>
        <v>19.03275085007088</v>
      </c>
      <c r="Q9" s="310">
        <f>'Data for BOSS'!W12</f>
        <v>16.464358814903989</v>
      </c>
      <c r="R9" s="311">
        <f>'Data for BOSS'!X12</f>
        <v>0.86505408201897793</v>
      </c>
      <c r="S9" s="326"/>
      <c r="T9" s="703">
        <f>'Data for BOSS'!Z12</f>
        <v>12.693701533964179</v>
      </c>
    </row>
    <row r="10" spans="2:20" ht="15" customHeight="1">
      <c r="G10" s="100"/>
      <c r="M10" s="308"/>
      <c r="N10" s="309">
        <f>'Data for BOSS'!T13</f>
        <v>639.64653738523714</v>
      </c>
      <c r="O10" s="309">
        <f>'Data for BOSS'!U13</f>
        <v>11837.731690067933</v>
      </c>
      <c r="P10" s="310">
        <f>'Data for BOSS'!V13</f>
        <v>24.232285134372773</v>
      </c>
      <c r="Q10" s="310">
        <f>'Data for BOSS'!W13</f>
        <v>20.627292164407578</v>
      </c>
      <c r="R10" s="311">
        <f>'Data for BOSS'!X13</f>
        <v>0.85123181945182624</v>
      </c>
      <c r="S10" s="326"/>
      <c r="T10" s="703">
        <f>'Data for BOSS'!Z13</f>
        <v>26.261712400271765</v>
      </c>
    </row>
    <row r="11" spans="2:20" ht="15" customHeight="1">
      <c r="G11" s="100"/>
      <c r="M11" s="308"/>
      <c r="N11" s="309">
        <f>'Data for BOSS'!T14</f>
        <v>508.255711960258</v>
      </c>
      <c r="O11" s="309">
        <f>'Data for BOSS'!U14</f>
        <v>14176.890069302517</v>
      </c>
      <c r="P11" s="310">
        <f>'Data for BOSS'!V14</f>
        <v>27.282769632308188</v>
      </c>
      <c r="Q11" s="310">
        <f>'Data for BOSS'!W14</f>
        <v>19.628943022759547</v>
      </c>
      <c r="R11" s="311">
        <f>'Data for BOSS'!X14</f>
        <v>0.71946299027922023</v>
      </c>
      <c r="S11" s="326"/>
      <c r="T11" s="703">
        <f>'Data for BOSS'!Z14</f>
        <v>37.665869735483099</v>
      </c>
    </row>
    <row r="12" spans="2:20" ht="15" customHeight="1">
      <c r="G12" s="100"/>
      <c r="M12" s="308"/>
      <c r="N12" s="309">
        <f>'Data for BOSS'!T15</f>
        <v>360.33184869094299</v>
      </c>
      <c r="O12" s="309">
        <f>'Data for BOSS'!U15</f>
        <v>15938.460009162362</v>
      </c>
      <c r="P12" s="310">
        <f>'Data for BOSS'!V15</f>
        <v>27.106751763712655</v>
      </c>
      <c r="Q12" s="310">
        <f>'Data for BOSS'!W15</f>
        <v>15.64525627642402</v>
      </c>
      <c r="R12" s="311">
        <f>'Data for BOSS'!X15</f>
        <v>0.57717193165756053</v>
      </c>
      <c r="S12" s="326"/>
      <c r="T12" s="703">
        <f>'Data for BOSS'!Z15</f>
        <v>47.607872128177043</v>
      </c>
    </row>
    <row r="13" spans="2:20" ht="15" customHeight="1">
      <c r="G13" s="100"/>
      <c r="M13" s="308"/>
      <c r="N13" s="309">
        <f>'Data for BOSS'!T16</f>
        <v>230.2411958350778</v>
      </c>
      <c r="O13" s="309">
        <f>'Data for BOSS'!U16</f>
        <v>17131.909385187471</v>
      </c>
      <c r="P13" s="310">
        <f>'Data for BOSS'!V16</f>
        <v>25.874626683543898</v>
      </c>
      <c r="Q13" s="310">
        <f>'Data for BOSS'!W16</f>
        <v>10.745397243390915</v>
      </c>
      <c r="R13" s="311">
        <f>'Data for BOSS'!X16</f>
        <v>0.41528704451704884</v>
      </c>
      <c r="S13" s="326"/>
      <c r="T13" s="703">
        <f>'Data for BOSS'!Z16</f>
        <v>55.004420542951479</v>
      </c>
    </row>
    <row r="14" spans="2:20" ht="15" customHeight="1">
      <c r="G14" s="100"/>
      <c r="M14" s="308"/>
      <c r="N14" s="309">
        <f>'Data for BOSS'!T17</f>
        <v>154.69124433984632</v>
      </c>
      <c r="O14" s="309">
        <f>'Data for BOSS'!U17</f>
        <v>17775.426409843509</v>
      </c>
      <c r="P14" s="310">
        <f>'Data for BOSS'!V17</f>
        <v>25.843614349630325</v>
      </c>
      <c r="Q14" s="310">
        <f>'Data for BOSS'!W17</f>
        <v>7.4906487927524044</v>
      </c>
      <c r="R14" s="311">
        <f>'Data for BOSS'!X17</f>
        <v>0.28984524731772093</v>
      </c>
      <c r="S14" s="326"/>
      <c r="T14" s="703">
        <f>'Data for BOSS'!Z17</f>
        <v>59.214233507890143</v>
      </c>
    </row>
    <row r="15" spans="2:20" ht="15" customHeight="1">
      <c r="G15" s="100"/>
      <c r="M15" s="308"/>
      <c r="N15" s="309">
        <f>'Data for BOSS'!T18</f>
        <v>154.69124433984632</v>
      </c>
      <c r="O15" s="309">
        <f>'Data for BOSS'!U18</f>
        <v>17775.426409843509</v>
      </c>
      <c r="P15" s="310">
        <f>'Data for BOSS'!V18</f>
        <v>25.336876813363066</v>
      </c>
      <c r="Q15" s="310">
        <f>'Data for BOSS'!W18</f>
        <v>7.4906487927524044</v>
      </c>
      <c r="R15" s="311">
        <f>'Data for BOSS'!X18</f>
        <v>0.29564215226407536</v>
      </c>
      <c r="S15" s="326"/>
      <c r="T15" s="703">
        <f>'Data for BOSS'!Z18</f>
        <v>59.214233507890143</v>
      </c>
    </row>
    <row r="16" spans="2:20" ht="15" customHeight="1">
      <c r="G16" s="100"/>
      <c r="M16" s="308"/>
      <c r="N16" s="309">
        <f>'Data for BOSS'!T19</f>
        <v>154.69124433984632</v>
      </c>
      <c r="O16" s="309">
        <f>'Data for BOSS'!U19</f>
        <v>17775.426409843509</v>
      </c>
      <c r="P16" s="310">
        <f>'Data for BOSS'!V19</f>
        <v>25.336876813363066</v>
      </c>
      <c r="Q16" s="310">
        <f>'Data for BOSS'!W19</f>
        <v>7.4906487927524044</v>
      </c>
      <c r="R16" s="311">
        <f>'Data for BOSS'!X19</f>
        <v>0.29564215226407536</v>
      </c>
      <c r="S16" s="326"/>
      <c r="T16" s="703">
        <f>'Data for BOSS'!Z19</f>
        <v>59.214233507890143</v>
      </c>
    </row>
    <row r="17" spans="2:20" ht="15" customHeight="1" thickBot="1">
      <c r="G17" s="100"/>
      <c r="M17" s="308"/>
      <c r="N17" s="309">
        <f>'Data for BOSS'!T20</f>
        <v>154.69124433984632</v>
      </c>
      <c r="O17" s="309">
        <f>'Data for BOSS'!U20</f>
        <v>17775.426409843509</v>
      </c>
      <c r="P17" s="310">
        <f>'Data for BOSS'!V20</f>
        <v>25.336876813363066</v>
      </c>
      <c r="Q17" s="310">
        <f>'Data for BOSS'!W20</f>
        <v>7.4906487927524044</v>
      </c>
      <c r="R17" s="311">
        <f>'Data for BOSS'!X20</f>
        <v>0.29564215226407536</v>
      </c>
      <c r="S17" s="329"/>
      <c r="T17" s="704">
        <f>'Data for BOSS'!Z20</f>
        <v>59.214233507890143</v>
      </c>
    </row>
    <row r="18" spans="2:20" ht="15" customHeight="1">
      <c r="G18" s="100"/>
      <c r="M18" s="312">
        <f>'Data for BOSS'!S21</f>
        <v>4000</v>
      </c>
      <c r="N18" s="309">
        <f>'Data for BOSS'!T21</f>
        <v>4085.7093182644171</v>
      </c>
      <c r="O18" s="309">
        <f>'Data for BOSS'!U21</f>
        <v>11419.074510631594</v>
      </c>
      <c r="P18" s="310">
        <f>'Data for BOSS'!V21</f>
        <v>195.31691712408863</v>
      </c>
      <c r="Q18" s="310">
        <f>'Data for BOSS'!W21</f>
        <v>127.09604795765598</v>
      </c>
      <c r="R18" s="311">
        <f>'Data for BOSS'!X21</f>
        <v>0.65071704913768114</v>
      </c>
    </row>
    <row r="19" spans="2:20" ht="15" customHeight="1">
      <c r="G19" s="100"/>
      <c r="M19" s="313"/>
      <c r="N19" s="309">
        <f>'Data for BOSS'!T22</f>
        <v>4201.0842524835207</v>
      </c>
      <c r="O19" s="309">
        <f>'Data for BOSS'!U22</f>
        <v>19684.60893562499</v>
      </c>
      <c r="P19" s="310">
        <f>'Data for BOSS'!V22</f>
        <v>260.42255616545157</v>
      </c>
      <c r="Q19" s="310">
        <f>'Data for BOSS'!W22</f>
        <v>225.27959526074045</v>
      </c>
      <c r="R19" s="311">
        <f>'Data for BOSS'!X22</f>
        <v>0.86505408201897793</v>
      </c>
    </row>
    <row r="20" spans="2:20" ht="15" customHeight="1">
      <c r="C20" s="87">
        <v>1</v>
      </c>
      <c r="G20" s="100"/>
      <c r="M20" s="313"/>
      <c r="N20" s="309">
        <f>'Data for BOSS'!T23</f>
        <v>3659.2443409324669</v>
      </c>
      <c r="O20" s="309">
        <f>'Data for BOSS'!U23</f>
        <v>28313.53990404342</v>
      </c>
      <c r="P20" s="310">
        <f>'Data for BOSS'!V23</f>
        <v>331.56708066716112</v>
      </c>
      <c r="Q20" s="310">
        <f>'Data for BOSS'!W23</f>
        <v>282.240449346638</v>
      </c>
      <c r="R20" s="311">
        <f>'Data for BOSS'!X23</f>
        <v>0.85123181945182624</v>
      </c>
    </row>
    <row r="21" spans="2:20" ht="15" customHeight="1">
      <c r="G21" s="100"/>
      <c r="M21" s="313"/>
      <c r="N21" s="309">
        <f>'Data for BOSS'!T24</f>
        <v>2907.5930674773017</v>
      </c>
      <c r="O21" s="309">
        <f>'Data for BOSS'!U24</f>
        <v>33908.349437351557</v>
      </c>
      <c r="P21" s="310">
        <f>'Data for BOSS'!V24</f>
        <v>373.30644754866825</v>
      </c>
      <c r="Q21" s="310">
        <f>'Data for BOSS'!W24</f>
        <v>268.58017304387772</v>
      </c>
      <c r="R21" s="311">
        <f>'Data for BOSS'!X24</f>
        <v>0.71946299027922023</v>
      </c>
    </row>
    <row r="22" spans="2:20" ht="15" customHeight="1">
      <c r="G22" s="100"/>
      <c r="M22" s="313"/>
      <c r="N22" s="309">
        <f>'Data for BOSS'!T25</f>
        <v>2061.3607689803757</v>
      </c>
      <c r="O22" s="309">
        <f>'Data for BOSS'!U25</f>
        <v>38121.680343291264</v>
      </c>
      <c r="P22" s="310">
        <f>'Data for BOSS'!V25</f>
        <v>370.89801885480591</v>
      </c>
      <c r="Q22" s="310">
        <f>'Data for BOSS'!W25</f>
        <v>214.07192599039064</v>
      </c>
      <c r="R22" s="311">
        <f>'Data for BOSS'!X25</f>
        <v>0.57717193165756053</v>
      </c>
    </row>
    <row r="23" spans="2:20" ht="15" customHeight="1">
      <c r="G23" s="100"/>
      <c r="M23" s="313"/>
      <c r="N23" s="309">
        <f>'Data for BOSS'!T26</f>
        <v>1317.147430130804</v>
      </c>
      <c r="O23" s="309">
        <f>'Data for BOSS'!U26</f>
        <v>40976.177929166915</v>
      </c>
      <c r="P23" s="310">
        <f>'Data for BOSS'!V26</f>
        <v>354.03901799776929</v>
      </c>
      <c r="Q23" s="310">
        <f>'Data for BOSS'!W26</f>
        <v>147.02781742801187</v>
      </c>
      <c r="R23" s="311">
        <f>'Data for BOSS'!X26</f>
        <v>0.41528704451704884</v>
      </c>
    </row>
    <row r="24" spans="2:20" ht="15" customHeight="1">
      <c r="G24" s="100"/>
      <c r="M24" s="313"/>
      <c r="N24" s="309">
        <f>'Data for BOSS'!T27</f>
        <v>884.94664999877875</v>
      </c>
      <c r="O24" s="309">
        <f>'Data for BOSS'!U27</f>
        <v>42515.344843366969</v>
      </c>
      <c r="P24" s="310">
        <f>'Data for BOSS'!V27</f>
        <v>353.61468042649284</v>
      </c>
      <c r="Q24" s="310">
        <f>'Data for BOSS'!W27</f>
        <v>102.49353450339368</v>
      </c>
      <c r="R24" s="311">
        <f>'Data for BOSS'!X27</f>
        <v>0.28984524731772093</v>
      </c>
    </row>
    <row r="25" spans="2:20" ht="15" customHeight="1">
      <c r="B25" s="100"/>
      <c r="C25" s="100"/>
      <c r="D25" s="100"/>
      <c r="E25" s="100"/>
      <c r="F25" s="100"/>
      <c r="G25" s="100"/>
      <c r="M25" s="313"/>
      <c r="N25" s="309">
        <f>'Data for BOSS'!T28</f>
        <v>884.94664999877875</v>
      </c>
      <c r="O25" s="309">
        <f>'Data for BOSS'!U28</f>
        <v>42515.344843366969</v>
      </c>
      <c r="P25" s="310">
        <f>'Data for BOSS'!V28</f>
        <v>346.68105924165968</v>
      </c>
      <c r="Q25" s="310">
        <f>'Data for BOSS'!W28</f>
        <v>102.49353450339368</v>
      </c>
      <c r="R25" s="311">
        <f>'Data for BOSS'!X28</f>
        <v>0.29564215226407536</v>
      </c>
    </row>
    <row r="26" spans="2:20" ht="15" customHeight="1">
      <c r="B26" s="86"/>
      <c r="C26" s="86"/>
      <c r="M26" s="313"/>
      <c r="N26" s="309">
        <f>'Data for BOSS'!T29</f>
        <v>884.94664999877875</v>
      </c>
      <c r="O26" s="309">
        <f>'Data for BOSS'!U29</f>
        <v>42515.344843366969</v>
      </c>
      <c r="P26" s="310">
        <f>'Data for BOSS'!V29</f>
        <v>346.68105924165968</v>
      </c>
      <c r="Q26" s="310">
        <f>'Data for BOSS'!W29</f>
        <v>102.49353450339368</v>
      </c>
      <c r="R26" s="311">
        <f>'Data for BOSS'!X29</f>
        <v>0.29564215226407536</v>
      </c>
    </row>
    <row r="27" spans="2:20" ht="15" customHeight="1">
      <c r="B27" s="86"/>
      <c r="C27" s="86"/>
      <c r="M27" s="313"/>
      <c r="N27" s="309">
        <f>'Data for BOSS'!T30</f>
        <v>884.94664999877875</v>
      </c>
      <c r="O27" s="309">
        <f>'Data for BOSS'!U30</f>
        <v>42515.344843366969</v>
      </c>
      <c r="P27" s="310">
        <f>'Data for BOSS'!V30</f>
        <v>346.68105924165968</v>
      </c>
      <c r="Q27" s="310">
        <f>'Data for BOSS'!W30</f>
        <v>102.49353450339368</v>
      </c>
      <c r="R27" s="311">
        <f>'Data for BOSS'!X30</f>
        <v>0.29564215226407536</v>
      </c>
    </row>
    <row r="28" spans="2:20" ht="15" customHeight="1">
      <c r="B28" s="86"/>
      <c r="C28" s="86"/>
      <c r="M28" s="312">
        <f>'Data for BOSS'!S31</f>
        <v>1000</v>
      </c>
      <c r="N28" s="309">
        <f>'Data for BOSS'!T31</f>
        <v>255.35683239152607</v>
      </c>
      <c r="O28" s="309">
        <f>'Data for BOSS'!U31</f>
        <v>2854.7686276578984</v>
      </c>
      <c r="P28" s="310">
        <f>'Data for BOSS'!V31</f>
        <v>3.0518268300638849</v>
      </c>
      <c r="Q28" s="310">
        <f>'Data for BOSS'!W31</f>
        <v>1.9858757493383747</v>
      </c>
      <c r="R28" s="311">
        <f>'Data for BOSS'!X31</f>
        <v>0.65071704913768114</v>
      </c>
    </row>
    <row r="29" spans="2:20" ht="15" customHeight="1">
      <c r="B29" s="86"/>
      <c r="C29" s="86"/>
      <c r="K29" s="87"/>
      <c r="L29" s="87"/>
      <c r="M29" s="312"/>
      <c r="N29" s="309">
        <f>'Data for BOSS'!T32</f>
        <v>262.56776578022004</v>
      </c>
      <c r="O29" s="309">
        <f>'Data for BOSS'!U32</f>
        <v>4921.1522339062476</v>
      </c>
      <c r="P29" s="310">
        <f>'Data for BOSS'!V32</f>
        <v>4.0691024400851807</v>
      </c>
      <c r="Q29" s="310">
        <f>'Data for BOSS'!W32</f>
        <v>3.5199936759490695</v>
      </c>
      <c r="R29" s="311">
        <f>'Data for BOSS'!X32</f>
        <v>0.86505408201897793</v>
      </c>
    </row>
    <row r="30" spans="2:20" ht="15" customHeight="1">
      <c r="B30" s="86"/>
      <c r="C30" s="86"/>
      <c r="K30" s="87"/>
      <c r="L30" s="87"/>
      <c r="M30" s="312"/>
      <c r="N30" s="309">
        <f>'Data for BOSS'!T33</f>
        <v>228.70277130827918</v>
      </c>
      <c r="O30" s="309">
        <f>'Data for BOSS'!U33</f>
        <v>7078.3849760108551</v>
      </c>
      <c r="P30" s="310">
        <f>'Data for BOSS'!V33</f>
        <v>5.1807356354243925</v>
      </c>
      <c r="Q30" s="310">
        <f>'Data for BOSS'!W33</f>
        <v>4.4100070210412188</v>
      </c>
      <c r="R30" s="311">
        <f>'Data for BOSS'!X33</f>
        <v>0.85123181945182624</v>
      </c>
      <c r="S30" s="328"/>
    </row>
    <row r="31" spans="2:20" ht="15" customHeight="1">
      <c r="B31" s="86"/>
      <c r="C31" s="86"/>
      <c r="I31" s="87"/>
      <c r="J31" s="87"/>
      <c r="K31" s="87"/>
      <c r="M31" s="312"/>
      <c r="N31" s="309">
        <f>'Data for BOSS'!T34</f>
        <v>181.72456671733136</v>
      </c>
      <c r="O31" s="309">
        <f>'Data for BOSS'!U34</f>
        <v>8477.0873593378892</v>
      </c>
      <c r="P31" s="310">
        <f>'Data for BOSS'!V34</f>
        <v>5.8329132429479413</v>
      </c>
      <c r="Q31" s="310">
        <f>'Data for BOSS'!W34</f>
        <v>4.1965652038105894</v>
      </c>
      <c r="R31" s="311">
        <f>'Data for BOSS'!X34</f>
        <v>0.71946299027922023</v>
      </c>
      <c r="S31" s="328"/>
    </row>
    <row r="32" spans="2:20" ht="15" customHeight="1">
      <c r="B32" s="86"/>
      <c r="C32" s="86"/>
      <c r="I32" s="87"/>
      <c r="J32" s="87"/>
      <c r="K32" s="87"/>
      <c r="M32" s="312"/>
      <c r="N32" s="309">
        <f>'Data for BOSS'!T35</f>
        <v>128.83504806127348</v>
      </c>
      <c r="O32" s="309">
        <f>'Data for BOSS'!U35</f>
        <v>9530.420085822816</v>
      </c>
      <c r="P32" s="310">
        <f>'Data for BOSS'!V35</f>
        <v>5.7952815446063424</v>
      </c>
      <c r="Q32" s="310">
        <f>'Data for BOSS'!W35</f>
        <v>3.3448738435998537</v>
      </c>
      <c r="R32" s="311">
        <f>'Data for BOSS'!X35</f>
        <v>0.57717193165756053</v>
      </c>
      <c r="S32" s="328"/>
    </row>
    <row r="33" spans="1:19" ht="15" customHeight="1">
      <c r="B33" s="86"/>
      <c r="C33" s="86"/>
      <c r="I33" s="87"/>
      <c r="J33" s="87"/>
      <c r="K33" s="87"/>
      <c r="M33" s="308"/>
      <c r="N33" s="309">
        <f>'Data for BOSS'!T36</f>
        <v>82.321714383175248</v>
      </c>
      <c r="O33" s="309">
        <f>'Data for BOSS'!U36</f>
        <v>10244.044482291729</v>
      </c>
      <c r="P33" s="310">
        <f>'Data for BOSS'!V36</f>
        <v>5.5318596562151452</v>
      </c>
      <c r="Q33" s="310">
        <f>'Data for BOSS'!W36</f>
        <v>2.2973096473126855</v>
      </c>
      <c r="R33" s="311">
        <f>'Data for BOSS'!X36</f>
        <v>0.41528704451704884</v>
      </c>
      <c r="S33" s="328"/>
    </row>
    <row r="34" spans="1:19" ht="15" customHeight="1">
      <c r="B34" s="86"/>
      <c r="C34" s="86"/>
      <c r="I34" s="87"/>
      <c r="J34" s="87"/>
      <c r="K34" s="87"/>
      <c r="M34" s="308"/>
      <c r="N34" s="309">
        <f>'Data for BOSS'!T37</f>
        <v>55.309165624923672</v>
      </c>
      <c r="O34" s="309">
        <f>'Data for BOSS'!U37</f>
        <v>10628.836210841742</v>
      </c>
      <c r="P34" s="310">
        <f>'Data for BOSS'!V37</f>
        <v>5.5252293816639506</v>
      </c>
      <c r="Q34" s="310">
        <f>'Data for BOSS'!W37</f>
        <v>1.6014614766155262</v>
      </c>
      <c r="R34" s="311">
        <f>'Data for BOSS'!X37</f>
        <v>0.28984524731772093</v>
      </c>
      <c r="S34" s="328"/>
    </row>
    <row r="35" spans="1:19" ht="15" customHeight="1">
      <c r="B35" s="86"/>
      <c r="C35" s="86"/>
      <c r="I35" s="87"/>
      <c r="J35" s="87"/>
      <c r="K35" s="87"/>
      <c r="M35" s="314"/>
      <c r="N35" s="309">
        <f>'Data for BOSS'!T38</f>
        <v>55.309165624923672</v>
      </c>
      <c r="O35" s="309">
        <f>'Data for BOSS'!U38</f>
        <v>10628.836210841742</v>
      </c>
      <c r="P35" s="310">
        <f>'Data for BOSS'!V38</f>
        <v>5.4168915506509325</v>
      </c>
      <c r="Q35" s="310">
        <f>'Data for BOSS'!W38</f>
        <v>1.6014614766155262</v>
      </c>
      <c r="R35" s="311">
        <f>'Data for BOSS'!X38</f>
        <v>0.29564215226407536</v>
      </c>
      <c r="S35" s="328"/>
    </row>
    <row r="36" spans="1:19" ht="15" customHeight="1">
      <c r="B36" s="86"/>
      <c r="C36" s="86"/>
      <c r="I36" s="87"/>
      <c r="J36" s="87"/>
      <c r="K36" s="87"/>
      <c r="M36" s="314"/>
      <c r="N36" s="309">
        <f>'Data for BOSS'!T39</f>
        <v>55.309165624923672</v>
      </c>
      <c r="O36" s="309">
        <f>'Data for BOSS'!U39</f>
        <v>10628.836210841742</v>
      </c>
      <c r="P36" s="310">
        <f>'Data for BOSS'!V39</f>
        <v>5.4168915506509325</v>
      </c>
      <c r="Q36" s="310">
        <f>'Data for BOSS'!W39</f>
        <v>1.6014614766155262</v>
      </c>
      <c r="R36" s="311">
        <f>'Data for BOSS'!X39</f>
        <v>0.29564215226407536</v>
      </c>
      <c r="S36" s="328"/>
    </row>
    <row r="37" spans="1:19" ht="15" customHeight="1" thickBot="1">
      <c r="B37" s="86"/>
      <c r="C37" s="86"/>
      <c r="I37" s="87"/>
      <c r="J37" s="87"/>
      <c r="K37" s="87"/>
      <c r="M37" s="315"/>
      <c r="N37" s="316">
        <f>'Data for BOSS'!T40</f>
        <v>55.309165624923672</v>
      </c>
      <c r="O37" s="316">
        <f>'Data for BOSS'!U40</f>
        <v>10628.836210841742</v>
      </c>
      <c r="P37" s="317">
        <f>'Data for BOSS'!V40</f>
        <v>5.4168915506509325</v>
      </c>
      <c r="Q37" s="317">
        <f>'Data for BOSS'!W40</f>
        <v>1.6014614766155262</v>
      </c>
      <c r="R37" s="318">
        <f>'Data for BOSS'!X40</f>
        <v>0.29564215226407536</v>
      </c>
      <c r="S37" s="328"/>
    </row>
    <row r="38" spans="1:19" ht="15" customHeight="1">
      <c r="B38" s="86"/>
      <c r="C38" s="86"/>
      <c r="J38" s="87"/>
      <c r="K38" s="87"/>
      <c r="L38" s="87"/>
      <c r="N38" s="328"/>
      <c r="O38" s="218"/>
      <c r="P38" s="218"/>
      <c r="Q38" s="218"/>
      <c r="R38" s="218"/>
    </row>
    <row r="39" spans="1:19" ht="15" customHeight="1">
      <c r="B39" s="86"/>
      <c r="C39" s="86"/>
      <c r="J39" s="87"/>
      <c r="N39" s="328"/>
      <c r="O39" s="328"/>
      <c r="P39" s="328"/>
      <c r="Q39" s="328"/>
      <c r="R39" s="328"/>
    </row>
    <row r="40" spans="1:19" ht="15" customHeight="1">
      <c r="B40" s="86"/>
      <c r="C40" s="86"/>
      <c r="N40" s="328"/>
      <c r="O40" s="328"/>
      <c r="P40" s="328"/>
      <c r="Q40" s="328"/>
      <c r="R40" s="328"/>
    </row>
    <row r="41" spans="1:19" ht="15" customHeight="1">
      <c r="B41" s="86"/>
      <c r="C41" s="86"/>
      <c r="N41" s="328"/>
      <c r="O41" s="328"/>
      <c r="P41" s="328"/>
      <c r="Q41" s="328"/>
      <c r="R41" s="328"/>
    </row>
    <row r="42" spans="1:19" ht="15" customHeight="1">
      <c r="B42" s="86"/>
      <c r="C42" s="86"/>
      <c r="N42" s="328"/>
      <c r="O42" s="328"/>
      <c r="P42" s="328"/>
      <c r="Q42" s="328"/>
      <c r="R42" s="328"/>
    </row>
    <row r="43" spans="1:19" ht="15" customHeight="1">
      <c r="B43" s="86"/>
      <c r="C43" s="86"/>
      <c r="N43" s="328"/>
      <c r="O43" s="328"/>
      <c r="P43" s="328"/>
      <c r="Q43" s="328"/>
      <c r="R43" s="328"/>
    </row>
    <row r="44" spans="1:19" ht="15" customHeight="1">
      <c r="B44" s="86"/>
      <c r="C44" s="86"/>
      <c r="N44" s="328"/>
      <c r="O44" s="328"/>
      <c r="P44" s="328"/>
      <c r="Q44" s="328"/>
      <c r="R44" s="328"/>
    </row>
    <row r="45" spans="1:19" ht="15" customHeight="1">
      <c r="B45" s="86"/>
      <c r="C45" s="86"/>
      <c r="N45" s="328"/>
      <c r="O45" s="328"/>
      <c r="P45" s="328"/>
      <c r="Q45" s="328"/>
      <c r="R45" s="328"/>
    </row>
    <row r="46" spans="1:19" s="1251" customFormat="1" ht="15" customHeight="1"/>
    <row r="47" spans="1:19" s="1251" customFormat="1" ht="15" customHeight="1">
      <c r="B47" s="1252"/>
      <c r="C47" s="1252"/>
    </row>
    <row r="48" spans="1:19" ht="15" customHeight="1">
      <c r="A48" s="1312" t="s">
        <v>2</v>
      </c>
      <c r="B48" s="1313" t="str">
        <f>BMS_TYPE</f>
        <v>GT 106-44</v>
      </c>
      <c r="C48" s="117"/>
    </row>
    <row r="49" spans="1:22" ht="15" customHeight="1">
      <c r="A49" s="1312" t="s">
        <v>99</v>
      </c>
      <c r="B49" s="1310" t="s">
        <v>1913</v>
      </c>
      <c r="C49" s="1245">
        <f>E49*9.805</f>
        <v>0</v>
      </c>
      <c r="D49" s="1301" t="s">
        <v>1909</v>
      </c>
      <c r="E49" s="1302">
        <f>P_OP_in</f>
        <v>0</v>
      </c>
      <c r="F49" s="1300" t="s">
        <v>1912</v>
      </c>
    </row>
    <row r="50" spans="1:22" ht="15" customHeight="1">
      <c r="B50" s="1311" t="s">
        <v>1914</v>
      </c>
      <c r="C50" s="1245">
        <f t="shared" ref="C50:C52" si="0">E50*9.805</f>
        <v>183.75266843758897</v>
      </c>
      <c r="D50" s="1301" t="s">
        <v>1909</v>
      </c>
      <c r="E50" s="1302">
        <f>0.5*$C$56*($C$54/(PI()*$N$51^2/4)/3600)^2/g</f>
        <v>18.740710702456806</v>
      </c>
      <c r="F50" s="1300" t="s">
        <v>1912</v>
      </c>
      <c r="G50" s="92"/>
      <c r="H50" s="92"/>
      <c r="M50" s="90" t="s">
        <v>98</v>
      </c>
      <c r="N50" s="91">
        <f>'Data for BOSS'!$B$8</f>
        <v>1</v>
      </c>
    </row>
    <row r="51" spans="1:22" ht="15" customHeight="1" thickBot="1">
      <c r="B51" s="1311" t="s">
        <v>1915</v>
      </c>
      <c r="C51" s="1245">
        <f t="shared" si="0"/>
        <v>6814.8197798136598</v>
      </c>
      <c r="D51" s="1301" t="s">
        <v>1909</v>
      </c>
      <c r="E51" s="1302">
        <f>$E$52-E50</f>
        <v>695.03516367298926</v>
      </c>
      <c r="F51" s="1300" t="s">
        <v>1912</v>
      </c>
      <c r="M51" s="132" t="s">
        <v>119</v>
      </c>
      <c r="N51" s="335">
        <f>Inlet_m</f>
        <v>0.45</v>
      </c>
      <c r="O51" s="86" t="s">
        <v>118</v>
      </c>
    </row>
    <row r="52" spans="1:22" ht="15" customHeight="1" thickTop="1">
      <c r="B52" s="1310" t="s">
        <v>1916</v>
      </c>
      <c r="C52" s="1245">
        <f t="shared" si="0"/>
        <v>6998.5724482512487</v>
      </c>
      <c r="D52" s="1301" t="s">
        <v>1909</v>
      </c>
      <c r="E52" s="1302">
        <f>P_OP_tot</f>
        <v>713.77587437544605</v>
      </c>
      <c r="F52" s="1300" t="s">
        <v>1912</v>
      </c>
      <c r="M52" s="466"/>
      <c r="N52" s="519" t="s">
        <v>561</v>
      </c>
      <c r="O52" s="463">
        <f>Radiation_F</f>
        <v>1</v>
      </c>
    </row>
    <row r="53" spans="1:22" ht="15" customHeight="1">
      <c r="B53" s="1310" t="s">
        <v>1917</v>
      </c>
      <c r="C53" s="1302">
        <f>T_OP</f>
        <v>20</v>
      </c>
      <c r="D53" s="1301" t="s">
        <v>21</v>
      </c>
    </row>
    <row r="54" spans="1:22" ht="15" customHeight="1">
      <c r="B54" s="1310" t="s">
        <v>1918</v>
      </c>
      <c r="C54" s="1302">
        <f>Q</f>
        <v>10000</v>
      </c>
      <c r="D54" s="1301" t="s">
        <v>103</v>
      </c>
    </row>
    <row r="55" spans="1:22" ht="15" customHeight="1">
      <c r="B55" s="1310" t="s">
        <v>1919</v>
      </c>
      <c r="C55" s="1302">
        <f>rpm_OP</f>
        <v>1672.3774886767021</v>
      </c>
      <c r="D55" s="1301" t="s">
        <v>105</v>
      </c>
      <c r="E55" s="92" t="s">
        <v>107</v>
      </c>
      <c r="F55" s="94">
        <f>MAX(O8:O37)</f>
        <v>42515.344843366969</v>
      </c>
      <c r="G55" s="94">
        <f>MAX(N8:N37)</f>
        <v>4201.0842524835207</v>
      </c>
      <c r="H55" s="92">
        <v>0</v>
      </c>
    </row>
    <row r="56" spans="1:22" ht="15" customHeight="1">
      <c r="B56" s="1310" t="s">
        <v>108</v>
      </c>
      <c r="C56" s="1306">
        <f>rho_med_OP</f>
        <v>1.2050000000000001</v>
      </c>
      <c r="D56" s="1301" t="s">
        <v>30</v>
      </c>
      <c r="F56" s="87"/>
      <c r="G56" s="87"/>
    </row>
    <row r="57" spans="1:22" ht="15" customHeight="1">
      <c r="B57" s="1310" t="s">
        <v>1920</v>
      </c>
      <c r="C57" s="1308">
        <f>Eff_OP</f>
        <v>0.85827274783057184</v>
      </c>
      <c r="D57" s="1301"/>
    </row>
    <row r="58" spans="1:22" ht="15" customHeight="1">
      <c r="B58" s="1310" t="s">
        <v>1921</v>
      </c>
      <c r="C58" s="1309">
        <f>Shaft_Power_OP</f>
        <v>22.655320809839917</v>
      </c>
      <c r="D58" s="1301" t="s">
        <v>110</v>
      </c>
    </row>
    <row r="59" spans="1:22" ht="15" customHeight="1">
      <c r="B59" s="86"/>
      <c r="C59" s="86"/>
    </row>
    <row r="60" spans="1:22" ht="15" customHeight="1" thickBot="1">
      <c r="B60" s="86"/>
      <c r="C60" s="86"/>
      <c r="U60" s="328"/>
      <c r="V60" s="328"/>
    </row>
    <row r="61" spans="1:22" ht="15" customHeight="1">
      <c r="A61" s="1259" t="s">
        <v>245</v>
      </c>
      <c r="B61" s="1260"/>
      <c r="C61" s="455"/>
      <c r="D61" s="455"/>
      <c r="E61" s="456"/>
      <c r="F61" s="457"/>
      <c r="G61" s="456"/>
      <c r="H61" s="456"/>
      <c r="I61" s="456"/>
      <c r="J61" s="218"/>
      <c r="K61" s="219"/>
      <c r="U61" s="328"/>
      <c r="V61" s="328"/>
    </row>
    <row r="62" spans="1:22" ht="15" customHeight="1">
      <c r="A62" s="458" t="s">
        <v>183</v>
      </c>
      <c r="B62" s="459"/>
      <c r="C62" s="459"/>
      <c r="D62" s="1289">
        <v>63</v>
      </c>
      <c r="E62" s="1289">
        <v>125</v>
      </c>
      <c r="F62" s="1289">
        <v>250</v>
      </c>
      <c r="G62" s="1290">
        <v>500</v>
      </c>
      <c r="H62" s="1289">
        <v>1000</v>
      </c>
      <c r="I62" s="1289">
        <v>2000</v>
      </c>
      <c r="J62" s="1289">
        <v>4000</v>
      </c>
      <c r="K62" s="1291" t="s">
        <v>184</v>
      </c>
      <c r="U62" s="328"/>
      <c r="V62" s="328"/>
    </row>
    <row r="63" spans="1:22" ht="15" customHeight="1">
      <c r="A63" s="462" t="s">
        <v>195</v>
      </c>
      <c r="B63" s="463"/>
      <c r="C63" s="464"/>
      <c r="D63" s="1292">
        <f t="shared" ref="D63:J63" si="1">SUM(D73:D77)</f>
        <v>99.838935792612261</v>
      </c>
      <c r="E63" s="1292">
        <f t="shared" si="1"/>
        <v>99.338935792612261</v>
      </c>
      <c r="F63" s="1292">
        <f t="shared" si="1"/>
        <v>101.63893579261227</v>
      </c>
      <c r="G63" s="1292">
        <f t="shared" si="1"/>
        <v>108.13893579261227</v>
      </c>
      <c r="H63" s="1292">
        <f t="shared" si="1"/>
        <v>101.73893579261227</v>
      </c>
      <c r="I63" s="1292">
        <f t="shared" si="1"/>
        <v>98.638935792612273</v>
      </c>
      <c r="J63" s="1292">
        <f t="shared" si="1"/>
        <v>94.238935792612267</v>
      </c>
      <c r="K63" s="1293">
        <f t="array" ref="K63">10*LOG10(SUM(IF(ISNUMBER(D63:J63),10^(D63:J63/10))))</f>
        <v>110.89351270997975</v>
      </c>
      <c r="U63" s="502"/>
      <c r="V63" s="328"/>
    </row>
    <row r="64" spans="1:22" ht="15" customHeight="1">
      <c r="A64" s="466" t="s">
        <v>193</v>
      </c>
      <c r="B64" s="463"/>
      <c r="C64" s="463"/>
      <c r="D64" s="1294">
        <f t="shared" ref="D64:J64" si="2">D63+D79</f>
        <v>73.638935792612259</v>
      </c>
      <c r="E64" s="1294">
        <f t="shared" si="2"/>
        <v>83.238935792612267</v>
      </c>
      <c r="F64" s="1294">
        <f t="shared" si="2"/>
        <v>93.038935792612278</v>
      </c>
      <c r="G64" s="1294">
        <f t="shared" si="2"/>
        <v>104.93893579261227</v>
      </c>
      <c r="H64" s="1294">
        <f t="shared" si="2"/>
        <v>101.73893579261227</v>
      </c>
      <c r="I64" s="1294">
        <f t="shared" si="2"/>
        <v>99.838935792612276</v>
      </c>
      <c r="J64" s="1294">
        <f t="shared" si="2"/>
        <v>95.238935792612267</v>
      </c>
      <c r="K64" s="1295">
        <f t="array" ref="K64">10*LOG10(SUM(IF(ISNUMBER(D64:J64),10^(D64:J64/10))))</f>
        <v>107.87671251217787</v>
      </c>
      <c r="S64" s="328"/>
      <c r="T64" s="328"/>
      <c r="U64" s="328"/>
      <c r="V64" s="328"/>
    </row>
    <row r="65" spans="1:22" ht="15" customHeight="1" thickBot="1">
      <c r="A65" s="467" t="s">
        <v>244</v>
      </c>
      <c r="B65" s="468"/>
      <c r="C65" s="469">
        <f>'Curves (Std. conditions)'!C65</f>
        <v>-8.3103618950739975</v>
      </c>
      <c r="D65" s="1296">
        <f t="shared" ref="D65:J65" si="3">D64+$C$65</f>
        <v>65.328573897538263</v>
      </c>
      <c r="E65" s="1296">
        <f t="shared" si="3"/>
        <v>74.928573897538271</v>
      </c>
      <c r="F65" s="1296">
        <f t="shared" si="3"/>
        <v>84.728573897538283</v>
      </c>
      <c r="G65" s="1296">
        <f t="shared" si="3"/>
        <v>96.628573897538274</v>
      </c>
      <c r="H65" s="1296">
        <f t="shared" si="3"/>
        <v>93.428573897538271</v>
      </c>
      <c r="I65" s="1296">
        <f t="shared" si="3"/>
        <v>91.52857389753828</v>
      </c>
      <c r="J65" s="1296">
        <f t="shared" si="3"/>
        <v>86.928573897538271</v>
      </c>
      <c r="K65" s="1297">
        <f t="array" ref="K65">10*LOG10(SUM(IF(ISNUMBER(D65:J65),10^(D65:J65/10))))</f>
        <v>99.566350617103879</v>
      </c>
      <c r="S65" s="498"/>
      <c r="T65" s="498"/>
      <c r="U65" s="328"/>
      <c r="V65" s="328"/>
    </row>
    <row r="66" spans="1:22" ht="15" customHeight="1" thickTop="1" thickBot="1">
      <c r="A66" s="472" t="s">
        <v>194</v>
      </c>
      <c r="B66" s="473"/>
      <c r="C66" s="474">
        <f>'Curves (Std. conditions)'!C66</f>
        <v>-13.375814485106119</v>
      </c>
      <c r="D66" s="1298">
        <f t="shared" ref="D66:J66" si="4">D64+$C$66-D80</f>
        <v>47.76312130750614</v>
      </c>
      <c r="E66" s="1298">
        <f t="shared" si="4"/>
        <v>62.363121307506148</v>
      </c>
      <c r="F66" s="1298">
        <f t="shared" si="4"/>
        <v>77.163121307506159</v>
      </c>
      <c r="G66" s="1298">
        <f t="shared" si="4"/>
        <v>89.063121307506151</v>
      </c>
      <c r="H66" s="1298">
        <f t="shared" si="4"/>
        <v>80.863121307506148</v>
      </c>
      <c r="I66" s="1298">
        <f t="shared" si="4"/>
        <v>78.963121307506157</v>
      </c>
      <c r="J66" s="1298">
        <f t="shared" si="4"/>
        <v>74.363121307506148</v>
      </c>
      <c r="K66" s="1299">
        <f t="array" ref="K66">10*LOG10(SUM(IF(ISNUMBER(D66:J66),10^(D66:J66/10))))</f>
        <v>90.365628215651611</v>
      </c>
      <c r="S66" s="501"/>
      <c r="T66" s="501"/>
    </row>
    <row r="67" spans="1:22" ht="15" customHeight="1">
      <c r="B67" s="86"/>
      <c r="C67" s="86"/>
      <c r="S67" s="328"/>
      <c r="T67" s="328"/>
    </row>
    <row r="68" spans="1:22" ht="15" customHeight="1">
      <c r="B68" s="86"/>
      <c r="C68" s="86"/>
      <c r="S68" s="501"/>
      <c r="T68" s="501"/>
    </row>
    <row r="69" spans="1:22" ht="15" customHeight="1">
      <c r="B69" s="86"/>
      <c r="C69" s="86"/>
      <c r="S69" s="328"/>
      <c r="T69" s="328"/>
    </row>
    <row r="70" spans="1:22" ht="15" customHeight="1">
      <c r="A70" s="145"/>
      <c r="B70" s="145"/>
      <c r="C70" s="145"/>
      <c r="D70" s="145"/>
      <c r="E70" s="145"/>
      <c r="F70" s="145"/>
      <c r="G70" s="145"/>
      <c r="H70" s="145"/>
      <c r="I70" s="145"/>
      <c r="J70" s="145"/>
      <c r="K70" s="240"/>
      <c r="L70" s="239"/>
    </row>
    <row r="71" spans="1:22" ht="15" customHeight="1">
      <c r="B71" s="86"/>
      <c r="C71" s="86"/>
      <c r="M71" s="328"/>
      <c r="N71" s="328"/>
      <c r="O71" s="328"/>
      <c r="P71" s="328"/>
      <c r="Q71" s="328"/>
      <c r="R71" s="328"/>
    </row>
    <row r="72" spans="1:22" ht="15" customHeight="1">
      <c r="B72" s="86"/>
      <c r="C72" s="86"/>
      <c r="M72" s="497"/>
      <c r="N72" s="498"/>
      <c r="O72" s="498"/>
      <c r="P72" s="498"/>
      <c r="Q72" s="499"/>
      <c r="R72" s="498"/>
    </row>
    <row r="73" spans="1:22" ht="15" customHeight="1">
      <c r="A73" s="477" t="s">
        <v>185</v>
      </c>
      <c r="B73" s="478"/>
      <c r="C73" s="479">
        <f>'Curves (Std. conditions)'!C114</f>
        <v>3</v>
      </c>
      <c r="D73" s="464">
        <f>INDEX('Curves (Std. conditions)'!$A$122:$J$124,$C$73,COLUMN(D1))</f>
        <v>18.5</v>
      </c>
      <c r="E73" s="464">
        <f>INDEX('Curves (Std. conditions)'!$A$122:$J$124,$C$73,COLUMN(E1))</f>
        <v>18</v>
      </c>
      <c r="F73" s="464">
        <f>INDEX('Curves (Std. conditions)'!$A$122:$J$124,$C$73,COLUMN(F1))</f>
        <v>20.3</v>
      </c>
      <c r="G73" s="464">
        <f>INDEX('Curves (Std. conditions)'!$A$122:$J$124,$C$73,COLUMN(G1))</f>
        <v>21.8</v>
      </c>
      <c r="H73" s="464">
        <f>INDEX('Curves (Std. conditions)'!$A$122:$J$124,$C$73,COLUMN(H1))</f>
        <v>20.399999999999999</v>
      </c>
      <c r="I73" s="480">
        <f>INDEX('Curves (Std. conditions)'!$A$122:$J$124,$C$73,COLUMN(I1))</f>
        <v>17.3</v>
      </c>
      <c r="J73" s="478">
        <f>INDEX('Curves (Std. conditions)'!$A$122:$J$124,$C$73,COLUMN(J1))</f>
        <v>12.9</v>
      </c>
      <c r="M73" s="328"/>
      <c r="N73" s="328"/>
      <c r="O73" s="328"/>
      <c r="P73" s="328"/>
      <c r="Q73" s="328"/>
      <c r="R73" s="328"/>
    </row>
    <row r="74" spans="1:22" ht="15" customHeight="1">
      <c r="A74" s="481" t="s">
        <v>186</v>
      </c>
      <c r="B74" s="482"/>
      <c r="C74" s="483">
        <f>rpm_OP*blades/60</f>
        <v>445.96733031378722</v>
      </c>
      <c r="D74" s="463">
        <f>IF($C$74&lt;=(D62/2+E62/2),5,0)</f>
        <v>0</v>
      </c>
      <c r="E74" s="463">
        <f>IF(AND($C$74&gt;(D62/2+E62/2),$C$74&lt;=(F62/2+E62/2)),5,0)</f>
        <v>0</v>
      </c>
      <c r="F74" s="463">
        <f>IF(AND($C$74&gt;(E62/2+F62/2),$C$74&lt;=(G62/2+F62/2)),5,0)</f>
        <v>0</v>
      </c>
      <c r="G74" s="463">
        <f>IF(AND($C$74&gt;(F62/2+G62/2),$C$74&lt;=(H62/2+G62/2)),5,0)</f>
        <v>5</v>
      </c>
      <c r="H74" s="463">
        <f>IF(AND($C$74&gt;(G62/2+H62/2),$C$74&lt;=(I62/2+H62/2)),5,0)</f>
        <v>0</v>
      </c>
      <c r="I74" s="463">
        <f>IF(AND($C$74&gt;(H62/2+I62/2),$C$74&lt;=(J62/2+I62/2)),5,0)</f>
        <v>0</v>
      </c>
      <c r="J74" s="482">
        <f>IF($C$74&gt;(I62/2+J62/2),5,0)</f>
        <v>0</v>
      </c>
      <c r="K74" s="134"/>
      <c r="L74" s="134"/>
      <c r="M74" s="500"/>
      <c r="N74" s="501"/>
      <c r="O74" s="501"/>
      <c r="P74" s="501"/>
      <c r="Q74" s="501"/>
      <c r="R74" s="501"/>
    </row>
    <row r="75" spans="1:22" ht="15" customHeight="1">
      <c r="A75" s="481" t="s">
        <v>187</v>
      </c>
      <c r="B75" s="482"/>
      <c r="C75" s="483"/>
      <c r="D75" s="463">
        <v>0</v>
      </c>
      <c r="E75" s="463">
        <v>0</v>
      </c>
      <c r="F75" s="463">
        <v>0</v>
      </c>
      <c r="G75" s="463">
        <v>0</v>
      </c>
      <c r="H75" s="463">
        <v>0</v>
      </c>
      <c r="I75" s="463">
        <v>0</v>
      </c>
      <c r="J75" s="482">
        <v>0</v>
      </c>
      <c r="K75" s="144"/>
      <c r="M75" s="328"/>
      <c r="N75" s="328"/>
      <c r="O75" s="328"/>
      <c r="P75" s="328"/>
      <c r="Q75" s="328"/>
      <c r="R75" s="328"/>
    </row>
    <row r="76" spans="1:22" ht="15" customHeight="1">
      <c r="A76" s="481" t="s">
        <v>188</v>
      </c>
      <c r="B76" s="482"/>
      <c r="C76" s="483"/>
      <c r="D76" s="484">
        <f t="shared" ref="D76:J76" si="5">MAX(0,10*LOG($C$54/3600))</f>
        <v>4.4369749923271273</v>
      </c>
      <c r="E76" s="484">
        <f t="shared" si="5"/>
        <v>4.4369749923271273</v>
      </c>
      <c r="F76" s="484">
        <f t="shared" si="5"/>
        <v>4.4369749923271273</v>
      </c>
      <c r="G76" s="484">
        <f t="shared" si="5"/>
        <v>4.4369749923271273</v>
      </c>
      <c r="H76" s="484">
        <f t="shared" si="5"/>
        <v>4.4369749923271273</v>
      </c>
      <c r="I76" s="484">
        <f t="shared" si="5"/>
        <v>4.4369749923271273</v>
      </c>
      <c r="J76" s="485">
        <f t="shared" si="5"/>
        <v>4.4369749923271273</v>
      </c>
      <c r="K76" s="144"/>
      <c r="M76" s="501"/>
      <c r="N76" s="501"/>
      <c r="O76" s="501"/>
      <c r="P76" s="501"/>
      <c r="Q76" s="501"/>
      <c r="R76" s="501"/>
    </row>
    <row r="77" spans="1:22" ht="15" customHeight="1">
      <c r="A77" s="486" t="s">
        <v>189</v>
      </c>
      <c r="B77" s="487"/>
      <c r="C77" s="488"/>
      <c r="D77" s="489">
        <f t="shared" ref="D77:J77" si="6">MAX(0,20*LOG($E$52*g))</f>
        <v>76.901960800285138</v>
      </c>
      <c r="E77" s="489">
        <f t="shared" si="6"/>
        <v>76.901960800285138</v>
      </c>
      <c r="F77" s="489">
        <f t="shared" si="6"/>
        <v>76.901960800285138</v>
      </c>
      <c r="G77" s="489">
        <f t="shared" si="6"/>
        <v>76.901960800285138</v>
      </c>
      <c r="H77" s="489">
        <f t="shared" si="6"/>
        <v>76.901960800285138</v>
      </c>
      <c r="I77" s="489">
        <f t="shared" si="6"/>
        <v>76.901960800285138</v>
      </c>
      <c r="J77" s="490">
        <f t="shared" si="6"/>
        <v>76.901960800285138</v>
      </c>
      <c r="K77" s="144"/>
      <c r="M77" s="328"/>
      <c r="N77" s="328"/>
      <c r="O77" s="328"/>
      <c r="P77" s="328"/>
      <c r="Q77" s="328"/>
      <c r="R77" s="328"/>
    </row>
    <row r="78" spans="1:22" ht="15" customHeight="1">
      <c r="B78" s="86"/>
      <c r="C78" s="86"/>
      <c r="K78" s="144"/>
    </row>
    <row r="79" spans="1:22" ht="15" customHeight="1">
      <c r="A79" s="494" t="s">
        <v>364</v>
      </c>
      <c r="B79" s="493"/>
      <c r="C79" s="493"/>
      <c r="D79" s="495">
        <f>'Curves (Std. conditions)'!D120</f>
        <v>-26.2</v>
      </c>
      <c r="E79" s="495">
        <f>'Curves (Std. conditions)'!E120</f>
        <v>-16.100000000000001</v>
      </c>
      <c r="F79" s="495">
        <f>'Curves (Std. conditions)'!F120</f>
        <v>-8.6</v>
      </c>
      <c r="G79" s="495">
        <f>'Curves (Std. conditions)'!G120</f>
        <v>-3.2</v>
      </c>
      <c r="H79" s="495">
        <f>'Curves (Std. conditions)'!H120</f>
        <v>0</v>
      </c>
      <c r="I79" s="495">
        <f>'Curves (Std. conditions)'!I120</f>
        <v>1.2</v>
      </c>
      <c r="J79" s="496">
        <f>'Curves (Std. conditions)'!J120</f>
        <v>1</v>
      </c>
      <c r="K79" s="144"/>
    </row>
    <row r="80" spans="1:22" ht="15" customHeight="1">
      <c r="A80" s="494" t="s">
        <v>365</v>
      </c>
      <c r="B80" s="493"/>
      <c r="C80" s="493"/>
      <c r="D80" s="495">
        <f>'Curves (Std. conditions)'!D121</f>
        <v>12.5</v>
      </c>
      <c r="E80" s="495">
        <f>'Curves (Std. conditions)'!E121</f>
        <v>7.5</v>
      </c>
      <c r="F80" s="495">
        <f>'Curves (Std. conditions)'!F121</f>
        <v>2.5</v>
      </c>
      <c r="G80" s="495">
        <f>'Curves (Std. conditions)'!G121</f>
        <v>2.5</v>
      </c>
      <c r="H80" s="495">
        <f>'Curves (Std. conditions)'!H121</f>
        <v>7.5</v>
      </c>
      <c r="I80" s="495">
        <f>'Curves (Std. conditions)'!I121</f>
        <v>7.5</v>
      </c>
      <c r="J80" s="496">
        <f>'Curves (Std. conditions)'!J121</f>
        <v>7.5</v>
      </c>
      <c r="K80" s="144"/>
    </row>
    <row r="81" spans="1:14" ht="15" customHeight="1">
      <c r="A81" s="477" t="s">
        <v>190</v>
      </c>
      <c r="B81" s="478"/>
      <c r="C81" s="479">
        <v>1</v>
      </c>
      <c r="D81" s="521">
        <f>'Curves (Std. conditions)'!D122</f>
        <v>27</v>
      </c>
      <c r="E81" s="522">
        <f>'Curves (Std. conditions)'!E122</f>
        <v>26</v>
      </c>
      <c r="F81" s="522">
        <f>'Curves (Std. conditions)'!F122</f>
        <v>23</v>
      </c>
      <c r="G81" s="522">
        <f>'Curves (Std. conditions)'!G122</f>
        <v>21</v>
      </c>
      <c r="H81" s="522">
        <f>'Curves (Std. conditions)'!H122</f>
        <v>18</v>
      </c>
      <c r="I81" s="522">
        <f>'Curves (Std. conditions)'!I122</f>
        <v>15</v>
      </c>
      <c r="J81" s="523">
        <f>'Curves (Std. conditions)'!J122</f>
        <v>10</v>
      </c>
      <c r="K81" s="144"/>
    </row>
    <row r="82" spans="1:14" ht="15" customHeight="1">
      <c r="A82" s="481" t="s">
        <v>191</v>
      </c>
      <c r="B82" s="482"/>
      <c r="C82" s="483">
        <v>2</v>
      </c>
      <c r="D82" s="524">
        <f>'Curves (Std. conditions)'!D123</f>
        <v>15.7</v>
      </c>
      <c r="E82" s="525">
        <f>'Curves (Std. conditions)'!E123</f>
        <v>15</v>
      </c>
      <c r="F82" s="525">
        <f>'Curves (Std. conditions)'!F123</f>
        <v>16.7</v>
      </c>
      <c r="G82" s="525">
        <f>'Curves (Std. conditions)'!G123</f>
        <v>19.5</v>
      </c>
      <c r="H82" s="525">
        <f>'Curves (Std. conditions)'!H123</f>
        <v>18.3</v>
      </c>
      <c r="I82" s="525">
        <f>'Curves (Std. conditions)'!I123</f>
        <v>14.5</v>
      </c>
      <c r="J82" s="526">
        <f>'Curves (Std. conditions)'!J123</f>
        <v>10.4</v>
      </c>
      <c r="K82" s="144"/>
    </row>
    <row r="83" spans="1:14" ht="15" customHeight="1">
      <c r="A83" s="486" t="s">
        <v>192</v>
      </c>
      <c r="B83" s="487"/>
      <c r="C83" s="488">
        <v>3</v>
      </c>
      <c r="D83" s="527">
        <f>'Curves (Std. conditions)'!D124</f>
        <v>18.5</v>
      </c>
      <c r="E83" s="528">
        <f>'Curves (Std. conditions)'!E124</f>
        <v>18</v>
      </c>
      <c r="F83" s="528">
        <f>'Curves (Std. conditions)'!F124</f>
        <v>20.3</v>
      </c>
      <c r="G83" s="528">
        <f>'Curves (Std. conditions)'!G124</f>
        <v>21.8</v>
      </c>
      <c r="H83" s="528">
        <f>'Curves (Std. conditions)'!H124</f>
        <v>20.399999999999999</v>
      </c>
      <c r="I83" s="528">
        <f>'Curves (Std. conditions)'!I124</f>
        <v>17.3</v>
      </c>
      <c r="J83" s="529">
        <f>'Curves (Std. conditions)'!J124</f>
        <v>12.9</v>
      </c>
      <c r="K83" s="144"/>
    </row>
    <row r="84" spans="1:14" ht="15" customHeight="1">
      <c r="B84" s="86"/>
      <c r="C84" s="86"/>
      <c r="K84" s="144"/>
    </row>
    <row r="85" spans="1:14" ht="15" customHeight="1">
      <c r="B85" s="86"/>
      <c r="C85" s="86"/>
    </row>
    <row r="86" spans="1:14" ht="15" customHeight="1">
      <c r="B86" s="86"/>
      <c r="C86" s="86"/>
      <c r="M86" s="134"/>
      <c r="N86" s="144"/>
    </row>
    <row r="87" spans="1:14" ht="15" customHeight="1">
      <c r="B87" s="86"/>
      <c r="C87" s="86"/>
    </row>
    <row r="88" spans="1:14" ht="15" customHeight="1">
      <c r="B88" s="86"/>
      <c r="C88" s="86"/>
    </row>
    <row r="89" spans="1:14" ht="15" customHeight="1">
      <c r="B89" s="86"/>
      <c r="C89" s="86"/>
    </row>
    <row r="90" spans="1:14" ht="15" customHeight="1">
      <c r="B90" s="86"/>
      <c r="C90" s="86"/>
    </row>
    <row r="91" spans="1:14" ht="15" customHeight="1">
      <c r="B91" s="86"/>
      <c r="C91" s="86"/>
    </row>
    <row r="92" spans="1:14" ht="15" customHeight="1">
      <c r="B92" s="86"/>
      <c r="C92" s="86"/>
    </row>
    <row r="93" spans="1:14" ht="15" customHeight="1">
      <c r="B93" s="86"/>
      <c r="C93" s="86"/>
    </row>
    <row r="94" spans="1:14" ht="15" customHeight="1">
      <c r="B94" s="86"/>
      <c r="C94" s="86"/>
    </row>
    <row r="95" spans="1:14" ht="15" customHeight="1">
      <c r="B95" s="86"/>
      <c r="C95" s="86"/>
    </row>
    <row r="96" spans="1:14" ht="15" customHeight="1">
      <c r="B96" s="86"/>
      <c r="C96" s="86"/>
    </row>
    <row r="97" spans="2:3" ht="15" customHeight="1">
      <c r="B97" s="86"/>
      <c r="C97" s="86"/>
    </row>
    <row r="98" spans="2:3" ht="15" customHeight="1">
      <c r="B98" s="86"/>
      <c r="C98" s="86"/>
    </row>
    <row r="99" spans="2:3" ht="15" customHeight="1">
      <c r="B99" s="86"/>
      <c r="C99" s="86"/>
    </row>
    <row r="100" spans="2:3" ht="15" customHeight="1">
      <c r="B100" s="86"/>
      <c r="C100" s="86"/>
    </row>
    <row r="101" spans="2:3" ht="15" customHeight="1">
      <c r="B101" s="86"/>
      <c r="C101" s="86"/>
    </row>
    <row r="102" spans="2:3" ht="15" customHeight="1">
      <c r="B102" s="86"/>
      <c r="C102" s="86"/>
    </row>
    <row r="103" spans="2:3" ht="15" customHeight="1">
      <c r="B103" s="86"/>
      <c r="C103" s="86"/>
    </row>
    <row r="104" spans="2:3" ht="15" customHeight="1">
      <c r="B104" s="86"/>
      <c r="C104" s="86"/>
    </row>
    <row r="105" spans="2:3" ht="15" customHeight="1">
      <c r="B105" s="86"/>
      <c r="C105" s="86"/>
    </row>
    <row r="106" spans="2:3" ht="15" customHeight="1">
      <c r="B106" s="86"/>
      <c r="C106" s="86"/>
    </row>
    <row r="107" spans="2:3" ht="15" customHeight="1">
      <c r="B107" s="86"/>
      <c r="C107" s="86"/>
    </row>
    <row r="108" spans="2:3" ht="15" customHeight="1">
      <c r="B108" s="86"/>
      <c r="C108" s="86"/>
    </row>
    <row r="109" spans="2:3" ht="15" customHeight="1">
      <c r="B109" s="86"/>
      <c r="C109" s="86"/>
    </row>
    <row r="110" spans="2:3" ht="15" customHeight="1">
      <c r="B110" s="86"/>
      <c r="C110" s="86"/>
    </row>
    <row r="111" spans="2:3" ht="15" customHeight="1">
      <c r="B111" s="86"/>
      <c r="C111" s="86"/>
    </row>
    <row r="112" spans="2:3" ht="15" customHeight="1">
      <c r="B112" s="86"/>
      <c r="C112" s="86"/>
    </row>
    <row r="113" spans="2:3" ht="15" customHeight="1">
      <c r="B113" s="86"/>
      <c r="C113" s="86"/>
    </row>
    <row r="114" spans="2:3" ht="15" customHeight="1">
      <c r="B114" s="86"/>
      <c r="C114" s="86"/>
    </row>
    <row r="115" spans="2:3" ht="15" customHeight="1">
      <c r="B115" s="86"/>
      <c r="C115" s="86"/>
    </row>
    <row r="116" spans="2:3" ht="15" customHeight="1">
      <c r="B116" s="86"/>
      <c r="C116" s="86"/>
    </row>
    <row r="117" spans="2:3" ht="15" customHeight="1">
      <c r="B117" s="86"/>
      <c r="C117" s="86"/>
    </row>
    <row r="118" spans="2:3" ht="15" customHeight="1">
      <c r="B118" s="86"/>
      <c r="C118" s="86"/>
    </row>
  </sheetData>
  <phoneticPr fontId="77" type="noConversion"/>
  <pageMargins left="0.51181102362204722" right="0.35433070866141736" top="0.98425196850393704" bottom="0.98425196850393704" header="0.51181102362204722" footer="0.51181102362204722"/>
  <pageSetup paperSize="9" scale="44" orientation="landscape" r:id="rId1"/>
  <headerFooter alignWithMargins="0">
    <oddHeader>&amp;R&amp;D</oddHeader>
    <oddFooter>&amp;LCONFIDENTIAL&amp;RPage &amp;P /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3">
    <pageSetUpPr fitToPage="1"/>
  </sheetPr>
  <dimension ref="A1:U132"/>
  <sheetViews>
    <sheetView zoomScale="50" zoomScaleNormal="50" workbookViewId="0">
      <selection sqref="A1:B1"/>
    </sheetView>
  </sheetViews>
  <sheetFormatPr defaultColWidth="14.5703125" defaultRowHeight="15" customHeight="1"/>
  <cols>
    <col min="1" max="1" width="17.5703125" style="86" customWidth="1"/>
    <col min="2" max="3" width="14.5703125" style="87"/>
    <col min="4" max="16384" width="14.5703125" style="86"/>
  </cols>
  <sheetData>
    <row r="1" spans="1:19" ht="33" customHeight="1" thickBot="1">
      <c r="A1" s="1420" t="s">
        <v>565</v>
      </c>
      <c r="B1" s="1421"/>
      <c r="C1" s="1411">
        <f>'Fan Selection'!B1</f>
        <v>6666</v>
      </c>
      <c r="D1" s="1412"/>
      <c r="E1" s="1412"/>
      <c r="F1" s="1412"/>
      <c r="G1" s="1412"/>
      <c r="H1" s="1412"/>
      <c r="I1" s="1412"/>
      <c r="J1" s="1412"/>
      <c r="K1" s="1412"/>
      <c r="L1" s="1413"/>
      <c r="M1" s="84"/>
      <c r="N1" s="84"/>
      <c r="O1" s="84"/>
      <c r="P1" s="84"/>
      <c r="Q1" s="85"/>
    </row>
    <row r="2" spans="1:19" ht="33" customHeight="1" thickBot="1">
      <c r="A2" s="1420" t="s">
        <v>564</v>
      </c>
      <c r="B2" s="1421"/>
      <c r="C2" s="1411">
        <f>'Fan Selection'!B2</f>
        <v>0</v>
      </c>
      <c r="D2" s="1412"/>
      <c r="E2" s="1412"/>
      <c r="F2" s="1412"/>
      <c r="G2" s="1412"/>
      <c r="H2" s="1412"/>
      <c r="I2" s="1412"/>
      <c r="J2" s="1412"/>
      <c r="K2" s="1414"/>
      <c r="L2" s="598">
        <f>'Fan Selection'!P2</f>
        <v>0</v>
      </c>
      <c r="M2" s="84"/>
      <c r="N2" s="84"/>
      <c r="O2" s="84"/>
      <c r="P2" s="84"/>
      <c r="Q2" s="85"/>
    </row>
    <row r="3" spans="1:19" ht="15" customHeight="1">
      <c r="K3" s="85"/>
      <c r="L3" s="85"/>
      <c r="M3" s="85"/>
      <c r="N3" s="85"/>
      <c r="O3" s="85"/>
      <c r="P3" s="85"/>
      <c r="Q3" s="85"/>
    </row>
    <row r="4" spans="1:19" ht="15" customHeight="1">
      <c r="C4" s="97"/>
      <c r="K4" s="98"/>
      <c r="L4" s="99"/>
      <c r="M4" s="99"/>
      <c r="N4" s="88"/>
      <c r="O4" s="98"/>
      <c r="P4" s="98"/>
      <c r="Q4" s="100"/>
    </row>
    <row r="5" spans="1:19" ht="15" customHeight="1">
      <c r="C5" s="97"/>
      <c r="K5" s="98"/>
      <c r="L5" s="99"/>
      <c r="M5" s="99"/>
      <c r="N5" s="88"/>
      <c r="O5" s="98"/>
      <c r="P5" s="98"/>
      <c r="Q5" s="100"/>
    </row>
    <row r="6" spans="1:19" ht="15" customHeight="1" thickBot="1">
      <c r="C6" s="97"/>
      <c r="S6" s="100"/>
    </row>
    <row r="7" spans="1:19" ht="15" customHeight="1" thickBot="1">
      <c r="G7" s="100"/>
      <c r="M7" s="319" t="s">
        <v>0</v>
      </c>
      <c r="N7" s="320" t="s">
        <v>5</v>
      </c>
      <c r="O7" s="320" t="s">
        <v>6</v>
      </c>
      <c r="P7" s="321"/>
      <c r="Q7" s="322" t="s">
        <v>569</v>
      </c>
      <c r="R7" s="323"/>
      <c r="S7" s="100"/>
    </row>
    <row r="8" spans="1:19" ht="15" customHeight="1">
      <c r="G8" s="100"/>
      <c r="M8" s="304">
        <v>0</v>
      </c>
      <c r="N8" s="305">
        <f>$C$51*($M8/$C$54)^2</f>
        <v>0</v>
      </c>
      <c r="O8" s="305">
        <f>$C$53*($M8/$C$54)</f>
        <v>0</v>
      </c>
      <c r="P8" s="306"/>
      <c r="Q8" s="306">
        <v>0</v>
      </c>
      <c r="R8" s="307"/>
      <c r="S8" s="100"/>
    </row>
    <row r="9" spans="1:19" ht="15" customHeight="1">
      <c r="G9" s="100"/>
      <c r="M9" s="308">
        <f>$M$13/5+M8</f>
        <v>800</v>
      </c>
      <c r="N9" s="309">
        <f t="shared" ref="N9:N13" si="0">$C$51*($M9/$C$54)^2</f>
        <v>163.33272683250243</v>
      </c>
      <c r="O9" s="309">
        <f t="shared" ref="O9:O13" si="1">$C$53*($M9/$C$54)</f>
        <v>4783.6089962740043</v>
      </c>
      <c r="P9" s="310"/>
      <c r="Q9" s="310">
        <f>N9*g*O9/3600/(2*PI()*$M9/60)</f>
        <v>25.406448252454275</v>
      </c>
      <c r="R9" s="311"/>
      <c r="S9" s="100"/>
    </row>
    <row r="10" spans="1:19" ht="15" customHeight="1">
      <c r="G10" s="100"/>
      <c r="M10" s="308">
        <f t="shared" ref="M10:M12" si="2">$M$13/5+M9</f>
        <v>1600</v>
      </c>
      <c r="N10" s="309">
        <f t="shared" si="0"/>
        <v>653.33090733000972</v>
      </c>
      <c r="O10" s="309">
        <f t="shared" si="1"/>
        <v>9567.2179925480086</v>
      </c>
      <c r="P10" s="310"/>
      <c r="Q10" s="310">
        <f>N10*g*O10/3600/(2*PI()*$M10/60)</f>
        <v>101.6257930098171</v>
      </c>
      <c r="R10" s="311"/>
      <c r="S10" s="100"/>
    </row>
    <row r="11" spans="1:19" ht="15" customHeight="1">
      <c r="G11" s="100"/>
      <c r="M11" s="308">
        <f t="shared" si="2"/>
        <v>2400</v>
      </c>
      <c r="N11" s="309">
        <f t="shared" si="0"/>
        <v>1469.9945414925216</v>
      </c>
      <c r="O11" s="309">
        <f t="shared" si="1"/>
        <v>14350.826988822015</v>
      </c>
      <c r="P11" s="310"/>
      <c r="Q11" s="310">
        <f>N11*g*O11/3600/(2*PI()*$M11/60)</f>
        <v>228.65803427208846</v>
      </c>
      <c r="R11" s="311"/>
      <c r="S11" s="100"/>
    </row>
    <row r="12" spans="1:19" ht="15" customHeight="1">
      <c r="G12" s="100"/>
      <c r="M12" s="308">
        <f t="shared" si="2"/>
        <v>3200</v>
      </c>
      <c r="N12" s="309">
        <f t="shared" si="0"/>
        <v>2613.3236293200389</v>
      </c>
      <c r="O12" s="309">
        <f t="shared" si="1"/>
        <v>19134.435985096017</v>
      </c>
      <c r="P12" s="310"/>
      <c r="Q12" s="310">
        <f>N12*g*O12/3600/(2*PI()*$M12/60)</f>
        <v>406.50317203926841</v>
      </c>
      <c r="R12" s="311"/>
      <c r="S12" s="100"/>
    </row>
    <row r="13" spans="1:19" ht="15" customHeight="1">
      <c r="G13" s="100"/>
      <c r="M13" s="308">
        <f>'Data for BOSS'!S21</f>
        <v>4000</v>
      </c>
      <c r="N13" s="309">
        <f t="shared" si="0"/>
        <v>4083.3181708125603</v>
      </c>
      <c r="O13" s="309">
        <f t="shared" si="1"/>
        <v>23918.044981370025</v>
      </c>
      <c r="P13" s="310"/>
      <c r="Q13" s="310">
        <f>N13*g*O13/3600/(2*PI()*$M13/60)</f>
        <v>635.16120631135698</v>
      </c>
      <c r="R13" s="311"/>
    </row>
    <row r="14" spans="1:19" ht="15" customHeight="1">
      <c r="G14" s="100"/>
      <c r="M14" s="312"/>
      <c r="N14" s="309"/>
      <c r="O14" s="309"/>
      <c r="P14" s="310"/>
      <c r="Q14" s="310"/>
      <c r="R14" s="311"/>
    </row>
    <row r="15" spans="1:19" ht="15" customHeight="1">
      <c r="G15" s="100"/>
      <c r="M15" s="313"/>
      <c r="N15" s="309"/>
      <c r="O15" s="309"/>
      <c r="P15" s="310"/>
      <c r="Q15" s="310"/>
      <c r="R15" s="311"/>
    </row>
    <row r="16" spans="1:19" ht="15" customHeight="1">
      <c r="G16" s="100"/>
      <c r="M16" s="313"/>
      <c r="N16" s="309"/>
      <c r="O16" s="309"/>
      <c r="P16" s="310"/>
      <c r="Q16" s="310"/>
      <c r="R16" s="311"/>
    </row>
    <row r="17" spans="2:18" ht="15" customHeight="1">
      <c r="G17" s="100"/>
      <c r="M17" s="313"/>
      <c r="N17" s="309"/>
      <c r="O17" s="309"/>
      <c r="P17" s="310"/>
      <c r="Q17" s="310"/>
      <c r="R17" s="311"/>
    </row>
    <row r="18" spans="2:18" ht="15" customHeight="1">
      <c r="G18" s="100"/>
      <c r="M18" s="313"/>
      <c r="N18" s="309"/>
      <c r="O18" s="309"/>
      <c r="P18" s="310"/>
      <c r="Q18" s="310"/>
      <c r="R18" s="311"/>
    </row>
    <row r="19" spans="2:18" ht="15" customHeight="1">
      <c r="G19" s="100"/>
      <c r="M19" s="313"/>
      <c r="N19" s="309"/>
      <c r="O19" s="309"/>
      <c r="P19" s="310"/>
      <c r="Q19" s="310"/>
      <c r="R19" s="311"/>
    </row>
    <row r="20" spans="2:18" ht="15" customHeight="1">
      <c r="G20" s="100"/>
      <c r="M20" s="312"/>
      <c r="N20" s="309"/>
      <c r="O20" s="309"/>
      <c r="P20" s="310"/>
      <c r="Q20" s="310"/>
      <c r="R20" s="311"/>
    </row>
    <row r="21" spans="2:18" ht="15" customHeight="1">
      <c r="G21" s="100"/>
      <c r="M21" s="308"/>
      <c r="N21" s="309"/>
      <c r="O21" s="309"/>
      <c r="P21" s="310"/>
      <c r="Q21" s="310"/>
      <c r="R21" s="311"/>
    </row>
    <row r="22" spans="2:18" ht="15" customHeight="1">
      <c r="G22" s="100"/>
      <c r="M22" s="308"/>
      <c r="N22" s="309"/>
      <c r="O22" s="309"/>
      <c r="P22" s="310"/>
      <c r="Q22" s="310"/>
      <c r="R22" s="311"/>
    </row>
    <row r="23" spans="2:18" ht="15" customHeight="1">
      <c r="G23" s="100"/>
      <c r="M23" s="314"/>
      <c r="N23" s="309"/>
      <c r="O23" s="309"/>
      <c r="P23" s="310"/>
      <c r="Q23" s="310"/>
      <c r="R23" s="311"/>
    </row>
    <row r="24" spans="2:18" ht="15" customHeight="1">
      <c r="G24" s="100"/>
      <c r="M24" s="314"/>
      <c r="N24" s="309"/>
      <c r="O24" s="309"/>
      <c r="P24" s="310"/>
      <c r="Q24" s="310"/>
      <c r="R24" s="311"/>
    </row>
    <row r="25" spans="2:18" ht="15" customHeight="1" thickBot="1">
      <c r="B25" s="100"/>
      <c r="C25" s="100"/>
      <c r="D25" s="100"/>
      <c r="E25" s="100"/>
      <c r="F25" s="100"/>
      <c r="G25" s="100"/>
      <c r="M25" s="315"/>
      <c r="N25" s="316"/>
      <c r="O25" s="316"/>
      <c r="P25" s="317"/>
      <c r="Q25" s="317"/>
      <c r="R25" s="318"/>
    </row>
    <row r="26" spans="2:18" ht="15" customHeight="1">
      <c r="B26" s="86"/>
      <c r="C26" s="86"/>
      <c r="M26" s="705"/>
      <c r="N26" s="325"/>
      <c r="O26" s="218"/>
      <c r="P26" s="218"/>
      <c r="Q26" s="218"/>
      <c r="R26" s="218"/>
    </row>
    <row r="27" spans="2:18" ht="15" customHeight="1">
      <c r="B27" s="86"/>
      <c r="C27" s="86"/>
      <c r="M27" s="328"/>
      <c r="N27" s="327"/>
      <c r="O27" s="328"/>
      <c r="P27" s="328"/>
      <c r="Q27" s="328"/>
      <c r="R27" s="328"/>
    </row>
    <row r="28" spans="2:18" ht="15" customHeight="1">
      <c r="B28" s="86"/>
      <c r="C28" s="86"/>
      <c r="M28" s="328"/>
      <c r="N28" s="327"/>
      <c r="O28" s="328"/>
      <c r="P28" s="328"/>
      <c r="Q28" s="328"/>
      <c r="R28" s="328"/>
    </row>
    <row r="29" spans="2:18" ht="15" customHeight="1">
      <c r="B29" s="86"/>
      <c r="C29" s="86"/>
      <c r="M29" s="328"/>
      <c r="N29" s="327"/>
      <c r="O29" s="328"/>
      <c r="P29" s="328"/>
      <c r="Q29" s="328"/>
      <c r="R29" s="328"/>
    </row>
    <row r="30" spans="2:18" ht="15" customHeight="1">
      <c r="B30" s="86"/>
      <c r="C30" s="86"/>
      <c r="M30" s="328"/>
      <c r="N30" s="327"/>
      <c r="O30" s="328"/>
      <c r="P30" s="328"/>
      <c r="Q30" s="328"/>
      <c r="R30" s="328"/>
    </row>
    <row r="31" spans="2:18" ht="15" customHeight="1">
      <c r="B31" s="86"/>
      <c r="C31" s="86"/>
      <c r="M31" s="328"/>
      <c r="N31" s="327"/>
      <c r="O31" s="328"/>
      <c r="P31" s="328"/>
      <c r="Q31" s="328"/>
      <c r="R31" s="328"/>
    </row>
    <row r="32" spans="2:18" ht="15" customHeight="1">
      <c r="B32" s="86"/>
      <c r="C32" s="86"/>
      <c r="M32" s="328"/>
      <c r="N32" s="328"/>
      <c r="O32" s="328"/>
      <c r="P32" s="328"/>
      <c r="Q32" s="328"/>
      <c r="R32" s="328"/>
    </row>
    <row r="33" spans="1:6" ht="15" customHeight="1">
      <c r="B33" s="86"/>
      <c r="C33" s="86"/>
    </row>
    <row r="34" spans="1:6" ht="15" customHeight="1">
      <c r="B34" s="86"/>
      <c r="C34" s="86"/>
    </row>
    <row r="35" spans="1:6" ht="15" customHeight="1">
      <c r="B35" s="86"/>
      <c r="C35" s="86"/>
    </row>
    <row r="36" spans="1:6" ht="15" customHeight="1">
      <c r="B36" s="86"/>
      <c r="C36" s="86"/>
    </row>
    <row r="37" spans="1:6" ht="15" customHeight="1">
      <c r="B37" s="86"/>
      <c r="C37" s="86"/>
    </row>
    <row r="38" spans="1:6" ht="15" customHeight="1">
      <c r="B38" s="86"/>
      <c r="C38" s="86"/>
    </row>
    <row r="39" spans="1:6" ht="15" customHeight="1">
      <c r="B39" s="86"/>
      <c r="C39" s="86"/>
    </row>
    <row r="40" spans="1:6" ht="15" customHeight="1">
      <c r="B40" s="86"/>
      <c r="C40" s="86"/>
    </row>
    <row r="41" spans="1:6" ht="15" customHeight="1">
      <c r="B41" s="86"/>
      <c r="C41" s="86"/>
    </row>
    <row r="42" spans="1:6" ht="15" customHeight="1">
      <c r="B42" s="86"/>
      <c r="C42" s="86"/>
    </row>
    <row r="43" spans="1:6" ht="15" customHeight="1">
      <c r="B43" s="86"/>
      <c r="C43" s="86"/>
    </row>
    <row r="44" spans="1:6" ht="15" customHeight="1">
      <c r="B44" s="86"/>
      <c r="C44" s="86"/>
    </row>
    <row r="45" spans="1:6" ht="15" customHeight="1">
      <c r="B45" s="86"/>
      <c r="C45" s="86"/>
    </row>
    <row r="46" spans="1:6" ht="15" customHeight="1">
      <c r="B46" s="86"/>
      <c r="C46" s="86"/>
    </row>
    <row r="47" spans="1:6" ht="15" customHeight="1">
      <c r="A47" s="88" t="s">
        <v>2</v>
      </c>
      <c r="B47" s="89" t="str">
        <f>Fan_name</f>
        <v>XOE 166-45G REG</v>
      </c>
      <c r="C47" s="117"/>
      <c r="D47" s="132" t="s">
        <v>119</v>
      </c>
      <c r="E47" s="335">
        <f>Inlet_m</f>
        <v>0.45</v>
      </c>
      <c r="F47" s="86" t="s">
        <v>118</v>
      </c>
    </row>
    <row r="48" spans="1:6" ht="15" customHeight="1">
      <c r="A48" s="90" t="s">
        <v>98</v>
      </c>
      <c r="B48" s="91">
        <f>'Data for BOSS'!$B$8</f>
        <v>1</v>
      </c>
    </row>
    <row r="49" spans="1:21" ht="15" customHeight="1">
      <c r="E49" s="92"/>
      <c r="F49" s="92"/>
      <c r="G49" s="92"/>
      <c r="H49" s="92"/>
      <c r="P49" s="86" t="s">
        <v>780</v>
      </c>
    </row>
    <row r="50" spans="1:21" ht="15" customHeight="1">
      <c r="A50" s="86" t="s">
        <v>99</v>
      </c>
      <c r="B50" s="87" t="s">
        <v>274</v>
      </c>
      <c r="C50" s="332">
        <f>'Data for BOSS'!G22</f>
        <v>0</v>
      </c>
      <c r="D50" s="333"/>
      <c r="E50" s="86" t="s">
        <v>275</v>
      </c>
      <c r="F50" s="334">
        <f>C50*d_2/1000</f>
        <v>0</v>
      </c>
      <c r="G50" s="86" t="s">
        <v>118</v>
      </c>
      <c r="P50" s="332">
        <f>'Data for BOSS'!T22</f>
        <v>4201.0842524835207</v>
      </c>
    </row>
    <row r="51" spans="1:21" ht="15" customHeight="1">
      <c r="B51" s="87" t="s">
        <v>102</v>
      </c>
      <c r="C51" s="330">
        <f>P_OP_tot</f>
        <v>713.77587437544605</v>
      </c>
      <c r="D51" s="86" t="s">
        <v>101</v>
      </c>
      <c r="E51" s="86" t="s">
        <v>116</v>
      </c>
      <c r="F51" s="87">
        <f>$C$51-I51</f>
        <v>695.03516367298926</v>
      </c>
      <c r="G51" s="86" t="s">
        <v>101</v>
      </c>
      <c r="H51" s="86" t="s">
        <v>124</v>
      </c>
      <c r="I51" s="87">
        <f>0.5*$C$55*($C$53/(PI()*$E$47^2/4)/3600)^2/g</f>
        <v>18.740710702456806</v>
      </c>
      <c r="J51" s="86" t="s">
        <v>101</v>
      </c>
      <c r="P51" s="330">
        <f>P_OP_tot</f>
        <v>713.77587437544605</v>
      </c>
    </row>
    <row r="52" spans="1:21" ht="15" customHeight="1">
      <c r="B52" s="87" t="s">
        <v>106</v>
      </c>
      <c r="C52" s="330">
        <f>T_OP</f>
        <v>20</v>
      </c>
      <c r="D52" s="86" t="s">
        <v>21</v>
      </c>
      <c r="P52" s="330">
        <f>T_OP</f>
        <v>20</v>
      </c>
    </row>
    <row r="53" spans="1:21" ht="15" customHeight="1">
      <c r="B53" s="87" t="s">
        <v>23</v>
      </c>
      <c r="C53" s="330">
        <f>Q</f>
        <v>10000</v>
      </c>
      <c r="D53" s="86" t="s">
        <v>103</v>
      </c>
      <c r="E53" s="448"/>
      <c r="F53" s="1419" t="s">
        <v>276</v>
      </c>
      <c r="G53" s="1419"/>
      <c r="H53" s="1419" t="s">
        <v>277</v>
      </c>
      <c r="I53" s="1419"/>
      <c r="J53" s="1419" t="s">
        <v>272</v>
      </c>
      <c r="K53" s="1419"/>
      <c r="P53" s="330">
        <f>Q</f>
        <v>10000</v>
      </c>
    </row>
    <row r="54" spans="1:21" ht="15" customHeight="1">
      <c r="B54" s="87" t="s">
        <v>104</v>
      </c>
      <c r="C54" s="330">
        <f>rpm_OP</f>
        <v>1672.3774886767021</v>
      </c>
      <c r="D54" s="86" t="s">
        <v>105</v>
      </c>
      <c r="E54" s="448" t="s">
        <v>107</v>
      </c>
      <c r="F54" s="449">
        <f>MAX(O8:O25)</f>
        <v>23918.044981370025</v>
      </c>
      <c r="G54" s="449">
        <f>MAX(N8:N25)*1.2</f>
        <v>4899.981804975072</v>
      </c>
      <c r="H54" s="449">
        <f>F54</f>
        <v>23918.044981370025</v>
      </c>
      <c r="I54" s="449">
        <f>(G54+K54)/2</f>
        <v>4491.6499878938157</v>
      </c>
      <c r="J54" s="449">
        <f>F54</f>
        <v>23918.044981370025</v>
      </c>
      <c r="K54" s="449">
        <f>MAX(N8:N25)</f>
        <v>4083.3181708125603</v>
      </c>
      <c r="L54" s="92">
        <v>0</v>
      </c>
      <c r="P54" s="330">
        <f>rpm_OP</f>
        <v>1672.3774886767021</v>
      </c>
    </row>
    <row r="55" spans="1:21" ht="15" customHeight="1">
      <c r="B55" s="87" t="s">
        <v>278</v>
      </c>
      <c r="C55" s="331">
        <f>rho_med_OP</f>
        <v>1.2050000000000001</v>
      </c>
      <c r="D55" s="86" t="s">
        <v>30</v>
      </c>
      <c r="E55" s="301" t="s">
        <v>273</v>
      </c>
      <c r="F55" s="303">
        <f>C55*(273.14+$C$52)/(273.14+'Curves (Std. conditions)'!$C$53)</f>
        <v>1.2050000000000001</v>
      </c>
      <c r="G55" s="302" t="s">
        <v>30</v>
      </c>
      <c r="P55" s="331">
        <f>rho_med_OP</f>
        <v>1.2050000000000001</v>
      </c>
    </row>
    <row r="56" spans="1:21" ht="15" customHeight="1">
      <c r="C56" s="96"/>
    </row>
    <row r="57" spans="1:21" ht="15" customHeight="1">
      <c r="C57" s="97"/>
    </row>
    <row r="58" spans="1:21" ht="15" customHeight="1">
      <c r="B58" s="86"/>
      <c r="C58" s="86"/>
    </row>
    <row r="59" spans="1:21" s="328" customFormat="1" ht="15" customHeight="1"/>
    <row r="60" spans="1:21" s="328" customFormat="1" ht="15" customHeight="1">
      <c r="A60" s="1418"/>
      <c r="B60" s="1418"/>
      <c r="C60" s="567"/>
      <c r="D60" s="567"/>
      <c r="E60" s="463"/>
      <c r="F60" s="484"/>
      <c r="G60" s="463"/>
      <c r="H60" s="463"/>
      <c r="I60" s="463"/>
    </row>
    <row r="61" spans="1:21" s="328" customFormat="1" ht="15" customHeight="1">
      <c r="A61" s="568"/>
      <c r="B61" s="569"/>
      <c r="C61" s="569"/>
      <c r="D61" s="569"/>
      <c r="E61" s="569"/>
      <c r="F61" s="569"/>
      <c r="G61" s="570"/>
      <c r="H61" s="569"/>
      <c r="I61" s="569"/>
      <c r="J61" s="569"/>
      <c r="K61" s="571"/>
      <c r="M61" s="497"/>
      <c r="N61" s="498"/>
      <c r="O61" s="498"/>
      <c r="P61" s="498"/>
      <c r="Q61" s="499"/>
      <c r="R61" s="498"/>
      <c r="S61" s="498"/>
      <c r="T61" s="498"/>
    </row>
    <row r="62" spans="1:21" s="328" customFormat="1" ht="15" customHeight="1">
      <c r="A62" s="572"/>
      <c r="B62" s="463"/>
      <c r="C62" s="463"/>
      <c r="D62" s="463"/>
      <c r="E62" s="463"/>
      <c r="F62" s="463"/>
      <c r="G62" s="463"/>
      <c r="H62" s="463"/>
      <c r="I62" s="463"/>
      <c r="J62" s="463"/>
      <c r="K62" s="463"/>
    </row>
    <row r="63" spans="1:21" s="328" customFormat="1" ht="15" customHeight="1">
      <c r="A63" s="572"/>
      <c r="B63" s="463"/>
      <c r="C63" s="463"/>
      <c r="D63" s="463"/>
      <c r="E63" s="463"/>
      <c r="F63" s="463"/>
      <c r="G63" s="463"/>
      <c r="H63" s="463"/>
      <c r="I63" s="463"/>
      <c r="J63" s="463"/>
      <c r="K63" s="463"/>
      <c r="M63" s="500"/>
      <c r="N63" s="501"/>
      <c r="O63" s="501"/>
      <c r="P63" s="501"/>
      <c r="Q63" s="501"/>
      <c r="R63" s="501"/>
      <c r="S63" s="501"/>
      <c r="T63" s="501"/>
      <c r="U63" s="502"/>
    </row>
    <row r="64" spans="1:21" s="328" customFormat="1" ht="15" customHeight="1">
      <c r="A64" s="573"/>
      <c r="B64" s="463"/>
      <c r="C64" s="574"/>
      <c r="D64" s="574"/>
      <c r="E64" s="574"/>
      <c r="F64" s="574"/>
      <c r="G64" s="574"/>
      <c r="H64" s="574"/>
      <c r="I64" s="574"/>
      <c r="J64" s="574"/>
      <c r="K64" s="574"/>
    </row>
    <row r="65" spans="1:20" s="328" customFormat="1" ht="15" customHeight="1">
      <c r="A65" s="572"/>
      <c r="B65" s="484"/>
      <c r="C65" s="463"/>
      <c r="D65" s="463"/>
      <c r="E65" s="463"/>
      <c r="F65" s="463"/>
      <c r="G65" s="463"/>
      <c r="H65" s="463"/>
      <c r="I65" s="463"/>
      <c r="J65" s="463"/>
      <c r="K65" s="574"/>
      <c r="M65" s="501"/>
      <c r="N65" s="501"/>
      <c r="O65" s="501"/>
      <c r="P65" s="501"/>
      <c r="Q65" s="501"/>
      <c r="R65" s="501"/>
      <c r="S65" s="501"/>
      <c r="T65" s="501"/>
    </row>
    <row r="66" spans="1:20" s="328" customFormat="1" ht="15" customHeight="1">
      <c r="A66" s="573"/>
      <c r="B66" s="463"/>
      <c r="C66" s="574"/>
      <c r="D66" s="574"/>
      <c r="E66" s="574"/>
      <c r="F66" s="574"/>
      <c r="G66" s="574"/>
      <c r="H66" s="574"/>
      <c r="I66" s="574"/>
      <c r="J66" s="574"/>
      <c r="K66" s="574"/>
    </row>
    <row r="67" spans="1:20" s="328" customFormat="1" ht="15" customHeight="1"/>
    <row r="68" spans="1:20" s="328" customFormat="1" ht="15" customHeight="1"/>
    <row r="69" spans="1:20" s="328" customFormat="1" ht="15" customHeight="1"/>
    <row r="70" spans="1:20" s="328" customFormat="1" ht="15" customHeight="1"/>
    <row r="71" spans="1:20" s="328" customFormat="1" ht="15" customHeight="1">
      <c r="A71" s="145" t="str">
        <f>'Fan Selection'!A80&amp;" - CURVES"</f>
        <v>FS File 6666, , , GT 78-33, Steel, Steel -  - CURVES</v>
      </c>
      <c r="B71" s="575"/>
      <c r="C71" s="575"/>
      <c r="D71" s="575"/>
      <c r="E71" s="575"/>
      <c r="F71" s="575"/>
      <c r="G71" s="575"/>
      <c r="H71" s="575"/>
      <c r="I71" s="575"/>
      <c r="J71" s="575"/>
      <c r="K71" s="576"/>
      <c r="L71" s="577"/>
    </row>
    <row r="72" spans="1:20" s="328" customFormat="1" ht="15" customHeight="1"/>
    <row r="73" spans="1:20" s="328" customFormat="1" ht="15" customHeight="1"/>
    <row r="74" spans="1:20" s="328" customFormat="1" ht="15" customHeight="1">
      <c r="A74" s="463"/>
      <c r="B74" s="463"/>
      <c r="C74" s="463"/>
      <c r="D74" s="463"/>
      <c r="E74" s="463"/>
      <c r="F74" s="463"/>
      <c r="G74" s="463"/>
      <c r="H74" s="463"/>
      <c r="I74" s="484"/>
      <c r="J74" s="463"/>
    </row>
    <row r="75" spans="1:20" s="328" customFormat="1" ht="15" customHeight="1">
      <c r="A75" s="463"/>
      <c r="B75" s="463"/>
      <c r="C75" s="463"/>
      <c r="D75" s="463"/>
      <c r="E75" s="463"/>
      <c r="F75" s="463"/>
      <c r="G75" s="463"/>
      <c r="H75" s="463"/>
      <c r="I75" s="463"/>
      <c r="J75" s="463"/>
      <c r="K75" s="134"/>
      <c r="L75" s="134"/>
      <c r="M75" s="134"/>
      <c r="N75" s="134"/>
    </row>
    <row r="76" spans="1:20" s="328" customFormat="1" ht="15" customHeight="1">
      <c r="A76" s="463"/>
      <c r="B76" s="463"/>
      <c r="C76" s="463"/>
      <c r="D76" s="463"/>
      <c r="E76" s="463"/>
      <c r="F76" s="463"/>
      <c r="G76" s="463"/>
      <c r="H76" s="463"/>
      <c r="I76" s="463"/>
      <c r="J76" s="463"/>
      <c r="K76" s="134"/>
    </row>
    <row r="77" spans="1:20" s="328" customFormat="1" ht="15" customHeight="1">
      <c r="A77" s="463"/>
      <c r="B77" s="463"/>
      <c r="C77" s="463"/>
      <c r="D77" s="484"/>
      <c r="E77" s="484"/>
      <c r="F77" s="484"/>
      <c r="G77" s="484"/>
      <c r="H77" s="484"/>
      <c r="I77" s="484"/>
      <c r="J77" s="484"/>
    </row>
    <row r="78" spans="1:20" s="328" customFormat="1" ht="15" customHeight="1">
      <c r="A78" s="463"/>
      <c r="B78" s="463"/>
      <c r="C78" s="463"/>
      <c r="D78" s="484"/>
      <c r="E78" s="484"/>
      <c r="F78" s="484"/>
      <c r="G78" s="484"/>
      <c r="H78" s="484"/>
      <c r="I78" s="484"/>
      <c r="J78" s="484"/>
    </row>
    <row r="79" spans="1:20" s="328" customFormat="1" ht="15" customHeight="1"/>
    <row r="80" spans="1:20" s="328" customFormat="1" ht="15" customHeight="1">
      <c r="A80" s="500"/>
      <c r="B80" s="327"/>
      <c r="C80" s="327"/>
      <c r="D80" s="501"/>
      <c r="E80" s="501"/>
      <c r="F80" s="501"/>
      <c r="G80" s="501"/>
      <c r="H80" s="501"/>
      <c r="I80" s="501"/>
      <c r="J80" s="501"/>
    </row>
    <row r="81" spans="1:10" s="328" customFormat="1" ht="15" customHeight="1">
      <c r="A81" s="500"/>
      <c r="B81" s="327"/>
      <c r="C81" s="327"/>
      <c r="D81" s="501"/>
      <c r="E81" s="501"/>
      <c r="F81" s="501"/>
      <c r="G81" s="501"/>
      <c r="H81" s="501"/>
      <c r="I81" s="501"/>
      <c r="J81" s="501"/>
    </row>
    <row r="82" spans="1:10" s="328" customFormat="1" ht="15" customHeight="1">
      <c r="A82" s="463"/>
      <c r="B82" s="463"/>
      <c r="C82" s="463"/>
      <c r="D82" s="463"/>
      <c r="E82" s="463"/>
      <c r="F82" s="463"/>
      <c r="G82" s="463"/>
      <c r="H82" s="463"/>
      <c r="I82" s="463"/>
      <c r="J82" s="463"/>
    </row>
    <row r="83" spans="1:10" s="328" customFormat="1" ht="15" customHeight="1">
      <c r="A83" s="463"/>
      <c r="B83" s="463"/>
      <c r="C83" s="463"/>
      <c r="D83" s="463"/>
      <c r="E83" s="463"/>
      <c r="F83" s="463"/>
      <c r="G83" s="463"/>
      <c r="H83" s="463"/>
      <c r="I83" s="463"/>
      <c r="J83" s="463"/>
    </row>
    <row r="84" spans="1:10" s="328" customFormat="1" ht="15" customHeight="1">
      <c r="A84" s="463"/>
      <c r="B84" s="463"/>
      <c r="C84" s="463"/>
      <c r="D84" s="463"/>
      <c r="E84" s="463"/>
      <c r="F84" s="463"/>
      <c r="G84" s="463"/>
      <c r="H84" s="463"/>
      <c r="I84" s="463"/>
      <c r="J84" s="463"/>
    </row>
    <row r="85" spans="1:10" s="328" customFormat="1" ht="15" customHeight="1"/>
    <row r="86" spans="1:10" s="328" customFormat="1" ht="15" customHeight="1"/>
    <row r="87" spans="1:10" s="328" customFormat="1" ht="15" customHeight="1"/>
    <row r="88" spans="1:10" s="328" customFormat="1" ht="15" customHeight="1"/>
    <row r="89" spans="1:10" s="328" customFormat="1" ht="15" customHeight="1"/>
    <row r="90" spans="1:10" s="328" customFormat="1" ht="15" customHeight="1"/>
    <row r="91" spans="1:10" s="328" customFormat="1" ht="15" customHeight="1"/>
    <row r="92" spans="1:10" s="328" customFormat="1" ht="15" customHeight="1"/>
    <row r="93" spans="1:10" s="328" customFormat="1" ht="15" customHeight="1"/>
    <row r="94" spans="1:10" s="328" customFormat="1" ht="15" customHeight="1"/>
    <row r="95" spans="1:10" ht="15" customHeight="1">
      <c r="B95" s="86"/>
      <c r="C95" s="86"/>
    </row>
    <row r="96" spans="1:10" ht="15" customHeight="1">
      <c r="B96" s="86"/>
      <c r="C96" s="86"/>
    </row>
    <row r="97" spans="2:3" ht="15" customHeight="1">
      <c r="B97" s="86"/>
      <c r="C97" s="86"/>
    </row>
    <row r="98" spans="2:3" ht="15" customHeight="1">
      <c r="B98" s="86"/>
      <c r="C98" s="86"/>
    </row>
    <row r="99" spans="2:3" ht="15" customHeight="1">
      <c r="B99" s="86"/>
      <c r="C99" s="86"/>
    </row>
    <row r="100" spans="2:3" ht="15" customHeight="1">
      <c r="B100" s="86"/>
      <c r="C100" s="86"/>
    </row>
    <row r="101" spans="2:3" ht="15" customHeight="1">
      <c r="B101" s="86"/>
      <c r="C101" s="86"/>
    </row>
    <row r="102" spans="2:3" ht="15" customHeight="1">
      <c r="B102" s="86"/>
      <c r="C102" s="86"/>
    </row>
    <row r="103" spans="2:3" ht="15" customHeight="1">
      <c r="B103" s="86"/>
      <c r="C103" s="86"/>
    </row>
    <row r="104" spans="2:3" ht="15" customHeight="1">
      <c r="B104" s="86"/>
      <c r="C104" s="86"/>
    </row>
    <row r="105" spans="2:3" ht="15" customHeight="1">
      <c r="B105" s="86"/>
      <c r="C105" s="86"/>
    </row>
    <row r="106" spans="2:3" ht="15" customHeight="1">
      <c r="B106" s="86"/>
      <c r="C106" s="86"/>
    </row>
    <row r="107" spans="2:3" ht="15" customHeight="1">
      <c r="B107" s="86"/>
      <c r="C107" s="86"/>
    </row>
    <row r="108" spans="2:3" ht="15" customHeight="1">
      <c r="B108" s="86"/>
      <c r="C108" s="86"/>
    </row>
    <row r="109" spans="2:3" ht="15" customHeight="1">
      <c r="B109" s="86"/>
      <c r="C109" s="86"/>
    </row>
    <row r="110" spans="2:3" ht="15" customHeight="1">
      <c r="B110" s="86"/>
      <c r="C110" s="86"/>
    </row>
    <row r="111" spans="2:3" ht="15" customHeight="1">
      <c r="B111" s="86"/>
      <c r="C111" s="86"/>
    </row>
    <row r="112" spans="2:3" ht="15" customHeight="1">
      <c r="B112" s="86"/>
      <c r="C112" s="86"/>
    </row>
    <row r="113" spans="2:3" ht="15" customHeight="1">
      <c r="B113" s="86"/>
      <c r="C113" s="86"/>
    </row>
    <row r="114" spans="2:3" ht="15" customHeight="1">
      <c r="B114" s="86"/>
      <c r="C114" s="86"/>
    </row>
    <row r="115" spans="2:3" ht="15" customHeight="1">
      <c r="B115" s="86"/>
      <c r="C115" s="86"/>
    </row>
    <row r="116" spans="2:3" ht="15" customHeight="1">
      <c r="B116" s="86"/>
      <c r="C116" s="86"/>
    </row>
    <row r="117" spans="2:3" ht="15" customHeight="1">
      <c r="B117" s="86"/>
      <c r="C117" s="86"/>
    </row>
    <row r="118" spans="2:3" ht="15" customHeight="1">
      <c r="B118" s="86"/>
      <c r="C118" s="86"/>
    </row>
    <row r="119" spans="2:3" ht="15" customHeight="1">
      <c r="B119" s="86"/>
      <c r="C119" s="86"/>
    </row>
    <row r="120" spans="2:3" ht="15" customHeight="1">
      <c r="B120" s="86"/>
      <c r="C120" s="86"/>
    </row>
    <row r="121" spans="2:3" ht="15" customHeight="1">
      <c r="B121" s="86"/>
      <c r="C121" s="86"/>
    </row>
    <row r="122" spans="2:3" ht="15" customHeight="1">
      <c r="B122" s="86"/>
      <c r="C122" s="86"/>
    </row>
    <row r="123" spans="2:3" ht="15" customHeight="1">
      <c r="B123" s="86"/>
      <c r="C123" s="86"/>
    </row>
    <row r="124" spans="2:3" ht="15" customHeight="1">
      <c r="B124" s="86"/>
      <c r="C124" s="86"/>
    </row>
    <row r="125" spans="2:3" ht="15" customHeight="1">
      <c r="B125" s="86"/>
      <c r="C125" s="86"/>
    </row>
    <row r="126" spans="2:3" ht="15" customHeight="1">
      <c r="B126" s="86"/>
      <c r="C126" s="86"/>
    </row>
    <row r="127" spans="2:3" ht="15" customHeight="1">
      <c r="B127" s="86"/>
      <c r="C127" s="86"/>
    </row>
    <row r="128" spans="2:3" ht="15" customHeight="1">
      <c r="B128" s="86"/>
      <c r="C128" s="86"/>
    </row>
    <row r="129" spans="2:3" ht="15" customHeight="1">
      <c r="B129" s="86"/>
      <c r="C129" s="86"/>
    </row>
    <row r="130" spans="2:3" ht="15" customHeight="1">
      <c r="B130" s="86"/>
      <c r="C130" s="86"/>
    </row>
    <row r="131" spans="2:3" ht="15" customHeight="1">
      <c r="B131" s="86"/>
      <c r="C131" s="86"/>
    </row>
    <row r="132" spans="2:3" ht="15" customHeight="1">
      <c r="B132" s="86"/>
      <c r="C132" s="86"/>
    </row>
  </sheetData>
  <mergeCells count="8">
    <mergeCell ref="A60:B60"/>
    <mergeCell ref="F53:G53"/>
    <mergeCell ref="H53:I53"/>
    <mergeCell ref="J53:K53"/>
    <mergeCell ref="A1:B1"/>
    <mergeCell ref="C1:L1"/>
    <mergeCell ref="A2:B2"/>
    <mergeCell ref="C2:K2"/>
  </mergeCells>
  <phoneticPr fontId="77" type="noConversion"/>
  <pageMargins left="0.51181102362204722" right="0.35433070866141736" top="0.98425196850393704" bottom="0.98425196850393704" header="0.51181102362204722" footer="0.51181102362204722"/>
  <pageSetup paperSize="9" scale="41" orientation="landscape" r:id="rId1"/>
  <headerFooter alignWithMargins="0">
    <oddHeader>&amp;L&amp;G&amp;R&amp;D</oddHeader>
    <oddFooter>&amp;LCONFIDENTIAL&amp;C&amp;F / &amp;A&amp;RPage &amp;P / &amp;N</oddFooter>
  </headerFooter>
  <drawing r:id="rId2"/>
  <legacyDrawing r:id="rId3"/>
  <legacyDrawingHF r:id="rId4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V119"/>
  <sheetViews>
    <sheetView zoomScale="50" zoomScaleNormal="50" workbookViewId="0">
      <selection sqref="A1:B1"/>
    </sheetView>
  </sheetViews>
  <sheetFormatPr defaultColWidth="14.5703125" defaultRowHeight="15" customHeight="1"/>
  <cols>
    <col min="1" max="1" width="17.5703125" style="86" customWidth="1"/>
    <col min="2" max="3" width="14.5703125" style="87"/>
    <col min="4" max="16384" width="14.5703125" style="86"/>
  </cols>
  <sheetData>
    <row r="1" spans="1:20" ht="33" customHeight="1" thickBot="1">
      <c r="A1" s="1420" t="s">
        <v>565</v>
      </c>
      <c r="B1" s="1421"/>
      <c r="C1" s="1411">
        <f>'Fan Selection'!B1</f>
        <v>6666</v>
      </c>
      <c r="D1" s="1412"/>
      <c r="E1" s="1412"/>
      <c r="F1" s="1412"/>
      <c r="G1" s="1412"/>
      <c r="H1" s="1412"/>
      <c r="I1" s="1412"/>
      <c r="J1" s="1412"/>
      <c r="K1" s="1412"/>
      <c r="L1" s="1413"/>
      <c r="M1" s="84"/>
      <c r="N1" s="84"/>
      <c r="O1" s="84"/>
      <c r="P1" s="84"/>
      <c r="Q1" s="85"/>
    </row>
    <row r="2" spans="1:20" ht="33" customHeight="1" thickBot="1">
      <c r="A2" s="1420" t="s">
        <v>564</v>
      </c>
      <c r="B2" s="1421"/>
      <c r="C2" s="1411">
        <f>'Fan Selection'!B2</f>
        <v>0</v>
      </c>
      <c r="D2" s="1412"/>
      <c r="E2" s="1412"/>
      <c r="F2" s="1412"/>
      <c r="G2" s="1412"/>
      <c r="H2" s="1412"/>
      <c r="I2" s="1412"/>
      <c r="J2" s="1412"/>
      <c r="K2" s="1414"/>
      <c r="L2" s="598">
        <f>'Fan Selection'!P2</f>
        <v>0</v>
      </c>
      <c r="M2" s="84"/>
      <c r="N2" s="84"/>
      <c r="O2" s="84"/>
      <c r="P2" s="84"/>
      <c r="Q2" s="85"/>
    </row>
    <row r="3" spans="1:20" ht="15" customHeight="1">
      <c r="K3" s="85"/>
      <c r="L3" s="85"/>
      <c r="M3" s="85"/>
      <c r="N3" s="85"/>
      <c r="O3" s="85"/>
      <c r="P3" s="85"/>
      <c r="Q3" s="85"/>
    </row>
    <row r="4" spans="1:20" ht="15" customHeight="1">
      <c r="C4" s="97"/>
      <c r="K4" s="88"/>
      <c r="L4" s="112"/>
      <c r="M4" s="112"/>
      <c r="N4" s="88"/>
      <c r="O4" s="88"/>
      <c r="P4" s="88"/>
      <c r="R4" s="110"/>
      <c r="S4" s="110"/>
    </row>
    <row r="5" spans="1:20" ht="15" customHeight="1">
      <c r="C5" s="97"/>
      <c r="K5" s="88"/>
      <c r="L5" s="112"/>
      <c r="M5" s="112"/>
      <c r="N5" s="88"/>
      <c r="O5" s="88"/>
      <c r="P5" s="88"/>
      <c r="R5" s="110"/>
      <c r="S5" s="110"/>
    </row>
    <row r="6" spans="1:20" ht="15" customHeight="1" thickBot="1">
      <c r="C6" s="97"/>
    </row>
    <row r="7" spans="1:20" ht="15" customHeight="1" thickBot="1">
      <c r="G7" s="100"/>
      <c r="M7" s="319" t="s">
        <v>0</v>
      </c>
      <c r="N7" s="320" t="s">
        <v>5</v>
      </c>
      <c r="O7" s="320" t="s">
        <v>6</v>
      </c>
      <c r="P7" s="321" t="s">
        <v>166</v>
      </c>
      <c r="Q7" s="322" t="s">
        <v>4</v>
      </c>
      <c r="R7" s="323" t="s">
        <v>111</v>
      </c>
      <c r="S7" s="324"/>
      <c r="T7" s="706" t="s">
        <v>781</v>
      </c>
    </row>
    <row r="8" spans="1:20" ht="15" customHeight="1">
      <c r="G8" s="100"/>
      <c r="M8" s="304">
        <f>C54</f>
        <v>1672.3774886767021</v>
      </c>
      <c r="N8" s="305">
        <f>'Curves (Ops. conditions)'!N8*($M$8/rpm_OP)^2*$C$55/rho_med_OP*$C$50^2</f>
        <v>714.19385389401737</v>
      </c>
      <c r="O8" s="305">
        <f>'Curves (Ops. conditions)'!O8*($M$8/rpm_OP)*$C$50^3</f>
        <v>4774.2507882755517</v>
      </c>
      <c r="P8" s="306">
        <f t="shared" ref="P8:P27" si="0">Q8/(R8*$B$48)</f>
        <v>14.274563137553161</v>
      </c>
      <c r="Q8" s="306">
        <f>N8*$T$51*O8/3600000</f>
        <v>9.2887016025981115</v>
      </c>
      <c r="R8" s="307">
        <f>'Curves (Ops. conditions)'!R8</f>
        <v>0.65071704913768114</v>
      </c>
      <c r="T8" s="703">
        <f t="shared" ref="T8:T17" si="1">0.5*$C$55*(O8/(PI()/4*Inlet_m^2)/3600)^2/$T$51</f>
        <v>4.271658382199611</v>
      </c>
    </row>
    <row r="9" spans="1:20" ht="15" customHeight="1">
      <c r="G9" s="100"/>
      <c r="M9" s="308"/>
      <c r="N9" s="309">
        <f>'Curves (Ops. conditions)'!N9*($M$8/rpm_OP)^2*$C$55/rho_med_OP*$C$50^2</f>
        <v>734.36172744888722</v>
      </c>
      <c r="O9" s="309">
        <f>'Curves (Ops. conditions)'!O9*($M$8/rpm_OP)*$C$50^3</f>
        <v>8230.0242143358737</v>
      </c>
      <c r="P9" s="310">
        <f t="shared" si="0"/>
        <v>19.032750850070883</v>
      </c>
      <c r="Q9" s="310">
        <f t="shared" ref="Q9:Q17" si="2">N9*$T$51*O9/3600000</f>
        <v>16.464358814903989</v>
      </c>
      <c r="R9" s="311">
        <f>'Curves (Ops. conditions)'!R9</f>
        <v>0.86505408201897793</v>
      </c>
      <c r="S9" s="326"/>
      <c r="T9" s="703">
        <f t="shared" si="1"/>
        <v>12.693701533964179</v>
      </c>
    </row>
    <row r="10" spans="1:20" ht="15" customHeight="1">
      <c r="G10" s="100"/>
      <c r="M10" s="308"/>
      <c r="N10" s="309">
        <f>'Curves (Ops. conditions)'!N10*($M$8/rpm_OP)^2*$C$55/rho_med_OP*$C$50^2</f>
        <v>639.64653738523714</v>
      </c>
      <c r="O10" s="309">
        <f>'Curves (Ops. conditions)'!O10*($M$8/rpm_OP)*$C$50^3</f>
        <v>11837.731690067933</v>
      </c>
      <c r="P10" s="310">
        <f t="shared" si="0"/>
        <v>24.232285134372773</v>
      </c>
      <c r="Q10" s="310">
        <f t="shared" si="2"/>
        <v>20.627292164407578</v>
      </c>
      <c r="R10" s="311">
        <f>'Curves (Ops. conditions)'!R10</f>
        <v>0.85123181945182624</v>
      </c>
      <c r="S10" s="326"/>
      <c r="T10" s="703">
        <f t="shared" si="1"/>
        <v>26.261712400271765</v>
      </c>
    </row>
    <row r="11" spans="1:20" ht="15" customHeight="1">
      <c r="G11" s="100"/>
      <c r="M11" s="308"/>
      <c r="N11" s="309">
        <f>'Curves (Ops. conditions)'!N11*($M$8/rpm_OP)^2*$C$55/rho_med_OP*$C$50^2</f>
        <v>508.25571196025805</v>
      </c>
      <c r="O11" s="309">
        <f>'Curves (Ops. conditions)'!O11*($M$8/rpm_OP)*$C$50^3</f>
        <v>14176.890069302517</v>
      </c>
      <c r="P11" s="310">
        <f t="shared" si="0"/>
        <v>27.282769632308192</v>
      </c>
      <c r="Q11" s="310">
        <f t="shared" si="2"/>
        <v>19.628943022759554</v>
      </c>
      <c r="R11" s="311">
        <f>'Curves (Ops. conditions)'!R11</f>
        <v>0.71946299027922023</v>
      </c>
      <c r="S11" s="326"/>
      <c r="T11" s="703">
        <f t="shared" si="1"/>
        <v>37.665869735483099</v>
      </c>
    </row>
    <row r="12" spans="1:20" ht="15" customHeight="1">
      <c r="G12" s="100"/>
      <c r="M12" s="308"/>
      <c r="N12" s="309">
        <f>'Curves (Ops. conditions)'!N12*($M$8/rpm_OP)^2*$C$55/rho_med_OP*$C$50^2</f>
        <v>360.33184869094299</v>
      </c>
      <c r="O12" s="309">
        <f>'Curves (Ops. conditions)'!O12*($M$8/rpm_OP)*$C$50^3</f>
        <v>15938.460009162362</v>
      </c>
      <c r="P12" s="310">
        <f t="shared" si="0"/>
        <v>27.106751763712655</v>
      </c>
      <c r="Q12" s="310">
        <f t="shared" si="2"/>
        <v>15.64525627642402</v>
      </c>
      <c r="R12" s="311">
        <f>'Curves (Ops. conditions)'!R12</f>
        <v>0.57717193165756053</v>
      </c>
      <c r="S12" s="326"/>
      <c r="T12" s="703">
        <f t="shared" si="1"/>
        <v>47.607872128177043</v>
      </c>
    </row>
    <row r="13" spans="1:20" ht="15" customHeight="1">
      <c r="G13" s="100"/>
      <c r="M13" s="308"/>
      <c r="N13" s="309">
        <f>'Curves (Ops. conditions)'!N13*($M$8/rpm_OP)^2*$C$55/rho_med_OP*$C$50^2</f>
        <v>230.2411958350778</v>
      </c>
      <c r="O13" s="309">
        <f>'Curves (Ops. conditions)'!O13*($M$8/rpm_OP)*$C$50^3</f>
        <v>17131.909385187471</v>
      </c>
      <c r="P13" s="310">
        <f t="shared" si="0"/>
        <v>25.874626683543898</v>
      </c>
      <c r="Q13" s="310">
        <f t="shared" si="2"/>
        <v>10.745397243390915</v>
      </c>
      <c r="R13" s="311">
        <f>'Curves (Ops. conditions)'!R13</f>
        <v>0.41528704451704884</v>
      </c>
      <c r="S13" s="326"/>
      <c r="T13" s="703">
        <f t="shared" si="1"/>
        <v>55.004420542951479</v>
      </c>
    </row>
    <row r="14" spans="1:20" ht="15" customHeight="1">
      <c r="G14" s="100"/>
      <c r="M14" s="308"/>
      <c r="N14" s="309">
        <f>'Curves (Ops. conditions)'!N14*($M$8/rpm_OP)^2*$C$55/rho_med_OP*$C$50^2</f>
        <v>154.69124433984632</v>
      </c>
      <c r="O14" s="309">
        <f>'Curves (Ops. conditions)'!O14*($M$8/rpm_OP)*$C$50^3</f>
        <v>17775.426409843509</v>
      </c>
      <c r="P14" s="310">
        <f t="shared" si="0"/>
        <v>25.843614349630329</v>
      </c>
      <c r="Q14" s="310">
        <f t="shared" si="2"/>
        <v>7.4906487927524044</v>
      </c>
      <c r="R14" s="311">
        <f>'Curves (Ops. conditions)'!R14</f>
        <v>0.28984524731772093</v>
      </c>
      <c r="S14" s="326"/>
      <c r="T14" s="703">
        <f t="shared" si="1"/>
        <v>59.214233507890143</v>
      </c>
    </row>
    <row r="15" spans="1:20" ht="15" customHeight="1">
      <c r="G15" s="100"/>
      <c r="M15" s="308"/>
      <c r="N15" s="309">
        <f>'Curves (Ops. conditions)'!N15*($M$8/rpm_OP)^2*$C$55/rho_med_OP*$C$50^2</f>
        <v>154.69124433984632</v>
      </c>
      <c r="O15" s="309">
        <f>'Curves (Ops. conditions)'!O15*($M$8/rpm_OP)*$C$50^3</f>
        <v>17775.426409843509</v>
      </c>
      <c r="P15" s="310">
        <f t="shared" si="0"/>
        <v>25.336876813363066</v>
      </c>
      <c r="Q15" s="310">
        <f t="shared" si="2"/>
        <v>7.4906487927524044</v>
      </c>
      <c r="R15" s="311">
        <f>'Curves (Ops. conditions)'!R15</f>
        <v>0.29564215226407536</v>
      </c>
      <c r="S15" s="326"/>
      <c r="T15" s="703">
        <f t="shared" si="1"/>
        <v>59.214233507890143</v>
      </c>
    </row>
    <row r="16" spans="1:20" ht="15" customHeight="1">
      <c r="G16" s="100"/>
      <c r="M16" s="308"/>
      <c r="N16" s="309">
        <f>'Curves (Ops. conditions)'!N16*($M$8/rpm_OP)^2*$C$55/rho_med_OP*$C$50^2</f>
        <v>154.69124433984632</v>
      </c>
      <c r="O16" s="309">
        <f>'Curves (Ops. conditions)'!O16*($M$8/rpm_OP)*$C$50^3</f>
        <v>17775.426409843509</v>
      </c>
      <c r="P16" s="310">
        <f t="shared" si="0"/>
        <v>25.336876813363066</v>
      </c>
      <c r="Q16" s="310">
        <f t="shared" si="2"/>
        <v>7.4906487927524044</v>
      </c>
      <c r="R16" s="311">
        <f>'Curves (Ops. conditions)'!R16</f>
        <v>0.29564215226407536</v>
      </c>
      <c r="S16" s="326"/>
      <c r="T16" s="703">
        <f t="shared" si="1"/>
        <v>59.214233507890143</v>
      </c>
    </row>
    <row r="17" spans="2:20" ht="15" customHeight="1" thickBot="1">
      <c r="G17" s="100"/>
      <c r="M17" s="308"/>
      <c r="N17" s="309">
        <f>'Curves (Ops. conditions)'!N17*($M$8/rpm_OP)^2*$C$55/rho_med_OP*$C$50^2</f>
        <v>154.69124433984632</v>
      </c>
      <c r="O17" s="309">
        <f>'Curves (Ops. conditions)'!O17*($M$8/rpm_OP)*$C$50^3</f>
        <v>17775.426409843509</v>
      </c>
      <c r="P17" s="310">
        <f t="shared" si="0"/>
        <v>25.336876813363066</v>
      </c>
      <c r="Q17" s="310">
        <f t="shared" si="2"/>
        <v>7.4906487927524044</v>
      </c>
      <c r="R17" s="311">
        <f>'Curves (Ops. conditions)'!R17</f>
        <v>0.29564215226407536</v>
      </c>
      <c r="S17" s="329"/>
      <c r="T17" s="704">
        <f t="shared" si="1"/>
        <v>59.214233507890143</v>
      </c>
    </row>
    <row r="18" spans="2:20" ht="15" customHeight="1">
      <c r="G18" s="100"/>
      <c r="M18" s="312">
        <f>'Curves (Ops. conditions)'!M18</f>
        <v>4000</v>
      </c>
      <c r="N18" s="309">
        <f>N8*(M$18/M$8)^2</f>
        <v>4085.7093182644171</v>
      </c>
      <c r="O18" s="309">
        <f>O8*(M$18/M$8)</f>
        <v>11419.074510631594</v>
      </c>
      <c r="P18" s="310">
        <f t="shared" si="0"/>
        <v>195.31691712408863</v>
      </c>
      <c r="Q18" s="310">
        <f>N18*$T$51*O18/3600000</f>
        <v>127.09604795765598</v>
      </c>
      <c r="R18" s="311">
        <f>R8</f>
        <v>0.65071704913768114</v>
      </c>
    </row>
    <row r="19" spans="2:20" ht="15" customHeight="1">
      <c r="G19" s="100"/>
      <c r="M19" s="313"/>
      <c r="N19" s="309">
        <f t="shared" ref="N19:N27" si="3">N9*(M$18/M$8)^2</f>
        <v>4201.0842524835207</v>
      </c>
      <c r="O19" s="309">
        <f t="shared" ref="O19:O27" si="4">O9*(M$18/M$8)</f>
        <v>19684.60893562499</v>
      </c>
      <c r="P19" s="310">
        <f t="shared" si="0"/>
        <v>260.42255616545157</v>
      </c>
      <c r="Q19" s="310">
        <f t="shared" ref="Q19:Q27" si="5">N19*$T$51*O19/3600000</f>
        <v>225.27959526074045</v>
      </c>
      <c r="R19" s="311">
        <f t="shared" ref="R19:R27" si="6">R9</f>
        <v>0.86505408201897793</v>
      </c>
    </row>
    <row r="20" spans="2:20" ht="15" customHeight="1">
      <c r="C20" s="87">
        <v>1</v>
      </c>
      <c r="G20" s="100"/>
      <c r="M20" s="313"/>
      <c r="N20" s="309">
        <f t="shared" si="3"/>
        <v>3659.2443409324669</v>
      </c>
      <c r="O20" s="309">
        <f t="shared" si="4"/>
        <v>28313.53990404342</v>
      </c>
      <c r="P20" s="310">
        <f t="shared" si="0"/>
        <v>331.56708066716112</v>
      </c>
      <c r="Q20" s="310">
        <f t="shared" si="5"/>
        <v>282.240449346638</v>
      </c>
      <c r="R20" s="311">
        <f t="shared" si="6"/>
        <v>0.85123181945182624</v>
      </c>
    </row>
    <row r="21" spans="2:20" ht="15" customHeight="1">
      <c r="G21" s="100"/>
      <c r="M21" s="313"/>
      <c r="N21" s="309">
        <f t="shared" si="3"/>
        <v>2907.5930674773017</v>
      </c>
      <c r="O21" s="309">
        <f t="shared" si="4"/>
        <v>33908.349437351557</v>
      </c>
      <c r="P21" s="310">
        <f t="shared" si="0"/>
        <v>373.30644754866825</v>
      </c>
      <c r="Q21" s="310">
        <f t="shared" si="5"/>
        <v>268.58017304387772</v>
      </c>
      <c r="R21" s="311">
        <f t="shared" si="6"/>
        <v>0.71946299027922023</v>
      </c>
    </row>
    <row r="22" spans="2:20" ht="15" customHeight="1">
      <c r="G22" s="100"/>
      <c r="M22" s="313"/>
      <c r="N22" s="309">
        <f t="shared" si="3"/>
        <v>2061.3607689803757</v>
      </c>
      <c r="O22" s="309">
        <f t="shared" si="4"/>
        <v>38121.680343291264</v>
      </c>
      <c r="P22" s="310">
        <f t="shared" si="0"/>
        <v>370.89801885480591</v>
      </c>
      <c r="Q22" s="310">
        <f t="shared" si="5"/>
        <v>214.07192599039064</v>
      </c>
      <c r="R22" s="311">
        <f t="shared" si="6"/>
        <v>0.57717193165756053</v>
      </c>
    </row>
    <row r="23" spans="2:20" ht="15" customHeight="1">
      <c r="G23" s="100"/>
      <c r="M23" s="313"/>
      <c r="N23" s="309">
        <f t="shared" si="3"/>
        <v>1317.147430130804</v>
      </c>
      <c r="O23" s="309">
        <f t="shared" si="4"/>
        <v>40976.177929166923</v>
      </c>
      <c r="P23" s="310">
        <f t="shared" si="0"/>
        <v>354.03901799776935</v>
      </c>
      <c r="Q23" s="310">
        <f t="shared" si="5"/>
        <v>147.0278174280119</v>
      </c>
      <c r="R23" s="311">
        <f t="shared" si="6"/>
        <v>0.41528704451704884</v>
      </c>
    </row>
    <row r="24" spans="2:20" ht="15" customHeight="1">
      <c r="G24" s="100"/>
      <c r="M24" s="313"/>
      <c r="N24" s="309">
        <f t="shared" si="3"/>
        <v>884.94664999877875</v>
      </c>
      <c r="O24" s="309">
        <f t="shared" si="4"/>
        <v>42515.344843366969</v>
      </c>
      <c r="P24" s="310">
        <f t="shared" si="0"/>
        <v>353.61468042649284</v>
      </c>
      <c r="Q24" s="310">
        <f t="shared" si="5"/>
        <v>102.49353450339368</v>
      </c>
      <c r="R24" s="311">
        <f t="shared" si="6"/>
        <v>0.28984524731772093</v>
      </c>
    </row>
    <row r="25" spans="2:20" ht="15" customHeight="1">
      <c r="B25" s="100"/>
      <c r="C25" s="100"/>
      <c r="D25" s="100"/>
      <c r="E25" s="100"/>
      <c r="F25" s="100"/>
      <c r="G25" s="100"/>
      <c r="M25" s="313"/>
      <c r="N25" s="309">
        <f t="shared" si="3"/>
        <v>884.94664999877875</v>
      </c>
      <c r="O25" s="309">
        <f t="shared" si="4"/>
        <v>42515.344843366969</v>
      </c>
      <c r="P25" s="310">
        <f t="shared" si="0"/>
        <v>346.68105924165968</v>
      </c>
      <c r="Q25" s="310">
        <f t="shared" si="5"/>
        <v>102.49353450339368</v>
      </c>
      <c r="R25" s="311">
        <f t="shared" si="6"/>
        <v>0.29564215226407536</v>
      </c>
    </row>
    <row r="26" spans="2:20" ht="15" customHeight="1">
      <c r="B26" s="86"/>
      <c r="C26" s="86"/>
      <c r="M26" s="313"/>
      <c r="N26" s="309">
        <f t="shared" si="3"/>
        <v>884.94664999877875</v>
      </c>
      <c r="O26" s="309">
        <f t="shared" si="4"/>
        <v>42515.344843366969</v>
      </c>
      <c r="P26" s="310">
        <f t="shared" si="0"/>
        <v>346.68105924165968</v>
      </c>
      <c r="Q26" s="310">
        <f t="shared" si="5"/>
        <v>102.49353450339368</v>
      </c>
      <c r="R26" s="311">
        <f t="shared" si="6"/>
        <v>0.29564215226407536</v>
      </c>
    </row>
    <row r="27" spans="2:20" ht="15" customHeight="1">
      <c r="B27" s="86"/>
      <c r="C27" s="86"/>
      <c r="M27" s="313"/>
      <c r="N27" s="309">
        <f t="shared" si="3"/>
        <v>884.94664999877875</v>
      </c>
      <c r="O27" s="309">
        <f t="shared" si="4"/>
        <v>42515.344843366969</v>
      </c>
      <c r="P27" s="310">
        <f t="shared" si="0"/>
        <v>346.68105924165968</v>
      </c>
      <c r="Q27" s="310">
        <f t="shared" si="5"/>
        <v>102.49353450339368</v>
      </c>
      <c r="R27" s="311">
        <f t="shared" si="6"/>
        <v>0.29564215226407536</v>
      </c>
    </row>
    <row r="28" spans="2:20" ht="15" customHeight="1">
      <c r="B28" s="86"/>
      <c r="C28" s="86"/>
      <c r="M28" s="312">
        <f>'Curves (Ops. conditions)'!M28</f>
        <v>1000</v>
      </c>
      <c r="N28" s="309">
        <f>N8*(M$28/M$8)^2</f>
        <v>255.35683239152607</v>
      </c>
      <c r="O28" s="309">
        <f>O8*(M$28/M$8)</f>
        <v>2854.7686276578984</v>
      </c>
      <c r="P28" s="310">
        <f>Q28/(R28*$B$48)</f>
        <v>3.0518268300638849</v>
      </c>
      <c r="Q28" s="310">
        <f>N28*$T$51*O28/3600000</f>
        <v>1.9858757493383747</v>
      </c>
      <c r="R28" s="311">
        <f>R8</f>
        <v>0.65071704913768114</v>
      </c>
    </row>
    <row r="29" spans="2:20" ht="15" customHeight="1">
      <c r="B29" s="86"/>
      <c r="C29" s="86"/>
      <c r="K29" s="87"/>
      <c r="L29" s="87"/>
      <c r="M29" s="308"/>
      <c r="N29" s="309">
        <f t="shared" ref="N29:N37" si="7">N9*(M$28/M$8)^2</f>
        <v>262.56776578022004</v>
      </c>
      <c r="O29" s="309">
        <f t="shared" ref="O29:O37" si="8">O9*(M$28/M$8)</f>
        <v>4921.1522339062476</v>
      </c>
      <c r="P29" s="310">
        <f t="shared" ref="P29:P37" si="9">Q29/(R29*$B$48)</f>
        <v>4.0691024400851807</v>
      </c>
      <c r="Q29" s="310">
        <f t="shared" ref="Q29:Q37" si="10">N29*$T$51*O29/3600000</f>
        <v>3.5199936759490695</v>
      </c>
      <c r="R29" s="311">
        <f t="shared" ref="R29:R37" si="11">R9</f>
        <v>0.86505408201897793</v>
      </c>
    </row>
    <row r="30" spans="2:20" ht="15" customHeight="1">
      <c r="B30" s="86"/>
      <c r="C30" s="86"/>
      <c r="K30" s="87"/>
      <c r="L30" s="87"/>
      <c r="M30" s="308"/>
      <c r="N30" s="309">
        <f t="shared" si="7"/>
        <v>228.70277130827918</v>
      </c>
      <c r="O30" s="309">
        <f t="shared" si="8"/>
        <v>7078.3849760108551</v>
      </c>
      <c r="P30" s="310">
        <f t="shared" si="9"/>
        <v>5.1807356354243925</v>
      </c>
      <c r="Q30" s="310">
        <f t="shared" si="10"/>
        <v>4.4100070210412188</v>
      </c>
      <c r="R30" s="311">
        <f t="shared" si="11"/>
        <v>0.85123181945182624</v>
      </c>
      <c r="S30" s="328"/>
    </row>
    <row r="31" spans="2:20" ht="15" customHeight="1">
      <c r="B31" s="86"/>
      <c r="C31" s="86"/>
      <c r="I31" s="87"/>
      <c r="J31" s="87"/>
      <c r="K31" s="87"/>
      <c r="M31" s="308"/>
      <c r="N31" s="309">
        <f t="shared" si="7"/>
        <v>181.72456671733136</v>
      </c>
      <c r="O31" s="309">
        <f t="shared" si="8"/>
        <v>8477.0873593378892</v>
      </c>
      <c r="P31" s="310">
        <f t="shared" si="9"/>
        <v>5.8329132429479413</v>
      </c>
      <c r="Q31" s="310">
        <f t="shared" si="10"/>
        <v>4.1965652038105894</v>
      </c>
      <c r="R31" s="311">
        <f t="shared" si="11"/>
        <v>0.71946299027922023</v>
      </c>
      <c r="S31" s="328"/>
    </row>
    <row r="32" spans="2:20" ht="15" customHeight="1">
      <c r="B32" s="86"/>
      <c r="C32" s="86"/>
      <c r="I32" s="87"/>
      <c r="J32" s="87"/>
      <c r="K32" s="87"/>
      <c r="M32" s="308"/>
      <c r="N32" s="309">
        <f t="shared" si="7"/>
        <v>128.83504806127348</v>
      </c>
      <c r="O32" s="309">
        <f t="shared" si="8"/>
        <v>9530.420085822816</v>
      </c>
      <c r="P32" s="310">
        <f t="shared" si="9"/>
        <v>5.7952815446063424</v>
      </c>
      <c r="Q32" s="310">
        <f t="shared" si="10"/>
        <v>3.3448738435998537</v>
      </c>
      <c r="R32" s="311">
        <f t="shared" si="11"/>
        <v>0.57717193165756053</v>
      </c>
      <c r="S32" s="328"/>
    </row>
    <row r="33" spans="1:19" ht="15" customHeight="1">
      <c r="B33" s="86"/>
      <c r="C33" s="86"/>
      <c r="I33" s="87"/>
      <c r="J33" s="87"/>
      <c r="K33" s="87"/>
      <c r="M33" s="308"/>
      <c r="N33" s="309">
        <f t="shared" si="7"/>
        <v>82.321714383175248</v>
      </c>
      <c r="O33" s="309">
        <f t="shared" si="8"/>
        <v>10244.044482291731</v>
      </c>
      <c r="P33" s="310">
        <f t="shared" si="9"/>
        <v>5.5318596562151461</v>
      </c>
      <c r="Q33" s="310">
        <f t="shared" si="10"/>
        <v>2.2973096473126859</v>
      </c>
      <c r="R33" s="311">
        <f t="shared" si="11"/>
        <v>0.41528704451704884</v>
      </c>
      <c r="S33" s="328"/>
    </row>
    <row r="34" spans="1:19" ht="15" customHeight="1">
      <c r="B34" s="86"/>
      <c r="C34" s="86"/>
      <c r="I34" s="87"/>
      <c r="J34" s="87"/>
      <c r="K34" s="87"/>
      <c r="M34" s="308"/>
      <c r="N34" s="309">
        <f t="shared" si="7"/>
        <v>55.309165624923672</v>
      </c>
      <c r="O34" s="309">
        <f t="shared" si="8"/>
        <v>10628.836210841742</v>
      </c>
      <c r="P34" s="310">
        <f t="shared" si="9"/>
        <v>5.5252293816639506</v>
      </c>
      <c r="Q34" s="310">
        <f t="shared" si="10"/>
        <v>1.6014614766155262</v>
      </c>
      <c r="R34" s="311">
        <f t="shared" si="11"/>
        <v>0.28984524731772093</v>
      </c>
      <c r="S34" s="328"/>
    </row>
    <row r="35" spans="1:19" ht="15" customHeight="1">
      <c r="B35" s="86"/>
      <c r="C35" s="86"/>
      <c r="I35" s="87"/>
      <c r="J35" s="87"/>
      <c r="K35" s="87"/>
      <c r="M35" s="314"/>
      <c r="N35" s="309">
        <f t="shared" si="7"/>
        <v>55.309165624923672</v>
      </c>
      <c r="O35" s="309">
        <f t="shared" si="8"/>
        <v>10628.836210841742</v>
      </c>
      <c r="P35" s="310">
        <f t="shared" si="9"/>
        <v>5.4168915506509325</v>
      </c>
      <c r="Q35" s="310">
        <f t="shared" si="10"/>
        <v>1.6014614766155262</v>
      </c>
      <c r="R35" s="311">
        <f t="shared" si="11"/>
        <v>0.29564215226407536</v>
      </c>
      <c r="S35" s="328"/>
    </row>
    <row r="36" spans="1:19" ht="15" customHeight="1">
      <c r="B36" s="86"/>
      <c r="C36" s="86"/>
      <c r="I36" s="87"/>
      <c r="J36" s="87"/>
      <c r="K36" s="87"/>
      <c r="M36" s="314"/>
      <c r="N36" s="309">
        <f t="shared" si="7"/>
        <v>55.309165624923672</v>
      </c>
      <c r="O36" s="309">
        <f t="shared" si="8"/>
        <v>10628.836210841742</v>
      </c>
      <c r="P36" s="310">
        <f t="shared" si="9"/>
        <v>5.4168915506509325</v>
      </c>
      <c r="Q36" s="310">
        <f t="shared" si="10"/>
        <v>1.6014614766155262</v>
      </c>
      <c r="R36" s="311">
        <f t="shared" si="11"/>
        <v>0.29564215226407536</v>
      </c>
      <c r="S36" s="328"/>
    </row>
    <row r="37" spans="1:19" ht="15" customHeight="1" thickBot="1">
      <c r="B37" s="86"/>
      <c r="C37" s="86"/>
      <c r="I37" s="87"/>
      <c r="J37" s="87"/>
      <c r="K37" s="87"/>
      <c r="M37" s="315"/>
      <c r="N37" s="316">
        <f t="shared" si="7"/>
        <v>55.309165624923672</v>
      </c>
      <c r="O37" s="316">
        <f t="shared" si="8"/>
        <v>10628.836210841742</v>
      </c>
      <c r="P37" s="317">
        <f t="shared" si="9"/>
        <v>5.4168915506509325</v>
      </c>
      <c r="Q37" s="317">
        <f t="shared" si="10"/>
        <v>1.6014614766155262</v>
      </c>
      <c r="R37" s="318">
        <f t="shared" si="11"/>
        <v>0.29564215226407536</v>
      </c>
      <c r="S37" s="328"/>
    </row>
    <row r="38" spans="1:19" ht="15" customHeight="1">
      <c r="B38" s="86"/>
      <c r="C38" s="86"/>
      <c r="J38" s="87"/>
      <c r="K38" s="87"/>
      <c r="L38" s="87"/>
      <c r="N38" s="328"/>
      <c r="O38" s="218"/>
      <c r="P38" s="218"/>
      <c r="Q38" s="218"/>
      <c r="R38" s="218"/>
    </row>
    <row r="39" spans="1:19" ht="15" customHeight="1">
      <c r="B39" s="86"/>
      <c r="C39" s="86"/>
      <c r="J39" s="87"/>
      <c r="N39" s="328"/>
      <c r="O39" s="328"/>
      <c r="P39" s="328"/>
      <c r="Q39" s="328"/>
      <c r="R39" s="328"/>
    </row>
    <row r="40" spans="1:19" ht="15" customHeight="1">
      <c r="B40" s="86"/>
      <c r="C40" s="86"/>
      <c r="N40" s="328"/>
      <c r="O40" s="328"/>
      <c r="P40" s="328"/>
      <c r="Q40" s="328"/>
      <c r="R40" s="328"/>
    </row>
    <row r="41" spans="1:19" ht="15" customHeight="1">
      <c r="B41" s="86"/>
      <c r="C41" s="86"/>
      <c r="N41" s="328"/>
      <c r="O41" s="328"/>
      <c r="P41" s="328"/>
      <c r="Q41" s="328"/>
      <c r="R41" s="328"/>
    </row>
    <row r="42" spans="1:19" ht="15" customHeight="1">
      <c r="B42" s="86"/>
      <c r="C42" s="86"/>
      <c r="N42" s="328"/>
      <c r="O42" s="328"/>
      <c r="P42" s="328"/>
      <c r="Q42" s="328"/>
      <c r="R42" s="328"/>
    </row>
    <row r="43" spans="1:19" ht="15" customHeight="1">
      <c r="B43" s="86"/>
      <c r="C43" s="86"/>
      <c r="N43" s="328"/>
      <c r="O43" s="328"/>
      <c r="P43" s="328"/>
      <c r="Q43" s="328"/>
      <c r="R43" s="328"/>
    </row>
    <row r="44" spans="1:19" ht="15" customHeight="1">
      <c r="B44" s="86"/>
      <c r="C44" s="86"/>
      <c r="N44" s="328"/>
      <c r="O44" s="328"/>
      <c r="P44" s="328"/>
      <c r="Q44" s="328"/>
      <c r="R44" s="328"/>
    </row>
    <row r="45" spans="1:19" ht="15" customHeight="1">
      <c r="B45" s="86"/>
      <c r="C45" s="86"/>
      <c r="N45" s="328"/>
      <c r="O45" s="328"/>
      <c r="P45" s="328"/>
      <c r="Q45" s="328"/>
      <c r="R45" s="328"/>
    </row>
    <row r="46" spans="1:19" ht="15" customHeight="1">
      <c r="B46" s="86"/>
      <c r="C46" s="86"/>
    </row>
    <row r="47" spans="1:19" ht="15" customHeight="1">
      <c r="A47" s="88" t="s">
        <v>2</v>
      </c>
      <c r="B47" s="89" t="str">
        <f>Fan_name</f>
        <v>XOE 166-45G REG</v>
      </c>
      <c r="C47" s="117"/>
      <c r="D47" s="132" t="s">
        <v>119</v>
      </c>
      <c r="E47" s="335">
        <f>Inlet_m</f>
        <v>0.45</v>
      </c>
      <c r="F47" s="86" t="s">
        <v>118</v>
      </c>
    </row>
    <row r="48" spans="1:19" ht="15" customHeight="1">
      <c r="A48" s="90" t="s">
        <v>98</v>
      </c>
      <c r="B48" s="91">
        <f>'Data for BOSS'!$B$8</f>
        <v>1</v>
      </c>
    </row>
    <row r="49" spans="1:22" ht="15" customHeight="1">
      <c r="E49" s="92"/>
      <c r="F49" s="92"/>
      <c r="G49" s="92"/>
      <c r="H49" s="92"/>
    </row>
    <row r="50" spans="1:22" ht="15" customHeight="1">
      <c r="A50" s="86" t="s">
        <v>99</v>
      </c>
      <c r="B50" s="87" t="s">
        <v>100</v>
      </c>
      <c r="C50" s="332">
        <v>1</v>
      </c>
      <c r="D50" s="86" t="s">
        <v>101</v>
      </c>
      <c r="P50" s="332">
        <v>1</v>
      </c>
    </row>
    <row r="51" spans="1:22" ht="15" customHeight="1">
      <c r="B51" s="87" t="s">
        <v>102</v>
      </c>
      <c r="C51" s="330">
        <f>P_OP_tot</f>
        <v>713.77587437544605</v>
      </c>
      <c r="D51" s="86" t="s">
        <v>101</v>
      </c>
      <c r="E51" s="110" t="s">
        <v>116</v>
      </c>
      <c r="F51" s="111">
        <f>$C$51-I51</f>
        <v>695.03516367298926</v>
      </c>
      <c r="G51" s="110" t="s">
        <v>101</v>
      </c>
      <c r="H51" s="110" t="s">
        <v>124</v>
      </c>
      <c r="I51" s="111">
        <f>0.5*$C$55*($C$53/(PI()*$E$47^2/4)/3600)^2/g</f>
        <v>18.740710702456806</v>
      </c>
      <c r="J51" s="110" t="s">
        <v>101</v>
      </c>
      <c r="P51" s="330">
        <f>P_OP_tot</f>
        <v>713.77587437544605</v>
      </c>
      <c r="S51" s="132" t="s">
        <v>990</v>
      </c>
      <c r="T51" s="86">
        <f>g</f>
        <v>9.8070000000000004</v>
      </c>
      <c r="U51" s="86" t="s">
        <v>700</v>
      </c>
    </row>
    <row r="52" spans="1:22" ht="15" customHeight="1">
      <c r="B52" s="87" t="s">
        <v>106</v>
      </c>
      <c r="C52" s="330">
        <f>T_OP</f>
        <v>20</v>
      </c>
      <c r="D52" s="86" t="s">
        <v>21</v>
      </c>
      <c r="P52" s="330">
        <f>T_OP</f>
        <v>20</v>
      </c>
    </row>
    <row r="53" spans="1:22" ht="15" customHeight="1">
      <c r="B53" s="87" t="s">
        <v>23</v>
      </c>
      <c r="C53" s="330">
        <f>Q</f>
        <v>10000</v>
      </c>
      <c r="D53" s="86" t="s">
        <v>103</v>
      </c>
      <c r="P53" s="330">
        <f>Q</f>
        <v>10000</v>
      </c>
    </row>
    <row r="54" spans="1:22" ht="15" customHeight="1">
      <c r="B54" s="87" t="s">
        <v>104</v>
      </c>
      <c r="C54" s="330">
        <f>rpm_OP</f>
        <v>1672.3774886767021</v>
      </c>
      <c r="D54" s="86" t="s">
        <v>105</v>
      </c>
      <c r="E54" s="92" t="s">
        <v>107</v>
      </c>
      <c r="F54" s="94">
        <f>MAX(O8:O37)</f>
        <v>42515.344843366969</v>
      </c>
      <c r="G54" s="94">
        <f>MAX(N8:N37)</f>
        <v>4201.0842524835207</v>
      </c>
      <c r="H54" s="92">
        <v>0</v>
      </c>
      <c r="P54" s="330">
        <f>rpm_OP</f>
        <v>1672.3774886767021</v>
      </c>
    </row>
    <row r="55" spans="1:22" ht="15" customHeight="1">
      <c r="B55" s="87" t="s">
        <v>108</v>
      </c>
      <c r="C55" s="331">
        <f>rho_med_OP</f>
        <v>1.2050000000000001</v>
      </c>
      <c r="D55" s="86" t="s">
        <v>30</v>
      </c>
      <c r="F55" s="87"/>
      <c r="G55" s="87"/>
      <c r="P55" s="331">
        <f>rho_med_OP</f>
        <v>1.2050000000000001</v>
      </c>
    </row>
    <row r="56" spans="1:22" ht="15" customHeight="1">
      <c r="B56" s="87" t="s">
        <v>109</v>
      </c>
      <c r="C56" s="96">
        <f>Eff_OP</f>
        <v>0.85827274783057184</v>
      </c>
    </row>
    <row r="57" spans="1:22" ht="15" customHeight="1">
      <c r="B57" s="87" t="s">
        <v>166</v>
      </c>
      <c r="C57" s="97">
        <f>Shaft_Power_OP</f>
        <v>22.655320809839917</v>
      </c>
      <c r="D57" s="86" t="s">
        <v>110</v>
      </c>
    </row>
    <row r="58" spans="1:22" ht="15" customHeight="1">
      <c r="B58" s="86"/>
      <c r="C58" s="86"/>
    </row>
    <row r="59" spans="1:22" ht="15" customHeight="1" thickBot="1">
      <c r="B59" s="86"/>
      <c r="C59" s="86"/>
    </row>
    <row r="60" spans="1:22" ht="15" customHeight="1">
      <c r="A60" s="1422" t="s">
        <v>245</v>
      </c>
      <c r="B60" s="1423"/>
      <c r="C60" s="455"/>
      <c r="D60" s="455"/>
      <c r="E60" s="456"/>
      <c r="F60" s="457"/>
      <c r="G60" s="456"/>
      <c r="H60" s="456"/>
      <c r="I60" s="456"/>
      <c r="J60" s="218"/>
      <c r="K60" s="219"/>
      <c r="U60" s="328"/>
      <c r="V60" s="328"/>
    </row>
    <row r="61" spans="1:22" ht="15" customHeight="1">
      <c r="A61" s="458" t="s">
        <v>183</v>
      </c>
      <c r="B61" s="459"/>
      <c r="C61" s="459"/>
      <c r="D61" s="459">
        <v>63</v>
      </c>
      <c r="E61" s="459">
        <v>125</v>
      </c>
      <c r="F61" s="459">
        <v>250</v>
      </c>
      <c r="G61" s="460">
        <v>500</v>
      </c>
      <c r="H61" s="459">
        <v>1000</v>
      </c>
      <c r="I61" s="459">
        <v>2000</v>
      </c>
      <c r="J61" s="459">
        <v>4000</v>
      </c>
      <c r="K61" s="461" t="s">
        <v>184</v>
      </c>
      <c r="U61" s="328"/>
      <c r="V61" s="328"/>
    </row>
    <row r="62" spans="1:22" ht="15" customHeight="1">
      <c r="A62" s="462" t="s">
        <v>195</v>
      </c>
      <c r="B62" s="463"/>
      <c r="C62" s="464"/>
      <c r="D62" s="464">
        <f t="shared" ref="D62:J62" si="12">SUM(D74:D78)</f>
        <v>99.838935792612261</v>
      </c>
      <c r="E62" s="464">
        <f t="shared" si="12"/>
        <v>99.338935792612261</v>
      </c>
      <c r="F62" s="464">
        <f t="shared" si="12"/>
        <v>101.63893579261227</v>
      </c>
      <c r="G62" s="464">
        <f t="shared" si="12"/>
        <v>108.13893579261227</v>
      </c>
      <c r="H62" s="464">
        <f t="shared" si="12"/>
        <v>101.73893579261227</v>
      </c>
      <c r="I62" s="464">
        <f t="shared" si="12"/>
        <v>98.638935792612273</v>
      </c>
      <c r="J62" s="464">
        <f t="shared" si="12"/>
        <v>94.238935792612267</v>
      </c>
      <c r="K62" s="465">
        <f t="array" ref="K62">10*LOG10(SUM(IF(ISNUMBER(D62:J62),10^(D62:J62/10))))</f>
        <v>110.89351270997975</v>
      </c>
      <c r="U62" s="328"/>
      <c r="V62" s="328"/>
    </row>
    <row r="63" spans="1:22" ht="15" customHeight="1">
      <c r="A63" s="466" t="s">
        <v>193</v>
      </c>
      <c r="B63" s="463"/>
      <c r="C63" s="463"/>
      <c r="D63" s="463">
        <f>D62+D80</f>
        <v>73.638935792612259</v>
      </c>
      <c r="E63" s="463">
        <f t="shared" ref="E63:J63" si="13">E62+E80</f>
        <v>83.238935792612267</v>
      </c>
      <c r="F63" s="463">
        <f t="shared" si="13"/>
        <v>93.038935792612278</v>
      </c>
      <c r="G63" s="463">
        <f t="shared" si="13"/>
        <v>104.93893579261227</v>
      </c>
      <c r="H63" s="463">
        <f t="shared" si="13"/>
        <v>101.73893579261227</v>
      </c>
      <c r="I63" s="463">
        <f t="shared" si="13"/>
        <v>99.838935792612276</v>
      </c>
      <c r="J63" s="463">
        <f t="shared" si="13"/>
        <v>95.238935792612267</v>
      </c>
      <c r="K63" s="518">
        <f t="array" ref="K63">10*LOG10(SUM(IF(ISNUMBER(D63:J63),10^(D63:J63/10))))</f>
        <v>107.87671251217787</v>
      </c>
      <c r="U63" s="502"/>
      <c r="V63" s="328"/>
    </row>
    <row r="64" spans="1:22" ht="15" customHeight="1" thickBot="1">
      <c r="A64" s="467" t="s">
        <v>244</v>
      </c>
      <c r="B64" s="468"/>
      <c r="C64" s="469">
        <f>'Curves (Std. conditions)'!C65</f>
        <v>-8.3103618950739975</v>
      </c>
      <c r="D64" s="469">
        <f>D63+$C$64</f>
        <v>65.328573897538263</v>
      </c>
      <c r="E64" s="469">
        <f t="shared" ref="E64:J64" si="14">E63+$C$64</f>
        <v>74.928573897538271</v>
      </c>
      <c r="F64" s="469">
        <f t="shared" si="14"/>
        <v>84.728573897538283</v>
      </c>
      <c r="G64" s="469">
        <f t="shared" si="14"/>
        <v>96.628573897538274</v>
      </c>
      <c r="H64" s="469">
        <f t="shared" si="14"/>
        <v>93.428573897538271</v>
      </c>
      <c r="I64" s="469">
        <f t="shared" si="14"/>
        <v>91.52857389753828</v>
      </c>
      <c r="J64" s="469">
        <f t="shared" si="14"/>
        <v>86.928573897538271</v>
      </c>
      <c r="K64" s="470">
        <f t="array" ref="K64">10*LOG10(SUM(IF(ISNUMBER(D64:J64),10^(D64:J64/10))))</f>
        <v>99.566350617103879</v>
      </c>
      <c r="S64" s="328"/>
      <c r="T64" s="328"/>
      <c r="U64" s="328"/>
      <c r="V64" s="328"/>
    </row>
    <row r="65" spans="1:22" ht="15" customHeight="1" thickTop="1">
      <c r="A65" s="466"/>
      <c r="B65" s="519" t="s">
        <v>561</v>
      </c>
      <c r="C65" s="463">
        <f>Radiation_F</f>
        <v>1</v>
      </c>
      <c r="D65" s="463"/>
      <c r="E65" s="463"/>
      <c r="F65" s="463"/>
      <c r="G65" s="463"/>
      <c r="H65" s="463"/>
      <c r="I65" s="463"/>
      <c r="J65" s="463"/>
      <c r="K65" s="471"/>
      <c r="S65" s="498"/>
      <c r="T65" s="498"/>
      <c r="U65" s="328"/>
      <c r="V65" s="328"/>
    </row>
    <row r="66" spans="1:22" ht="15" customHeight="1" thickBot="1">
      <c r="A66" s="472" t="s">
        <v>194</v>
      </c>
      <c r="B66" s="473"/>
      <c r="C66" s="474">
        <f>'Curves (Std. conditions)'!C66</f>
        <v>-13.375814485106119</v>
      </c>
      <c r="D66" s="474">
        <f>D63+$C$66-D81</f>
        <v>47.76312130750614</v>
      </c>
      <c r="E66" s="474">
        <f t="shared" ref="E66:J66" si="15">E63+$C$66-E81</f>
        <v>62.363121307506148</v>
      </c>
      <c r="F66" s="474">
        <f t="shared" si="15"/>
        <v>77.163121307506159</v>
      </c>
      <c r="G66" s="474">
        <f t="shared" si="15"/>
        <v>89.063121307506151</v>
      </c>
      <c r="H66" s="474">
        <f t="shared" si="15"/>
        <v>80.863121307506148</v>
      </c>
      <c r="I66" s="474">
        <f t="shared" si="15"/>
        <v>78.963121307506157</v>
      </c>
      <c r="J66" s="474">
        <f t="shared" si="15"/>
        <v>74.363121307506148</v>
      </c>
      <c r="K66" s="475">
        <f t="array" ref="K66">10*LOG10(SUM(IF(ISNUMBER(D66:J66),10^(D66:J66/10))))</f>
        <v>90.365628215651611</v>
      </c>
      <c r="S66" s="328"/>
      <c r="T66" s="328"/>
      <c r="U66" s="328"/>
      <c r="V66" s="328"/>
    </row>
    <row r="67" spans="1:22" ht="15" customHeight="1">
      <c r="B67" s="86"/>
      <c r="C67" s="86"/>
      <c r="S67" s="501"/>
      <c r="T67" s="501"/>
    </row>
    <row r="68" spans="1:22" ht="15" customHeight="1">
      <c r="B68" s="86"/>
      <c r="C68" s="86"/>
      <c r="S68" s="328"/>
      <c r="T68" s="328"/>
    </row>
    <row r="69" spans="1:22" ht="15" customHeight="1">
      <c r="B69" s="86"/>
      <c r="C69" s="86"/>
      <c r="S69" s="501"/>
      <c r="T69" s="501"/>
    </row>
    <row r="70" spans="1:22" ht="15" customHeight="1">
      <c r="B70" s="86"/>
      <c r="C70" s="86"/>
      <c r="S70" s="328"/>
      <c r="T70" s="328"/>
    </row>
    <row r="71" spans="1:22" ht="15" customHeight="1">
      <c r="A71" s="145" t="str">
        <f>'Fan Selection'!A80&amp;" - CURVES"</f>
        <v>FS File 6666, , , GT 78-33, Steel, Steel -  - CURVES</v>
      </c>
      <c r="B71" s="145"/>
      <c r="C71" s="145"/>
      <c r="D71" s="145"/>
      <c r="E71" s="145"/>
      <c r="F71" s="145"/>
      <c r="G71" s="145"/>
      <c r="H71" s="145"/>
      <c r="I71" s="145"/>
      <c r="J71" s="145"/>
      <c r="K71" s="240"/>
      <c r="L71" s="239"/>
    </row>
    <row r="72" spans="1:22" ht="15" customHeight="1">
      <c r="B72" s="86"/>
      <c r="C72" s="86"/>
      <c r="M72" s="328"/>
      <c r="N72" s="328"/>
      <c r="O72" s="328"/>
      <c r="P72" s="328"/>
      <c r="Q72" s="328"/>
      <c r="R72" s="328"/>
    </row>
    <row r="73" spans="1:22" ht="15" customHeight="1">
      <c r="B73" s="86"/>
      <c r="C73" s="86"/>
      <c r="M73" s="497"/>
      <c r="N73" s="498"/>
      <c r="O73" s="498"/>
      <c r="P73" s="498"/>
      <c r="Q73" s="499"/>
      <c r="R73" s="498"/>
    </row>
    <row r="74" spans="1:22" ht="15" customHeight="1">
      <c r="A74" s="477" t="s">
        <v>185</v>
      </c>
      <c r="B74" s="478"/>
      <c r="C74" s="479">
        <f>'Curves (Std. conditions)'!C114</f>
        <v>3</v>
      </c>
      <c r="D74" s="464">
        <f>INDEX('Curves (Std. conditions)'!$A$122:$J$124,$C$74,COLUMN(D1))</f>
        <v>18.5</v>
      </c>
      <c r="E74" s="464">
        <f>INDEX('Curves (Std. conditions)'!$A$122:$J$124,$C$74,COLUMN(E1))</f>
        <v>18</v>
      </c>
      <c r="F74" s="464">
        <f>INDEX('Curves (Std. conditions)'!$A$122:$J$124,$C$74,COLUMN(F1))</f>
        <v>20.3</v>
      </c>
      <c r="G74" s="464">
        <f>INDEX('Curves (Std. conditions)'!$A$122:$J$124,$C$74,COLUMN(G1))</f>
        <v>21.8</v>
      </c>
      <c r="H74" s="464">
        <f>INDEX('Curves (Std. conditions)'!$A$122:$J$124,$C$74,COLUMN(H1))</f>
        <v>20.399999999999999</v>
      </c>
      <c r="I74" s="480">
        <f>INDEX('Curves (Std. conditions)'!$A$122:$J$124,$C$74,COLUMN(I1))</f>
        <v>17.3</v>
      </c>
      <c r="J74" s="478">
        <f>INDEX('Curves (Std. conditions)'!$A$122:$J$124,$C$74,COLUMN(J1))</f>
        <v>12.9</v>
      </c>
      <c r="M74" s="328"/>
      <c r="N74" s="328"/>
      <c r="O74" s="328"/>
      <c r="P74" s="328"/>
      <c r="Q74" s="328"/>
      <c r="R74" s="328"/>
    </row>
    <row r="75" spans="1:22" ht="15" customHeight="1">
      <c r="A75" s="481" t="s">
        <v>186</v>
      </c>
      <c r="B75" s="482"/>
      <c r="C75" s="483">
        <f>rpm_OP*blades/60</f>
        <v>445.96733031378722</v>
      </c>
      <c r="D75" s="463">
        <f>IF($C$75&lt;=(D61/2+E61/2),5,0)</f>
        <v>0</v>
      </c>
      <c r="E75" s="463">
        <f>IF(AND($C$75&gt;(D61/2+E61/2),$C$75&lt;=(F61/2+E61/2)),5,0)</f>
        <v>0</v>
      </c>
      <c r="F75" s="463">
        <f>IF(AND($C$75&gt;(E61/2+F61/2),$C$75&lt;=(G61/2+F61/2)),5,0)</f>
        <v>0</v>
      </c>
      <c r="G75" s="463">
        <f>IF(AND($C$75&gt;(F61/2+G61/2),$C$75&lt;=(H61/2+G61/2)),5,0)</f>
        <v>5</v>
      </c>
      <c r="H75" s="463">
        <f>IF(AND($C$75&gt;(G61/2+H61/2),$C$75&lt;=(I61/2+H61/2)),5,0)</f>
        <v>0</v>
      </c>
      <c r="I75" s="463">
        <f>IF(AND($C$75&gt;(H61/2+I61/2),$C$75&lt;=(J61/2+I61/2)),5,0)</f>
        <v>0</v>
      </c>
      <c r="J75" s="482">
        <f>IF($C$75&gt;(I61/2+J61/2),5,0)</f>
        <v>0</v>
      </c>
      <c r="K75" s="134"/>
      <c r="L75" s="134"/>
      <c r="M75" s="500"/>
      <c r="N75" s="501"/>
      <c r="O75" s="501"/>
      <c r="P75" s="501"/>
      <c r="Q75" s="501"/>
      <c r="R75" s="501"/>
    </row>
    <row r="76" spans="1:22" ht="15" customHeight="1">
      <c r="A76" s="481" t="s">
        <v>187</v>
      </c>
      <c r="B76" s="482"/>
      <c r="C76" s="483"/>
      <c r="D76" s="463">
        <v>0</v>
      </c>
      <c r="E76" s="463">
        <v>0</v>
      </c>
      <c r="F76" s="463">
        <v>0</v>
      </c>
      <c r="G76" s="463">
        <v>0</v>
      </c>
      <c r="H76" s="463">
        <v>0</v>
      </c>
      <c r="I76" s="463">
        <v>0</v>
      </c>
      <c r="J76" s="482">
        <v>0</v>
      </c>
      <c r="K76" s="144"/>
      <c r="M76" s="328"/>
      <c r="N76" s="328"/>
      <c r="O76" s="328"/>
      <c r="P76" s="328"/>
      <c r="Q76" s="328"/>
      <c r="R76" s="328"/>
    </row>
    <row r="77" spans="1:22" ht="15" customHeight="1">
      <c r="A77" s="481" t="s">
        <v>188</v>
      </c>
      <c r="B77" s="482"/>
      <c r="C77" s="483"/>
      <c r="D77" s="484">
        <f>MAX(0,10*LOG($C$53/3600))</f>
        <v>4.4369749923271273</v>
      </c>
      <c r="E77" s="484">
        <f t="shared" ref="E77:J77" si="16">MAX(0,10*LOG($C$53/3600))</f>
        <v>4.4369749923271273</v>
      </c>
      <c r="F77" s="484">
        <f t="shared" si="16"/>
        <v>4.4369749923271273</v>
      </c>
      <c r="G77" s="484">
        <f t="shared" si="16"/>
        <v>4.4369749923271273</v>
      </c>
      <c r="H77" s="484">
        <f t="shared" si="16"/>
        <v>4.4369749923271273</v>
      </c>
      <c r="I77" s="484">
        <f t="shared" si="16"/>
        <v>4.4369749923271273</v>
      </c>
      <c r="J77" s="485">
        <f t="shared" si="16"/>
        <v>4.4369749923271273</v>
      </c>
      <c r="K77" s="144"/>
      <c r="M77" s="501"/>
      <c r="N77" s="501"/>
      <c r="O77" s="501"/>
      <c r="P77" s="501"/>
      <c r="Q77" s="501"/>
      <c r="R77" s="501"/>
    </row>
    <row r="78" spans="1:22" ht="15" customHeight="1">
      <c r="A78" s="486" t="s">
        <v>189</v>
      </c>
      <c r="B78" s="487"/>
      <c r="C78" s="488"/>
      <c r="D78" s="489">
        <f t="shared" ref="D78:J78" si="17">MAX(0,20*LOG($C$51*g))</f>
        <v>76.901960800285138</v>
      </c>
      <c r="E78" s="489">
        <f t="shared" si="17"/>
        <v>76.901960800285138</v>
      </c>
      <c r="F78" s="489">
        <f t="shared" si="17"/>
        <v>76.901960800285138</v>
      </c>
      <c r="G78" s="489">
        <f t="shared" si="17"/>
        <v>76.901960800285138</v>
      </c>
      <c r="H78" s="489">
        <f t="shared" si="17"/>
        <v>76.901960800285138</v>
      </c>
      <c r="I78" s="489">
        <f t="shared" si="17"/>
        <v>76.901960800285138</v>
      </c>
      <c r="J78" s="490">
        <f t="shared" si="17"/>
        <v>76.901960800285138</v>
      </c>
      <c r="K78" s="144"/>
      <c r="M78" s="328"/>
      <c r="N78" s="328"/>
      <c r="O78" s="328"/>
      <c r="P78" s="328"/>
      <c r="Q78" s="328"/>
      <c r="R78" s="328"/>
    </row>
    <row r="79" spans="1:22" ht="15" customHeight="1">
      <c r="B79" s="86"/>
      <c r="C79" s="86"/>
      <c r="K79" s="144"/>
    </row>
    <row r="80" spans="1:22" ht="15" customHeight="1">
      <c r="A80" s="494" t="s">
        <v>364</v>
      </c>
      <c r="B80" s="493"/>
      <c r="C80" s="493"/>
      <c r="D80" s="495">
        <f>'Curves (Std. conditions)'!D120</f>
        <v>-26.2</v>
      </c>
      <c r="E80" s="495">
        <f>'Curves (Std. conditions)'!E120</f>
        <v>-16.100000000000001</v>
      </c>
      <c r="F80" s="495">
        <f>'Curves (Std. conditions)'!F120</f>
        <v>-8.6</v>
      </c>
      <c r="G80" s="495">
        <f>'Curves (Std. conditions)'!G120</f>
        <v>-3.2</v>
      </c>
      <c r="H80" s="495">
        <f>'Curves (Std. conditions)'!H120</f>
        <v>0</v>
      </c>
      <c r="I80" s="495">
        <f>'Curves (Std. conditions)'!I120</f>
        <v>1.2</v>
      </c>
      <c r="J80" s="496">
        <f>'Curves (Std. conditions)'!J120</f>
        <v>1</v>
      </c>
      <c r="K80" s="144"/>
    </row>
    <row r="81" spans="1:14" ht="15" customHeight="1">
      <c r="A81" s="494" t="s">
        <v>365</v>
      </c>
      <c r="B81" s="493"/>
      <c r="C81" s="493"/>
      <c r="D81" s="495">
        <f>'Curves (Std. conditions)'!D121</f>
        <v>12.5</v>
      </c>
      <c r="E81" s="495">
        <f>'Curves (Std. conditions)'!E121</f>
        <v>7.5</v>
      </c>
      <c r="F81" s="495">
        <f>'Curves (Std. conditions)'!F121</f>
        <v>2.5</v>
      </c>
      <c r="G81" s="495">
        <f>'Curves (Std. conditions)'!G121</f>
        <v>2.5</v>
      </c>
      <c r="H81" s="495">
        <f>'Curves (Std. conditions)'!H121</f>
        <v>7.5</v>
      </c>
      <c r="I81" s="495">
        <f>'Curves (Std. conditions)'!I121</f>
        <v>7.5</v>
      </c>
      <c r="J81" s="496">
        <f>'Curves (Std. conditions)'!J121</f>
        <v>7.5</v>
      </c>
      <c r="K81" s="144"/>
    </row>
    <row r="82" spans="1:14" ht="15" customHeight="1">
      <c r="A82" s="477" t="s">
        <v>190</v>
      </c>
      <c r="B82" s="478"/>
      <c r="C82" s="479">
        <v>1</v>
      </c>
      <c r="D82" s="521">
        <f>'Curves (Std. conditions)'!D122</f>
        <v>27</v>
      </c>
      <c r="E82" s="522">
        <f>'Curves (Std. conditions)'!E122</f>
        <v>26</v>
      </c>
      <c r="F82" s="522">
        <f>'Curves (Std. conditions)'!F122</f>
        <v>23</v>
      </c>
      <c r="G82" s="522">
        <f>'Curves (Std. conditions)'!G122</f>
        <v>21</v>
      </c>
      <c r="H82" s="522">
        <f>'Curves (Std. conditions)'!H122</f>
        <v>18</v>
      </c>
      <c r="I82" s="522">
        <f>'Curves (Std. conditions)'!I122</f>
        <v>15</v>
      </c>
      <c r="J82" s="523">
        <f>'Curves (Std. conditions)'!J122</f>
        <v>10</v>
      </c>
      <c r="K82" s="144"/>
    </row>
    <row r="83" spans="1:14" ht="15" customHeight="1">
      <c r="A83" s="481" t="s">
        <v>191</v>
      </c>
      <c r="B83" s="482"/>
      <c r="C83" s="483">
        <v>2</v>
      </c>
      <c r="D83" s="524">
        <f>'Curves (Std. conditions)'!D123</f>
        <v>15.7</v>
      </c>
      <c r="E83" s="525">
        <f>'Curves (Std. conditions)'!E123</f>
        <v>15</v>
      </c>
      <c r="F83" s="525">
        <f>'Curves (Std. conditions)'!F123</f>
        <v>16.7</v>
      </c>
      <c r="G83" s="525">
        <f>'Curves (Std. conditions)'!G123</f>
        <v>19.5</v>
      </c>
      <c r="H83" s="525">
        <f>'Curves (Std. conditions)'!H123</f>
        <v>18.3</v>
      </c>
      <c r="I83" s="525">
        <f>'Curves (Std. conditions)'!I123</f>
        <v>14.5</v>
      </c>
      <c r="J83" s="526">
        <f>'Curves (Std. conditions)'!J123</f>
        <v>10.4</v>
      </c>
      <c r="K83" s="144"/>
    </row>
    <row r="84" spans="1:14" ht="15" customHeight="1">
      <c r="A84" s="486" t="s">
        <v>192</v>
      </c>
      <c r="B84" s="487"/>
      <c r="C84" s="488">
        <v>3</v>
      </c>
      <c r="D84" s="527">
        <f>'Curves (Std. conditions)'!D124</f>
        <v>18.5</v>
      </c>
      <c r="E84" s="528">
        <f>'Curves (Std. conditions)'!E124</f>
        <v>18</v>
      </c>
      <c r="F84" s="528">
        <f>'Curves (Std. conditions)'!F124</f>
        <v>20.3</v>
      </c>
      <c r="G84" s="528">
        <f>'Curves (Std. conditions)'!G124</f>
        <v>21.8</v>
      </c>
      <c r="H84" s="528">
        <f>'Curves (Std. conditions)'!H124</f>
        <v>20.399999999999999</v>
      </c>
      <c r="I84" s="528">
        <f>'Curves (Std. conditions)'!I124</f>
        <v>17.3</v>
      </c>
      <c r="J84" s="529">
        <f>'Curves (Std. conditions)'!J124</f>
        <v>12.9</v>
      </c>
      <c r="K84" s="144"/>
    </row>
    <row r="85" spans="1:14" ht="15" customHeight="1">
      <c r="B85" s="86"/>
      <c r="C85" s="86"/>
      <c r="K85" s="144"/>
    </row>
    <row r="86" spans="1:14" ht="15" customHeight="1">
      <c r="B86" s="86"/>
      <c r="C86" s="86"/>
    </row>
    <row r="87" spans="1:14" ht="15" customHeight="1">
      <c r="B87" s="86"/>
      <c r="C87" s="86"/>
      <c r="M87" s="134"/>
      <c r="N87" s="144"/>
    </row>
    <row r="88" spans="1:14" ht="15" customHeight="1">
      <c r="B88" s="86"/>
      <c r="C88" s="86"/>
    </row>
    <row r="89" spans="1:14" ht="15" customHeight="1">
      <c r="B89" s="86"/>
      <c r="C89" s="86"/>
    </row>
    <row r="90" spans="1:14" ht="15" customHeight="1">
      <c r="B90" s="86"/>
      <c r="C90" s="86"/>
    </row>
    <row r="91" spans="1:14" ht="15" customHeight="1">
      <c r="B91" s="86"/>
      <c r="C91" s="86"/>
    </row>
    <row r="92" spans="1:14" ht="15" customHeight="1">
      <c r="B92" s="86"/>
      <c r="C92" s="86"/>
    </row>
    <row r="93" spans="1:14" ht="15" customHeight="1">
      <c r="B93" s="86"/>
      <c r="C93" s="86"/>
    </row>
    <row r="94" spans="1:14" ht="15" customHeight="1">
      <c r="B94" s="86"/>
      <c r="C94" s="86"/>
    </row>
    <row r="95" spans="1:14" ht="15" customHeight="1">
      <c r="B95" s="86"/>
      <c r="C95" s="86"/>
    </row>
    <row r="96" spans="1:14" ht="15" customHeight="1">
      <c r="B96" s="86"/>
      <c r="C96" s="86"/>
    </row>
    <row r="97" spans="2:3" ht="15" customHeight="1">
      <c r="B97" s="86"/>
      <c r="C97" s="86"/>
    </row>
    <row r="98" spans="2:3" ht="15" customHeight="1">
      <c r="B98" s="86"/>
      <c r="C98" s="86"/>
    </row>
    <row r="99" spans="2:3" ht="15" customHeight="1">
      <c r="B99" s="86"/>
      <c r="C99" s="86"/>
    </row>
    <row r="100" spans="2:3" ht="15" customHeight="1">
      <c r="B100" s="86"/>
      <c r="C100" s="86"/>
    </row>
    <row r="101" spans="2:3" ht="15" customHeight="1">
      <c r="B101" s="86"/>
      <c r="C101" s="86"/>
    </row>
    <row r="102" spans="2:3" ht="15" customHeight="1">
      <c r="B102" s="86"/>
      <c r="C102" s="86"/>
    </row>
    <row r="103" spans="2:3" ht="15" customHeight="1">
      <c r="B103" s="86"/>
      <c r="C103" s="86"/>
    </row>
    <row r="104" spans="2:3" ht="15" customHeight="1">
      <c r="B104" s="86"/>
      <c r="C104" s="86"/>
    </row>
    <row r="105" spans="2:3" ht="15" customHeight="1">
      <c r="B105" s="86"/>
      <c r="C105" s="86"/>
    </row>
    <row r="106" spans="2:3" ht="15" customHeight="1">
      <c r="B106" s="86"/>
      <c r="C106" s="86"/>
    </row>
    <row r="107" spans="2:3" ht="15" customHeight="1">
      <c r="B107" s="86"/>
      <c r="C107" s="86"/>
    </row>
    <row r="108" spans="2:3" ht="15" customHeight="1">
      <c r="B108" s="86"/>
      <c r="C108" s="86"/>
    </row>
    <row r="109" spans="2:3" ht="15" customHeight="1">
      <c r="B109" s="86"/>
      <c r="C109" s="86"/>
    </row>
    <row r="110" spans="2:3" ht="15" customHeight="1">
      <c r="B110" s="86"/>
      <c r="C110" s="86"/>
    </row>
    <row r="111" spans="2:3" ht="15" customHeight="1">
      <c r="B111" s="86"/>
      <c r="C111" s="86"/>
    </row>
    <row r="112" spans="2:3" ht="15" customHeight="1">
      <c r="B112" s="86"/>
      <c r="C112" s="86"/>
    </row>
    <row r="113" spans="2:3" ht="15" customHeight="1">
      <c r="B113" s="86"/>
      <c r="C113" s="86"/>
    </row>
    <row r="114" spans="2:3" ht="15" customHeight="1">
      <c r="B114" s="86"/>
      <c r="C114" s="86"/>
    </row>
    <row r="115" spans="2:3" ht="15" customHeight="1">
      <c r="B115" s="86"/>
      <c r="C115" s="86"/>
    </row>
    <row r="116" spans="2:3" ht="15" customHeight="1">
      <c r="B116" s="86"/>
      <c r="C116" s="86"/>
    </row>
    <row r="117" spans="2:3" ht="15" customHeight="1">
      <c r="B117" s="86"/>
      <c r="C117" s="86"/>
    </row>
    <row r="118" spans="2:3" ht="15" customHeight="1">
      <c r="B118" s="86"/>
      <c r="C118" s="86"/>
    </row>
    <row r="119" spans="2:3" ht="15" customHeight="1">
      <c r="B119" s="86"/>
      <c r="C119" s="86"/>
    </row>
  </sheetData>
  <mergeCells count="5">
    <mergeCell ref="A60:B60"/>
    <mergeCell ref="A1:B1"/>
    <mergeCell ref="C1:L1"/>
    <mergeCell ref="A2:B2"/>
    <mergeCell ref="C2:K2"/>
  </mergeCells>
  <phoneticPr fontId="77" type="noConversion"/>
  <pageMargins left="0.51181102362204722" right="0.35433070866141736" top="0.98425196850393704" bottom="0.98425196850393704" header="0.51181102362204722" footer="0.51181102362204722"/>
  <pageSetup paperSize="9" scale="41" orientation="landscape" r:id="rId1"/>
  <headerFooter alignWithMargins="0">
    <oddHeader>&amp;L&amp;G&amp;R&amp;D</oddHeader>
    <oddFooter>&amp;LCONFIDENTIAL&amp;C&amp;F / &amp;A&amp;RPage &amp;P / &amp;N</oddFooter>
  </headerFooter>
  <drawing r:id="rId2"/>
  <legacyDrawing r:id="rId3"/>
  <legacyDrawingHF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V119"/>
  <sheetViews>
    <sheetView zoomScale="50" zoomScaleNormal="50" workbookViewId="0">
      <selection sqref="A1:B1"/>
    </sheetView>
  </sheetViews>
  <sheetFormatPr defaultColWidth="14.5703125" defaultRowHeight="15" customHeight="1"/>
  <cols>
    <col min="1" max="1" width="17.5703125" style="86" customWidth="1"/>
    <col min="2" max="3" width="14.5703125" style="87"/>
    <col min="4" max="16384" width="14.5703125" style="86"/>
  </cols>
  <sheetData>
    <row r="1" spans="1:20" ht="33" customHeight="1" thickBot="1">
      <c r="A1" s="1420" t="s">
        <v>565</v>
      </c>
      <c r="B1" s="1421"/>
      <c r="C1" s="1411">
        <f>'Fan Selection'!B1</f>
        <v>6666</v>
      </c>
      <c r="D1" s="1412"/>
      <c r="E1" s="1412"/>
      <c r="F1" s="1412"/>
      <c r="G1" s="1412"/>
      <c r="H1" s="1412"/>
      <c r="I1" s="1412"/>
      <c r="J1" s="1412"/>
      <c r="K1" s="1412"/>
      <c r="L1" s="1413"/>
      <c r="M1" s="84"/>
      <c r="N1" s="84"/>
      <c r="O1" s="84"/>
      <c r="P1" s="84"/>
      <c r="Q1" s="85"/>
    </row>
    <row r="2" spans="1:20" ht="33" customHeight="1" thickBot="1">
      <c r="A2" s="1420" t="s">
        <v>564</v>
      </c>
      <c r="B2" s="1421"/>
      <c r="C2" s="1411">
        <f>'Fan Selection'!B2</f>
        <v>0</v>
      </c>
      <c r="D2" s="1412"/>
      <c r="E2" s="1412"/>
      <c r="F2" s="1412"/>
      <c r="G2" s="1412"/>
      <c r="H2" s="1412"/>
      <c r="I2" s="1412"/>
      <c r="J2" s="1412"/>
      <c r="K2" s="1414"/>
      <c r="L2" s="598">
        <f>'Fan Selection'!P2</f>
        <v>0</v>
      </c>
      <c r="M2" s="84"/>
      <c r="N2" s="84"/>
      <c r="O2" s="84"/>
      <c r="P2" s="84"/>
      <c r="Q2" s="85"/>
    </row>
    <row r="3" spans="1:20" ht="15" customHeight="1">
      <c r="K3" s="85"/>
      <c r="L3" s="85"/>
      <c r="M3" s="85"/>
      <c r="N3" s="85"/>
      <c r="O3" s="85"/>
      <c r="P3" s="85"/>
      <c r="Q3" s="85"/>
    </row>
    <row r="4" spans="1:20" ht="15" customHeight="1">
      <c r="C4" s="97"/>
      <c r="K4" s="88"/>
      <c r="L4" s="112"/>
      <c r="M4" s="112"/>
      <c r="N4" s="88"/>
      <c r="O4" s="88"/>
      <c r="P4" s="88"/>
      <c r="R4" s="110"/>
      <c r="S4" s="110"/>
    </row>
    <row r="5" spans="1:20" ht="15" customHeight="1">
      <c r="C5" s="97"/>
      <c r="K5" s="88"/>
      <c r="L5" s="112"/>
      <c r="M5" s="112"/>
      <c r="N5" s="88"/>
      <c r="O5" s="88"/>
      <c r="P5" s="88"/>
      <c r="R5" s="110"/>
      <c r="S5" s="110"/>
    </row>
    <row r="6" spans="1:20" ht="15" customHeight="1" thickBot="1">
      <c r="C6" s="97"/>
    </row>
    <row r="7" spans="1:20" ht="15" customHeight="1" thickBot="1">
      <c r="G7" s="100"/>
      <c r="M7" s="319" t="s">
        <v>0</v>
      </c>
      <c r="N7" s="320" t="s">
        <v>5</v>
      </c>
      <c r="O7" s="320" t="s">
        <v>6</v>
      </c>
      <c r="P7" s="321" t="s">
        <v>166</v>
      </c>
      <c r="Q7" s="322" t="s">
        <v>4</v>
      </c>
      <c r="R7" s="323" t="s">
        <v>111</v>
      </c>
      <c r="S7" s="324"/>
      <c r="T7" s="706" t="s">
        <v>781</v>
      </c>
    </row>
    <row r="8" spans="1:20" ht="15" customHeight="1">
      <c r="G8" s="100"/>
      <c r="M8" s="304">
        <f>C54</f>
        <v>1672.3774886767021</v>
      </c>
      <c r="N8" s="305">
        <f>'Curves (Ops. conditions)'!N8*($M$8/rpm_OP)^2*$C$55/rho_med_OP*$C$50^2</f>
        <v>714.19385389401737</v>
      </c>
      <c r="O8" s="305">
        <f>'Curves (Ops. conditions)'!O8*($M$8/rpm_OP)*$C$50^3</f>
        <v>4774.2507882755517</v>
      </c>
      <c r="P8" s="306">
        <f t="shared" ref="P8:P27" si="0">Q8/(R8*$B$48)</f>
        <v>14.274563137553161</v>
      </c>
      <c r="Q8" s="306">
        <f>N8*$T$51*O8/3600000</f>
        <v>9.2887016025981115</v>
      </c>
      <c r="R8" s="307">
        <f>'Curves (Ops. conditions)'!R8</f>
        <v>0.65071704913768114</v>
      </c>
      <c r="T8" s="703">
        <f t="shared" ref="T8:T17" si="1">0.5*$C$55*(O8/(PI()/4*Inlet_m^2)/3600)^2/$T$51</f>
        <v>4.271658382199611</v>
      </c>
    </row>
    <row r="9" spans="1:20" ht="15" customHeight="1">
      <c r="G9" s="100"/>
      <c r="M9" s="308"/>
      <c r="N9" s="309">
        <f>'Curves (Ops. conditions)'!N9*($M$8/rpm_OP)^2*$C$55/rho_med_OP*$C$50^2</f>
        <v>734.36172744888722</v>
      </c>
      <c r="O9" s="309">
        <f>'Curves (Ops. conditions)'!O9*($M$8/rpm_OP)*$C$50^3</f>
        <v>8230.0242143358737</v>
      </c>
      <c r="P9" s="310">
        <f t="shared" si="0"/>
        <v>19.032750850070883</v>
      </c>
      <c r="Q9" s="310">
        <f t="shared" ref="Q9:Q17" si="2">N9*$T$51*O9/3600000</f>
        <v>16.464358814903989</v>
      </c>
      <c r="R9" s="311">
        <f>'Curves (Ops. conditions)'!R9</f>
        <v>0.86505408201897793</v>
      </c>
      <c r="S9" s="326"/>
      <c r="T9" s="703">
        <f t="shared" si="1"/>
        <v>12.693701533964179</v>
      </c>
    </row>
    <row r="10" spans="1:20" ht="15" customHeight="1">
      <c r="G10" s="100"/>
      <c r="M10" s="308"/>
      <c r="N10" s="309">
        <f>'Curves (Ops. conditions)'!N10*($M$8/rpm_OP)^2*$C$55/rho_med_OP*$C$50^2</f>
        <v>639.64653738523714</v>
      </c>
      <c r="O10" s="309">
        <f>'Curves (Ops. conditions)'!O10*($M$8/rpm_OP)*$C$50^3</f>
        <v>11837.731690067933</v>
      </c>
      <c r="P10" s="310">
        <f t="shared" si="0"/>
        <v>24.232285134372773</v>
      </c>
      <c r="Q10" s="310">
        <f t="shared" si="2"/>
        <v>20.627292164407578</v>
      </c>
      <c r="R10" s="311">
        <f>'Curves (Ops. conditions)'!R10</f>
        <v>0.85123181945182624</v>
      </c>
      <c r="S10" s="326"/>
      <c r="T10" s="703">
        <f t="shared" si="1"/>
        <v>26.261712400271765</v>
      </c>
    </row>
    <row r="11" spans="1:20" ht="15" customHeight="1">
      <c r="G11" s="100"/>
      <c r="M11" s="308"/>
      <c r="N11" s="309">
        <f>'Curves (Ops. conditions)'!N11*($M$8/rpm_OP)^2*$C$55/rho_med_OP*$C$50^2</f>
        <v>508.25571196025805</v>
      </c>
      <c r="O11" s="309">
        <f>'Curves (Ops. conditions)'!O11*($M$8/rpm_OP)*$C$50^3</f>
        <v>14176.890069302517</v>
      </c>
      <c r="P11" s="310">
        <f t="shared" si="0"/>
        <v>27.282769632308192</v>
      </c>
      <c r="Q11" s="310">
        <f t="shared" si="2"/>
        <v>19.628943022759554</v>
      </c>
      <c r="R11" s="311">
        <f>'Curves (Ops. conditions)'!R11</f>
        <v>0.71946299027922023</v>
      </c>
      <c r="S11" s="326"/>
      <c r="T11" s="703">
        <f t="shared" si="1"/>
        <v>37.665869735483099</v>
      </c>
    </row>
    <row r="12" spans="1:20" ht="15" customHeight="1">
      <c r="G12" s="100"/>
      <c r="M12" s="308"/>
      <c r="N12" s="309">
        <f>'Curves (Ops. conditions)'!N12*($M$8/rpm_OP)^2*$C$55/rho_med_OP*$C$50^2</f>
        <v>360.33184869094299</v>
      </c>
      <c r="O12" s="309">
        <f>'Curves (Ops. conditions)'!O12*($M$8/rpm_OP)*$C$50^3</f>
        <v>15938.460009162362</v>
      </c>
      <c r="P12" s="310">
        <f t="shared" si="0"/>
        <v>27.106751763712655</v>
      </c>
      <c r="Q12" s="310">
        <f t="shared" si="2"/>
        <v>15.64525627642402</v>
      </c>
      <c r="R12" s="311">
        <f>'Curves (Ops. conditions)'!R12</f>
        <v>0.57717193165756053</v>
      </c>
      <c r="S12" s="326"/>
      <c r="T12" s="703">
        <f t="shared" si="1"/>
        <v>47.607872128177043</v>
      </c>
    </row>
    <row r="13" spans="1:20" ht="15" customHeight="1">
      <c r="G13" s="100"/>
      <c r="M13" s="308"/>
      <c r="N13" s="309">
        <f>'Curves (Ops. conditions)'!N13*($M$8/rpm_OP)^2*$C$55/rho_med_OP*$C$50^2</f>
        <v>230.2411958350778</v>
      </c>
      <c r="O13" s="309">
        <f>'Curves (Ops. conditions)'!O13*($M$8/rpm_OP)*$C$50^3</f>
        <v>17131.909385187471</v>
      </c>
      <c r="P13" s="310">
        <f t="shared" si="0"/>
        <v>25.874626683543898</v>
      </c>
      <c r="Q13" s="310">
        <f t="shared" si="2"/>
        <v>10.745397243390915</v>
      </c>
      <c r="R13" s="311">
        <f>'Curves (Ops. conditions)'!R13</f>
        <v>0.41528704451704884</v>
      </c>
      <c r="S13" s="326"/>
      <c r="T13" s="703">
        <f t="shared" si="1"/>
        <v>55.004420542951479</v>
      </c>
    </row>
    <row r="14" spans="1:20" ht="15" customHeight="1">
      <c r="G14" s="100"/>
      <c r="M14" s="308"/>
      <c r="N14" s="309">
        <f>'Curves (Ops. conditions)'!N14*($M$8/rpm_OP)^2*$C$55/rho_med_OP*$C$50^2</f>
        <v>154.69124433984632</v>
      </c>
      <c r="O14" s="309">
        <f>'Curves (Ops. conditions)'!O14*($M$8/rpm_OP)*$C$50^3</f>
        <v>17775.426409843509</v>
      </c>
      <c r="P14" s="310">
        <f t="shared" si="0"/>
        <v>25.843614349630329</v>
      </c>
      <c r="Q14" s="310">
        <f t="shared" si="2"/>
        <v>7.4906487927524044</v>
      </c>
      <c r="R14" s="311">
        <f>'Curves (Ops. conditions)'!R14</f>
        <v>0.28984524731772093</v>
      </c>
      <c r="S14" s="326"/>
      <c r="T14" s="703">
        <f t="shared" si="1"/>
        <v>59.214233507890143</v>
      </c>
    </row>
    <row r="15" spans="1:20" ht="15" customHeight="1">
      <c r="G15" s="100"/>
      <c r="M15" s="308"/>
      <c r="N15" s="309">
        <f>'Curves (Ops. conditions)'!N15*($M$8/rpm_OP)^2*$C$55/rho_med_OP*$C$50^2</f>
        <v>154.69124433984632</v>
      </c>
      <c r="O15" s="309">
        <f>'Curves (Ops. conditions)'!O15*($M$8/rpm_OP)*$C$50^3</f>
        <v>17775.426409843509</v>
      </c>
      <c r="P15" s="310">
        <f t="shared" si="0"/>
        <v>25.336876813363066</v>
      </c>
      <c r="Q15" s="310">
        <f t="shared" si="2"/>
        <v>7.4906487927524044</v>
      </c>
      <c r="R15" s="311">
        <f>'Curves (Ops. conditions)'!R15</f>
        <v>0.29564215226407536</v>
      </c>
      <c r="S15" s="326"/>
      <c r="T15" s="703">
        <f t="shared" si="1"/>
        <v>59.214233507890143</v>
      </c>
    </row>
    <row r="16" spans="1:20" ht="15" customHeight="1">
      <c r="G16" s="100"/>
      <c r="M16" s="308"/>
      <c r="N16" s="309">
        <f>'Curves (Ops. conditions)'!N16*($M$8/rpm_OP)^2*$C$55/rho_med_OP*$C$50^2</f>
        <v>154.69124433984632</v>
      </c>
      <c r="O16" s="309">
        <f>'Curves (Ops. conditions)'!O16*($M$8/rpm_OP)*$C$50^3</f>
        <v>17775.426409843509</v>
      </c>
      <c r="P16" s="310">
        <f t="shared" si="0"/>
        <v>25.336876813363066</v>
      </c>
      <c r="Q16" s="310">
        <f t="shared" si="2"/>
        <v>7.4906487927524044</v>
      </c>
      <c r="R16" s="311">
        <f>'Curves (Ops. conditions)'!R16</f>
        <v>0.29564215226407536</v>
      </c>
      <c r="S16" s="326"/>
      <c r="T16" s="703">
        <f t="shared" si="1"/>
        <v>59.214233507890143</v>
      </c>
    </row>
    <row r="17" spans="2:20" ht="15" customHeight="1" thickBot="1">
      <c r="G17" s="100"/>
      <c r="M17" s="308"/>
      <c r="N17" s="309">
        <f>'Curves (Ops. conditions)'!N17*($M$8/rpm_OP)^2*$C$55/rho_med_OP*$C$50^2</f>
        <v>154.69124433984632</v>
      </c>
      <c r="O17" s="309">
        <f>'Curves (Ops. conditions)'!O17*($M$8/rpm_OP)*$C$50^3</f>
        <v>17775.426409843509</v>
      </c>
      <c r="P17" s="310">
        <f t="shared" si="0"/>
        <v>25.336876813363066</v>
      </c>
      <c r="Q17" s="310">
        <f t="shared" si="2"/>
        <v>7.4906487927524044</v>
      </c>
      <c r="R17" s="311">
        <f>'Curves (Ops. conditions)'!R17</f>
        <v>0.29564215226407536</v>
      </c>
      <c r="S17" s="329"/>
      <c r="T17" s="704">
        <f t="shared" si="1"/>
        <v>59.214233507890143</v>
      </c>
    </row>
    <row r="18" spans="2:20" ht="15" customHeight="1">
      <c r="G18" s="100"/>
      <c r="M18" s="312">
        <f>'Curves (Ops. conditions)'!M18</f>
        <v>4000</v>
      </c>
      <c r="N18" s="309">
        <f>N8*(M$18/M$8)^2</f>
        <v>4085.7093182644171</v>
      </c>
      <c r="O18" s="309">
        <f>O8*(M$18/M$8)</f>
        <v>11419.074510631594</v>
      </c>
      <c r="P18" s="310">
        <f t="shared" si="0"/>
        <v>195.31691712408863</v>
      </c>
      <c r="Q18" s="310">
        <f>N18*$T$51*O18/3600000</f>
        <v>127.09604795765598</v>
      </c>
      <c r="R18" s="311">
        <f>R8</f>
        <v>0.65071704913768114</v>
      </c>
    </row>
    <row r="19" spans="2:20" ht="15" customHeight="1">
      <c r="G19" s="100"/>
      <c r="M19" s="313"/>
      <c r="N19" s="309">
        <f t="shared" ref="N19:N27" si="3">N9*(M$18/M$8)^2</f>
        <v>4201.0842524835207</v>
      </c>
      <c r="O19" s="309">
        <f t="shared" ref="O19:O27" si="4">O9*(M$18/M$8)</f>
        <v>19684.60893562499</v>
      </c>
      <c r="P19" s="310">
        <f t="shared" si="0"/>
        <v>260.42255616545157</v>
      </c>
      <c r="Q19" s="310">
        <f t="shared" ref="Q19:Q27" si="5">N19*$T$51*O19/3600000</f>
        <v>225.27959526074045</v>
      </c>
      <c r="R19" s="311">
        <f t="shared" ref="R19:R27" si="6">R9</f>
        <v>0.86505408201897793</v>
      </c>
    </row>
    <row r="20" spans="2:20" ht="15" customHeight="1">
      <c r="C20" s="87">
        <v>1</v>
      </c>
      <c r="G20" s="100"/>
      <c r="M20" s="313"/>
      <c r="N20" s="309">
        <f t="shared" si="3"/>
        <v>3659.2443409324669</v>
      </c>
      <c r="O20" s="309">
        <f t="shared" si="4"/>
        <v>28313.53990404342</v>
      </c>
      <c r="P20" s="310">
        <f t="shared" si="0"/>
        <v>331.56708066716112</v>
      </c>
      <c r="Q20" s="310">
        <f t="shared" si="5"/>
        <v>282.240449346638</v>
      </c>
      <c r="R20" s="311">
        <f t="shared" si="6"/>
        <v>0.85123181945182624</v>
      </c>
    </row>
    <row r="21" spans="2:20" ht="15" customHeight="1">
      <c r="G21" s="100"/>
      <c r="M21" s="313"/>
      <c r="N21" s="309">
        <f t="shared" si="3"/>
        <v>2907.5930674773017</v>
      </c>
      <c r="O21" s="309">
        <f t="shared" si="4"/>
        <v>33908.349437351557</v>
      </c>
      <c r="P21" s="310">
        <f t="shared" si="0"/>
        <v>373.30644754866825</v>
      </c>
      <c r="Q21" s="310">
        <f t="shared" si="5"/>
        <v>268.58017304387772</v>
      </c>
      <c r="R21" s="311">
        <f t="shared" si="6"/>
        <v>0.71946299027922023</v>
      </c>
    </row>
    <row r="22" spans="2:20" ht="15" customHeight="1">
      <c r="G22" s="100"/>
      <c r="M22" s="313"/>
      <c r="N22" s="309">
        <f t="shared" si="3"/>
        <v>2061.3607689803757</v>
      </c>
      <c r="O22" s="309">
        <f t="shared" si="4"/>
        <v>38121.680343291264</v>
      </c>
      <c r="P22" s="310">
        <f t="shared" si="0"/>
        <v>370.89801885480591</v>
      </c>
      <c r="Q22" s="310">
        <f t="shared" si="5"/>
        <v>214.07192599039064</v>
      </c>
      <c r="R22" s="311">
        <f t="shared" si="6"/>
        <v>0.57717193165756053</v>
      </c>
    </row>
    <row r="23" spans="2:20" ht="15" customHeight="1">
      <c r="G23" s="100"/>
      <c r="M23" s="313"/>
      <c r="N23" s="309">
        <f t="shared" si="3"/>
        <v>1317.147430130804</v>
      </c>
      <c r="O23" s="309">
        <f t="shared" si="4"/>
        <v>40976.177929166923</v>
      </c>
      <c r="P23" s="310">
        <f t="shared" si="0"/>
        <v>354.03901799776935</v>
      </c>
      <c r="Q23" s="310">
        <f t="shared" si="5"/>
        <v>147.0278174280119</v>
      </c>
      <c r="R23" s="311">
        <f t="shared" si="6"/>
        <v>0.41528704451704884</v>
      </c>
    </row>
    <row r="24" spans="2:20" ht="15" customHeight="1">
      <c r="G24" s="100"/>
      <c r="M24" s="313"/>
      <c r="N24" s="309">
        <f t="shared" si="3"/>
        <v>884.94664999877875</v>
      </c>
      <c r="O24" s="309">
        <f t="shared" si="4"/>
        <v>42515.344843366969</v>
      </c>
      <c r="P24" s="310">
        <f t="shared" si="0"/>
        <v>353.61468042649284</v>
      </c>
      <c r="Q24" s="310">
        <f t="shared" si="5"/>
        <v>102.49353450339368</v>
      </c>
      <c r="R24" s="311">
        <f t="shared" si="6"/>
        <v>0.28984524731772093</v>
      </c>
    </row>
    <row r="25" spans="2:20" ht="15" customHeight="1">
      <c r="B25" s="100"/>
      <c r="C25" s="100"/>
      <c r="D25" s="100"/>
      <c r="E25" s="100"/>
      <c r="F25" s="100"/>
      <c r="G25" s="100"/>
      <c r="M25" s="313"/>
      <c r="N25" s="309">
        <f t="shared" si="3"/>
        <v>884.94664999877875</v>
      </c>
      <c r="O25" s="309">
        <f t="shared" si="4"/>
        <v>42515.344843366969</v>
      </c>
      <c r="P25" s="310">
        <f t="shared" si="0"/>
        <v>346.68105924165968</v>
      </c>
      <c r="Q25" s="310">
        <f t="shared" si="5"/>
        <v>102.49353450339368</v>
      </c>
      <c r="R25" s="311">
        <f t="shared" si="6"/>
        <v>0.29564215226407536</v>
      </c>
    </row>
    <row r="26" spans="2:20" ht="15" customHeight="1">
      <c r="B26" s="86"/>
      <c r="C26" s="86"/>
      <c r="M26" s="313"/>
      <c r="N26" s="309">
        <f t="shared" si="3"/>
        <v>884.94664999877875</v>
      </c>
      <c r="O26" s="309">
        <f t="shared" si="4"/>
        <v>42515.344843366969</v>
      </c>
      <c r="P26" s="310">
        <f t="shared" si="0"/>
        <v>346.68105924165968</v>
      </c>
      <c r="Q26" s="310">
        <f t="shared" si="5"/>
        <v>102.49353450339368</v>
      </c>
      <c r="R26" s="311">
        <f t="shared" si="6"/>
        <v>0.29564215226407536</v>
      </c>
    </row>
    <row r="27" spans="2:20" ht="15" customHeight="1">
      <c r="B27" s="86"/>
      <c r="C27" s="86"/>
      <c r="M27" s="313"/>
      <c r="N27" s="309">
        <f t="shared" si="3"/>
        <v>884.94664999877875</v>
      </c>
      <c r="O27" s="309">
        <f t="shared" si="4"/>
        <v>42515.344843366969</v>
      </c>
      <c r="P27" s="310">
        <f t="shared" si="0"/>
        <v>346.68105924165968</v>
      </c>
      <c r="Q27" s="310">
        <f t="shared" si="5"/>
        <v>102.49353450339368</v>
      </c>
      <c r="R27" s="311">
        <f t="shared" si="6"/>
        <v>0.29564215226407536</v>
      </c>
    </row>
    <row r="28" spans="2:20" ht="15" customHeight="1">
      <c r="B28" s="86"/>
      <c r="C28" s="86"/>
      <c r="M28" s="312">
        <f>'Curves (Ops. conditions)'!M28</f>
        <v>1000</v>
      </c>
      <c r="N28" s="309">
        <f>N8*(M$28/M$8)^2</f>
        <v>255.35683239152607</v>
      </c>
      <c r="O28" s="309">
        <f>O8*(M$28/M$8)</f>
        <v>2854.7686276578984</v>
      </c>
      <c r="P28" s="310">
        <f>Q28/(R28*$B$48)</f>
        <v>3.0518268300638849</v>
      </c>
      <c r="Q28" s="310">
        <f>N28*$T$51*O28/3600000</f>
        <v>1.9858757493383747</v>
      </c>
      <c r="R28" s="311">
        <f>R8</f>
        <v>0.65071704913768114</v>
      </c>
    </row>
    <row r="29" spans="2:20" ht="15" customHeight="1">
      <c r="B29" s="86"/>
      <c r="C29" s="86"/>
      <c r="K29" s="87"/>
      <c r="L29" s="87"/>
      <c r="M29" s="308"/>
      <c r="N29" s="309">
        <f t="shared" ref="N29:N37" si="7">N9*(M$28/M$8)^2</f>
        <v>262.56776578022004</v>
      </c>
      <c r="O29" s="309">
        <f t="shared" ref="O29:O37" si="8">O9*(M$28/M$8)</f>
        <v>4921.1522339062476</v>
      </c>
      <c r="P29" s="310">
        <f t="shared" ref="P29:P37" si="9">Q29/(R29*$B$48)</f>
        <v>4.0691024400851807</v>
      </c>
      <c r="Q29" s="310">
        <f t="shared" ref="Q29:Q37" si="10">N29*$T$51*O29/3600000</f>
        <v>3.5199936759490695</v>
      </c>
      <c r="R29" s="311">
        <f t="shared" ref="R29:R37" si="11">R9</f>
        <v>0.86505408201897793</v>
      </c>
    </row>
    <row r="30" spans="2:20" ht="15" customHeight="1">
      <c r="B30" s="86"/>
      <c r="C30" s="86"/>
      <c r="K30" s="87"/>
      <c r="L30" s="87"/>
      <c r="M30" s="308"/>
      <c r="N30" s="309">
        <f t="shared" si="7"/>
        <v>228.70277130827918</v>
      </c>
      <c r="O30" s="309">
        <f t="shared" si="8"/>
        <v>7078.3849760108551</v>
      </c>
      <c r="P30" s="310">
        <f t="shared" si="9"/>
        <v>5.1807356354243925</v>
      </c>
      <c r="Q30" s="310">
        <f t="shared" si="10"/>
        <v>4.4100070210412188</v>
      </c>
      <c r="R30" s="311">
        <f t="shared" si="11"/>
        <v>0.85123181945182624</v>
      </c>
      <c r="S30" s="328"/>
    </row>
    <row r="31" spans="2:20" ht="15" customHeight="1">
      <c r="B31" s="86"/>
      <c r="C31" s="86"/>
      <c r="I31" s="87"/>
      <c r="J31" s="87"/>
      <c r="K31" s="87"/>
      <c r="M31" s="308"/>
      <c r="N31" s="309">
        <f t="shared" si="7"/>
        <v>181.72456671733136</v>
      </c>
      <c r="O31" s="309">
        <f t="shared" si="8"/>
        <v>8477.0873593378892</v>
      </c>
      <c r="P31" s="310">
        <f t="shared" si="9"/>
        <v>5.8329132429479413</v>
      </c>
      <c r="Q31" s="310">
        <f t="shared" si="10"/>
        <v>4.1965652038105894</v>
      </c>
      <c r="R31" s="311">
        <f t="shared" si="11"/>
        <v>0.71946299027922023</v>
      </c>
      <c r="S31" s="328"/>
    </row>
    <row r="32" spans="2:20" ht="15" customHeight="1">
      <c r="B32" s="86"/>
      <c r="C32" s="86"/>
      <c r="I32" s="87"/>
      <c r="J32" s="87"/>
      <c r="K32" s="87"/>
      <c r="M32" s="308"/>
      <c r="N32" s="309">
        <f t="shared" si="7"/>
        <v>128.83504806127348</v>
      </c>
      <c r="O32" s="309">
        <f t="shared" si="8"/>
        <v>9530.420085822816</v>
      </c>
      <c r="P32" s="310">
        <f t="shared" si="9"/>
        <v>5.7952815446063424</v>
      </c>
      <c r="Q32" s="310">
        <f t="shared" si="10"/>
        <v>3.3448738435998537</v>
      </c>
      <c r="R32" s="311">
        <f t="shared" si="11"/>
        <v>0.57717193165756053</v>
      </c>
      <c r="S32" s="328"/>
    </row>
    <row r="33" spans="1:19" ht="15" customHeight="1">
      <c r="B33" s="86"/>
      <c r="C33" s="86"/>
      <c r="I33" s="87"/>
      <c r="J33" s="87"/>
      <c r="K33" s="87"/>
      <c r="M33" s="308"/>
      <c r="N33" s="309">
        <f t="shared" si="7"/>
        <v>82.321714383175248</v>
      </c>
      <c r="O33" s="309">
        <f t="shared" si="8"/>
        <v>10244.044482291731</v>
      </c>
      <c r="P33" s="310">
        <f t="shared" si="9"/>
        <v>5.5318596562151461</v>
      </c>
      <c r="Q33" s="310">
        <f t="shared" si="10"/>
        <v>2.2973096473126859</v>
      </c>
      <c r="R33" s="311">
        <f t="shared" si="11"/>
        <v>0.41528704451704884</v>
      </c>
      <c r="S33" s="328"/>
    </row>
    <row r="34" spans="1:19" ht="15" customHeight="1">
      <c r="B34" s="86"/>
      <c r="C34" s="86"/>
      <c r="I34" s="87"/>
      <c r="J34" s="87"/>
      <c r="K34" s="87"/>
      <c r="M34" s="308"/>
      <c r="N34" s="309">
        <f t="shared" si="7"/>
        <v>55.309165624923672</v>
      </c>
      <c r="O34" s="309">
        <f t="shared" si="8"/>
        <v>10628.836210841742</v>
      </c>
      <c r="P34" s="310">
        <f t="shared" si="9"/>
        <v>5.5252293816639506</v>
      </c>
      <c r="Q34" s="310">
        <f t="shared" si="10"/>
        <v>1.6014614766155262</v>
      </c>
      <c r="R34" s="311">
        <f t="shared" si="11"/>
        <v>0.28984524731772093</v>
      </c>
      <c r="S34" s="328"/>
    </row>
    <row r="35" spans="1:19" ht="15" customHeight="1">
      <c r="B35" s="86"/>
      <c r="C35" s="86"/>
      <c r="I35" s="87"/>
      <c r="J35" s="87"/>
      <c r="K35" s="87"/>
      <c r="M35" s="314"/>
      <c r="N35" s="309">
        <f t="shared" si="7"/>
        <v>55.309165624923672</v>
      </c>
      <c r="O35" s="309">
        <f t="shared" si="8"/>
        <v>10628.836210841742</v>
      </c>
      <c r="P35" s="310">
        <f t="shared" si="9"/>
        <v>5.4168915506509325</v>
      </c>
      <c r="Q35" s="310">
        <f t="shared" si="10"/>
        <v>1.6014614766155262</v>
      </c>
      <c r="R35" s="311">
        <f t="shared" si="11"/>
        <v>0.29564215226407536</v>
      </c>
      <c r="S35" s="328"/>
    </row>
    <row r="36" spans="1:19" ht="15" customHeight="1">
      <c r="B36" s="86"/>
      <c r="C36" s="86"/>
      <c r="I36" s="87"/>
      <c r="J36" s="87"/>
      <c r="K36" s="87"/>
      <c r="M36" s="314"/>
      <c r="N36" s="309">
        <f t="shared" si="7"/>
        <v>55.309165624923672</v>
      </c>
      <c r="O36" s="309">
        <f t="shared" si="8"/>
        <v>10628.836210841742</v>
      </c>
      <c r="P36" s="310">
        <f t="shared" si="9"/>
        <v>5.4168915506509325</v>
      </c>
      <c r="Q36" s="310">
        <f t="shared" si="10"/>
        <v>1.6014614766155262</v>
      </c>
      <c r="R36" s="311">
        <f t="shared" si="11"/>
        <v>0.29564215226407536</v>
      </c>
      <c r="S36" s="328"/>
    </row>
    <row r="37" spans="1:19" ht="15" customHeight="1" thickBot="1">
      <c r="B37" s="86"/>
      <c r="C37" s="86"/>
      <c r="I37" s="87"/>
      <c r="J37" s="87"/>
      <c r="K37" s="87"/>
      <c r="M37" s="315"/>
      <c r="N37" s="316">
        <f t="shared" si="7"/>
        <v>55.309165624923672</v>
      </c>
      <c r="O37" s="316">
        <f t="shared" si="8"/>
        <v>10628.836210841742</v>
      </c>
      <c r="P37" s="317">
        <f t="shared" si="9"/>
        <v>5.4168915506509325</v>
      </c>
      <c r="Q37" s="317">
        <f t="shared" si="10"/>
        <v>1.6014614766155262</v>
      </c>
      <c r="R37" s="318">
        <f t="shared" si="11"/>
        <v>0.29564215226407536</v>
      </c>
      <c r="S37" s="328"/>
    </row>
    <row r="38" spans="1:19" ht="15" customHeight="1">
      <c r="B38" s="86"/>
      <c r="C38" s="86"/>
      <c r="J38" s="87"/>
      <c r="K38" s="87"/>
      <c r="L38" s="87"/>
      <c r="N38" s="328"/>
      <c r="O38" s="218"/>
      <c r="P38" s="218"/>
      <c r="Q38" s="218"/>
      <c r="R38" s="218"/>
    </row>
    <row r="39" spans="1:19" ht="15" customHeight="1">
      <c r="B39" s="86"/>
      <c r="C39" s="86"/>
      <c r="J39" s="87"/>
      <c r="N39" s="328"/>
      <c r="O39" s="328"/>
      <c r="P39" s="328"/>
      <c r="Q39" s="328"/>
      <c r="R39" s="328"/>
    </row>
    <row r="40" spans="1:19" ht="15" customHeight="1">
      <c r="B40" s="86"/>
      <c r="C40" s="86"/>
      <c r="N40" s="328"/>
      <c r="O40" s="328"/>
      <c r="P40" s="328"/>
      <c r="Q40" s="328"/>
      <c r="R40" s="328"/>
    </row>
    <row r="41" spans="1:19" ht="15" customHeight="1">
      <c r="B41" s="86"/>
      <c r="C41" s="86"/>
      <c r="N41" s="328"/>
      <c r="O41" s="328"/>
      <c r="P41" s="328"/>
      <c r="Q41" s="328"/>
      <c r="R41" s="328"/>
    </row>
    <row r="42" spans="1:19" ht="15" customHeight="1">
      <c r="B42" s="86"/>
      <c r="C42" s="86"/>
      <c r="N42" s="328"/>
      <c r="O42" s="328"/>
      <c r="P42" s="328"/>
      <c r="Q42" s="328"/>
      <c r="R42" s="328"/>
    </row>
    <row r="43" spans="1:19" ht="15" customHeight="1">
      <c r="B43" s="86"/>
      <c r="C43" s="86"/>
      <c r="N43" s="328"/>
      <c r="O43" s="328"/>
      <c r="P43" s="328"/>
      <c r="Q43" s="328"/>
      <c r="R43" s="328"/>
    </row>
    <row r="44" spans="1:19" ht="15" customHeight="1">
      <c r="B44" s="86"/>
      <c r="C44" s="86"/>
      <c r="N44" s="328"/>
      <c r="O44" s="328"/>
      <c r="P44" s="328"/>
      <c r="Q44" s="328"/>
      <c r="R44" s="328"/>
    </row>
    <row r="45" spans="1:19" ht="15" customHeight="1">
      <c r="B45" s="86"/>
      <c r="C45" s="86"/>
      <c r="N45" s="328"/>
      <c r="O45" s="328"/>
      <c r="P45" s="328"/>
      <c r="Q45" s="328"/>
      <c r="R45" s="328"/>
    </row>
    <row r="46" spans="1:19" ht="15" customHeight="1">
      <c r="B46" s="86"/>
      <c r="C46" s="86"/>
    </row>
    <row r="47" spans="1:19" ht="15" customHeight="1">
      <c r="A47" s="88" t="s">
        <v>2</v>
      </c>
      <c r="B47" s="89" t="str">
        <f>Fan_name</f>
        <v>XOE 166-45G REG</v>
      </c>
      <c r="C47" s="117"/>
      <c r="D47" s="132" t="s">
        <v>119</v>
      </c>
      <c r="E47" s="335">
        <f>Inlet_m</f>
        <v>0.45</v>
      </c>
      <c r="F47" s="86" t="s">
        <v>118</v>
      </c>
    </row>
    <row r="48" spans="1:19" ht="15" customHeight="1">
      <c r="A48" s="90" t="s">
        <v>98</v>
      </c>
      <c r="B48" s="91">
        <f>'Data for BOSS'!$B$8</f>
        <v>1</v>
      </c>
    </row>
    <row r="49" spans="1:22" ht="15" customHeight="1">
      <c r="E49" s="92"/>
      <c r="F49" s="92"/>
      <c r="G49" s="92"/>
      <c r="H49" s="92"/>
    </row>
    <row r="50" spans="1:22" ht="15" customHeight="1">
      <c r="A50" s="86" t="s">
        <v>99</v>
      </c>
      <c r="B50" s="87" t="s">
        <v>100</v>
      </c>
      <c r="C50" s="332">
        <v>1</v>
      </c>
      <c r="D50" s="86" t="s">
        <v>101</v>
      </c>
      <c r="P50" s="332">
        <v>1</v>
      </c>
    </row>
    <row r="51" spans="1:22" ht="15" customHeight="1">
      <c r="B51" s="87" t="s">
        <v>102</v>
      </c>
      <c r="C51" s="330">
        <f>P_OP_tot</f>
        <v>713.77587437544605</v>
      </c>
      <c r="D51" s="86" t="s">
        <v>101</v>
      </c>
      <c r="E51" s="110" t="s">
        <v>116</v>
      </c>
      <c r="F51" s="111">
        <f>$C$51-I51</f>
        <v>695.03516367298926</v>
      </c>
      <c r="G51" s="110" t="s">
        <v>101</v>
      </c>
      <c r="H51" s="110" t="s">
        <v>124</v>
      </c>
      <c r="I51" s="111">
        <f>0.5*$C$55*($C$53/(PI()*$E$47^2/4)/3600)^2/g</f>
        <v>18.740710702456806</v>
      </c>
      <c r="J51" s="110" t="s">
        <v>101</v>
      </c>
      <c r="P51" s="330">
        <f>P_OP_tot</f>
        <v>713.77587437544605</v>
      </c>
      <c r="S51" s="132" t="s">
        <v>990</v>
      </c>
      <c r="T51" s="86">
        <f>g</f>
        <v>9.8070000000000004</v>
      </c>
      <c r="U51" s="86" t="s">
        <v>700</v>
      </c>
    </row>
    <row r="52" spans="1:22" ht="15" customHeight="1">
      <c r="B52" s="87" t="s">
        <v>106</v>
      </c>
      <c r="C52" s="330">
        <f>T_OP</f>
        <v>20</v>
      </c>
      <c r="D52" s="86" t="s">
        <v>21</v>
      </c>
      <c r="P52" s="330">
        <f>T_OP</f>
        <v>20</v>
      </c>
    </row>
    <row r="53" spans="1:22" ht="15" customHeight="1">
      <c r="B53" s="87" t="s">
        <v>23</v>
      </c>
      <c r="C53" s="330">
        <f>Q</f>
        <v>10000</v>
      </c>
      <c r="D53" s="86" t="s">
        <v>103</v>
      </c>
      <c r="P53" s="330">
        <f>Q</f>
        <v>10000</v>
      </c>
    </row>
    <row r="54" spans="1:22" ht="15" customHeight="1">
      <c r="B54" s="87" t="s">
        <v>104</v>
      </c>
      <c r="C54" s="330">
        <f>rpm_OP</f>
        <v>1672.3774886767021</v>
      </c>
      <c r="D54" s="86" t="s">
        <v>105</v>
      </c>
      <c r="E54" s="92" t="s">
        <v>107</v>
      </c>
      <c r="F54" s="94">
        <f>MAX(O8:O37)</f>
        <v>42515.344843366969</v>
      </c>
      <c r="G54" s="94">
        <f>MAX(N8:N37)</f>
        <v>4201.0842524835207</v>
      </c>
      <c r="H54" s="92">
        <v>0</v>
      </c>
      <c r="P54" s="330">
        <f>rpm_OP</f>
        <v>1672.3774886767021</v>
      </c>
    </row>
    <row r="55" spans="1:22" ht="15" customHeight="1">
      <c r="B55" s="87" t="s">
        <v>108</v>
      </c>
      <c r="C55" s="331">
        <f>rho_med_OP</f>
        <v>1.2050000000000001</v>
      </c>
      <c r="D55" s="86" t="s">
        <v>30</v>
      </c>
      <c r="F55" s="87"/>
      <c r="G55" s="87"/>
      <c r="P55" s="331">
        <f>rho_med_OP</f>
        <v>1.2050000000000001</v>
      </c>
    </row>
    <row r="56" spans="1:22" ht="15" customHeight="1">
      <c r="B56" s="87" t="s">
        <v>109</v>
      </c>
      <c r="C56" s="96">
        <f>Eff_OP</f>
        <v>0.85827274783057184</v>
      </c>
    </row>
    <row r="57" spans="1:22" ht="15" customHeight="1">
      <c r="B57" s="87" t="s">
        <v>166</v>
      </c>
      <c r="C57" s="97">
        <f>Shaft_Power_OP</f>
        <v>22.655320809839917</v>
      </c>
      <c r="D57" s="86" t="s">
        <v>110</v>
      </c>
    </row>
    <row r="58" spans="1:22" ht="15" customHeight="1">
      <c r="B58" s="86"/>
      <c r="C58" s="86"/>
    </row>
    <row r="59" spans="1:22" ht="15" customHeight="1" thickBot="1">
      <c r="B59" s="86"/>
      <c r="C59" s="86"/>
    </row>
    <row r="60" spans="1:22" ht="15" customHeight="1">
      <c r="A60" s="1422" t="s">
        <v>245</v>
      </c>
      <c r="B60" s="1423"/>
      <c r="C60" s="455"/>
      <c r="D60" s="455"/>
      <c r="E60" s="456"/>
      <c r="F60" s="457"/>
      <c r="G60" s="456"/>
      <c r="H60" s="456"/>
      <c r="I60" s="456"/>
      <c r="J60" s="218"/>
      <c r="K60" s="219"/>
      <c r="U60" s="328"/>
      <c r="V60" s="328"/>
    </row>
    <row r="61" spans="1:22" ht="15" customHeight="1">
      <c r="A61" s="458" t="s">
        <v>183</v>
      </c>
      <c r="B61" s="459"/>
      <c r="C61" s="459"/>
      <c r="D61" s="459">
        <v>63</v>
      </c>
      <c r="E61" s="459">
        <v>125</v>
      </c>
      <c r="F61" s="459">
        <v>250</v>
      </c>
      <c r="G61" s="460">
        <v>500</v>
      </c>
      <c r="H61" s="459">
        <v>1000</v>
      </c>
      <c r="I61" s="459">
        <v>2000</v>
      </c>
      <c r="J61" s="459">
        <v>4000</v>
      </c>
      <c r="K61" s="461" t="s">
        <v>184</v>
      </c>
      <c r="U61" s="328"/>
      <c r="V61" s="328"/>
    </row>
    <row r="62" spans="1:22" ht="15" customHeight="1">
      <c r="A62" s="462" t="s">
        <v>195</v>
      </c>
      <c r="B62" s="463"/>
      <c r="C62" s="464"/>
      <c r="D62" s="464">
        <f t="shared" ref="D62:J62" si="12">SUM(D74:D78)</f>
        <v>99.838935792612261</v>
      </c>
      <c r="E62" s="464">
        <f t="shared" si="12"/>
        <v>99.338935792612261</v>
      </c>
      <c r="F62" s="464">
        <f t="shared" si="12"/>
        <v>101.63893579261227</v>
      </c>
      <c r="G62" s="464">
        <f t="shared" si="12"/>
        <v>108.13893579261227</v>
      </c>
      <c r="H62" s="464">
        <f t="shared" si="12"/>
        <v>101.73893579261227</v>
      </c>
      <c r="I62" s="464">
        <f t="shared" si="12"/>
        <v>98.638935792612273</v>
      </c>
      <c r="J62" s="464">
        <f t="shared" si="12"/>
        <v>94.238935792612267</v>
      </c>
      <c r="K62" s="465">
        <f t="array" ref="K62">10*LOG10(SUM(IF(ISNUMBER(D62:J62),10^(D62:J62/10))))</f>
        <v>110.89351270997975</v>
      </c>
      <c r="U62" s="328"/>
      <c r="V62" s="328"/>
    </row>
    <row r="63" spans="1:22" ht="15" customHeight="1">
      <c r="A63" s="466" t="s">
        <v>193</v>
      </c>
      <c r="B63" s="463"/>
      <c r="C63" s="463"/>
      <c r="D63" s="463">
        <f>D62+D80</f>
        <v>73.638935792612259</v>
      </c>
      <c r="E63" s="463">
        <f t="shared" ref="E63:J63" si="13">E62+E80</f>
        <v>83.238935792612267</v>
      </c>
      <c r="F63" s="463">
        <f t="shared" si="13"/>
        <v>93.038935792612278</v>
      </c>
      <c r="G63" s="463">
        <f t="shared" si="13"/>
        <v>104.93893579261227</v>
      </c>
      <c r="H63" s="463">
        <f t="shared" si="13"/>
        <v>101.73893579261227</v>
      </c>
      <c r="I63" s="463">
        <f t="shared" si="13"/>
        <v>99.838935792612276</v>
      </c>
      <c r="J63" s="463">
        <f t="shared" si="13"/>
        <v>95.238935792612267</v>
      </c>
      <c r="K63" s="518">
        <f t="array" ref="K63">10*LOG10(SUM(IF(ISNUMBER(D63:J63),10^(D63:J63/10))))</f>
        <v>107.87671251217787</v>
      </c>
      <c r="U63" s="502"/>
      <c r="V63" s="328"/>
    </row>
    <row r="64" spans="1:22" ht="15" customHeight="1" thickBot="1">
      <c r="A64" s="467" t="s">
        <v>244</v>
      </c>
      <c r="B64" s="468"/>
      <c r="C64" s="469">
        <f>'Curves (Std. conditions)'!C65</f>
        <v>-8.3103618950739975</v>
      </c>
      <c r="D64" s="469">
        <f>D63+$C$64</f>
        <v>65.328573897538263</v>
      </c>
      <c r="E64" s="469">
        <f t="shared" ref="E64:J64" si="14">E63+$C$64</f>
        <v>74.928573897538271</v>
      </c>
      <c r="F64" s="469">
        <f t="shared" si="14"/>
        <v>84.728573897538283</v>
      </c>
      <c r="G64" s="469">
        <f t="shared" si="14"/>
        <v>96.628573897538274</v>
      </c>
      <c r="H64" s="469">
        <f t="shared" si="14"/>
        <v>93.428573897538271</v>
      </c>
      <c r="I64" s="469">
        <f t="shared" si="14"/>
        <v>91.52857389753828</v>
      </c>
      <c r="J64" s="469">
        <f t="shared" si="14"/>
        <v>86.928573897538271</v>
      </c>
      <c r="K64" s="470">
        <f t="array" ref="K64">10*LOG10(SUM(IF(ISNUMBER(D64:J64),10^(D64:J64/10))))</f>
        <v>99.566350617103879</v>
      </c>
      <c r="S64" s="328"/>
      <c r="T64" s="328"/>
      <c r="U64" s="328"/>
      <c r="V64" s="328"/>
    </row>
    <row r="65" spans="1:22" ht="15" customHeight="1" thickTop="1">
      <c r="A65" s="466"/>
      <c r="B65" s="519" t="s">
        <v>561</v>
      </c>
      <c r="C65" s="463">
        <f>Radiation_F</f>
        <v>1</v>
      </c>
      <c r="D65" s="463"/>
      <c r="E65" s="463"/>
      <c r="F65" s="463"/>
      <c r="G65" s="463"/>
      <c r="H65" s="463"/>
      <c r="I65" s="463"/>
      <c r="J65" s="463"/>
      <c r="K65" s="471"/>
      <c r="S65" s="498"/>
      <c r="T65" s="498"/>
      <c r="U65" s="328"/>
      <c r="V65" s="328"/>
    </row>
    <row r="66" spans="1:22" ht="15" customHeight="1" thickBot="1">
      <c r="A66" s="472" t="s">
        <v>194</v>
      </c>
      <c r="B66" s="473"/>
      <c r="C66" s="474">
        <f>'Curves (Std. conditions)'!C66</f>
        <v>-13.375814485106119</v>
      </c>
      <c r="D66" s="474">
        <f>D63+$C$66-D81</f>
        <v>47.76312130750614</v>
      </c>
      <c r="E66" s="474">
        <f t="shared" ref="E66:J66" si="15">E63+$C$66-E81</f>
        <v>62.363121307506148</v>
      </c>
      <c r="F66" s="474">
        <f t="shared" si="15"/>
        <v>77.163121307506159</v>
      </c>
      <c r="G66" s="474">
        <f t="shared" si="15"/>
        <v>89.063121307506151</v>
      </c>
      <c r="H66" s="474">
        <f t="shared" si="15"/>
        <v>80.863121307506148</v>
      </c>
      <c r="I66" s="474">
        <f t="shared" si="15"/>
        <v>78.963121307506157</v>
      </c>
      <c r="J66" s="474">
        <f t="shared" si="15"/>
        <v>74.363121307506148</v>
      </c>
      <c r="K66" s="475">
        <f t="array" ref="K66">10*LOG10(SUM(IF(ISNUMBER(D66:J66),10^(D66:J66/10))))</f>
        <v>90.365628215651611</v>
      </c>
      <c r="S66" s="328"/>
      <c r="T66" s="328"/>
      <c r="U66" s="328"/>
      <c r="V66" s="328"/>
    </row>
    <row r="67" spans="1:22" ht="15" customHeight="1">
      <c r="B67" s="86"/>
      <c r="C67" s="86"/>
      <c r="S67" s="501"/>
      <c r="T67" s="501"/>
    </row>
    <row r="68" spans="1:22" ht="15" customHeight="1">
      <c r="B68" s="86"/>
      <c r="C68" s="86"/>
      <c r="S68" s="328"/>
      <c r="T68" s="328"/>
    </row>
    <row r="69" spans="1:22" ht="15" customHeight="1">
      <c r="B69" s="86"/>
      <c r="C69" s="86"/>
      <c r="S69" s="501"/>
      <c r="T69" s="501"/>
    </row>
    <row r="70" spans="1:22" ht="15" customHeight="1">
      <c r="B70" s="86"/>
      <c r="C70" s="86"/>
      <c r="S70" s="328"/>
      <c r="T70" s="328"/>
    </row>
    <row r="71" spans="1:22" ht="15" customHeight="1">
      <c r="A71" s="145" t="str">
        <f>'Fan Selection'!A80&amp;" - CURVES"</f>
        <v>FS File 6666, , , GT 78-33, Steel, Steel -  - CURVES</v>
      </c>
      <c r="B71" s="145"/>
      <c r="C71" s="145"/>
      <c r="D71" s="145"/>
      <c r="E71" s="145"/>
      <c r="F71" s="145"/>
      <c r="G71" s="145"/>
      <c r="H71" s="145"/>
      <c r="I71" s="145"/>
      <c r="J71" s="145"/>
      <c r="K71" s="240"/>
      <c r="L71" s="239"/>
    </row>
    <row r="72" spans="1:22" ht="15" customHeight="1">
      <c r="B72" s="86"/>
      <c r="C72" s="86"/>
      <c r="M72" s="328"/>
      <c r="N72" s="328"/>
      <c r="O72" s="328"/>
      <c r="P72" s="328"/>
      <c r="Q72" s="328"/>
      <c r="R72" s="328"/>
    </row>
    <row r="73" spans="1:22" ht="15" customHeight="1">
      <c r="B73" s="86"/>
      <c r="C73" s="86"/>
      <c r="M73" s="497"/>
      <c r="N73" s="498"/>
      <c r="O73" s="498"/>
      <c r="P73" s="498"/>
      <c r="Q73" s="499"/>
      <c r="R73" s="498"/>
    </row>
    <row r="74" spans="1:22" ht="15" customHeight="1">
      <c r="A74" s="477" t="s">
        <v>185</v>
      </c>
      <c r="B74" s="478"/>
      <c r="C74" s="479">
        <f>'Curves (Std. conditions)'!C114</f>
        <v>3</v>
      </c>
      <c r="D74" s="464">
        <f>INDEX('Curves (Std. conditions)'!$A$122:$J$124,$C$74,COLUMN(D1))</f>
        <v>18.5</v>
      </c>
      <c r="E74" s="464">
        <f>INDEX('Curves (Std. conditions)'!$A$122:$J$124,$C$74,COLUMN(E1))</f>
        <v>18</v>
      </c>
      <c r="F74" s="464">
        <f>INDEX('Curves (Std. conditions)'!$A$122:$J$124,$C$74,COLUMN(F1))</f>
        <v>20.3</v>
      </c>
      <c r="G74" s="464">
        <f>INDEX('Curves (Std. conditions)'!$A$122:$J$124,$C$74,COLUMN(G1))</f>
        <v>21.8</v>
      </c>
      <c r="H74" s="464">
        <f>INDEX('Curves (Std. conditions)'!$A$122:$J$124,$C$74,COLUMN(H1))</f>
        <v>20.399999999999999</v>
      </c>
      <c r="I74" s="480">
        <f>INDEX('Curves (Std. conditions)'!$A$122:$J$124,$C$74,COLUMN(I1))</f>
        <v>17.3</v>
      </c>
      <c r="J74" s="478">
        <f>INDEX('Curves (Std. conditions)'!$A$122:$J$124,$C$74,COLUMN(J1))</f>
        <v>12.9</v>
      </c>
      <c r="M74" s="328"/>
      <c r="N74" s="328"/>
      <c r="O74" s="328"/>
      <c r="P74" s="328"/>
      <c r="Q74" s="328"/>
      <c r="R74" s="328"/>
    </row>
    <row r="75" spans="1:22" ht="15" customHeight="1">
      <c r="A75" s="481" t="s">
        <v>186</v>
      </c>
      <c r="B75" s="482"/>
      <c r="C75" s="483">
        <f>rpm_OP*blades/60</f>
        <v>445.96733031378722</v>
      </c>
      <c r="D75" s="463">
        <f>IF($C$75&lt;=(D61/2+E61/2),5,0)</f>
        <v>0</v>
      </c>
      <c r="E75" s="463">
        <f>IF(AND($C$75&gt;(D61/2+E61/2),$C$75&lt;=(F61/2+E61/2)),5,0)</f>
        <v>0</v>
      </c>
      <c r="F75" s="463">
        <f>IF(AND($C$75&gt;(E61/2+F61/2),$C$75&lt;=(G61/2+F61/2)),5,0)</f>
        <v>0</v>
      </c>
      <c r="G75" s="463">
        <f>IF(AND($C$75&gt;(F61/2+G61/2),$C$75&lt;=(H61/2+G61/2)),5,0)</f>
        <v>5</v>
      </c>
      <c r="H75" s="463">
        <f>IF(AND($C$75&gt;(G61/2+H61/2),$C$75&lt;=(I61/2+H61/2)),5,0)</f>
        <v>0</v>
      </c>
      <c r="I75" s="463">
        <f>IF(AND($C$75&gt;(H61/2+I61/2),$C$75&lt;=(J61/2+I61/2)),5,0)</f>
        <v>0</v>
      </c>
      <c r="J75" s="482">
        <f>IF($C$75&gt;(I61/2+J61/2),5,0)</f>
        <v>0</v>
      </c>
      <c r="K75" s="134"/>
      <c r="L75" s="134"/>
      <c r="M75" s="500"/>
      <c r="N75" s="501"/>
      <c r="O75" s="501"/>
      <c r="P75" s="501"/>
      <c r="Q75" s="501"/>
      <c r="R75" s="501"/>
    </row>
    <row r="76" spans="1:22" ht="15" customHeight="1">
      <c r="A76" s="481" t="s">
        <v>187</v>
      </c>
      <c r="B76" s="482"/>
      <c r="C76" s="483"/>
      <c r="D76" s="463">
        <v>0</v>
      </c>
      <c r="E76" s="463">
        <v>0</v>
      </c>
      <c r="F76" s="463">
        <v>0</v>
      </c>
      <c r="G76" s="463">
        <v>0</v>
      </c>
      <c r="H76" s="463">
        <v>0</v>
      </c>
      <c r="I76" s="463">
        <v>0</v>
      </c>
      <c r="J76" s="482">
        <v>0</v>
      </c>
      <c r="K76" s="144"/>
      <c r="M76" s="328"/>
      <c r="N76" s="328"/>
      <c r="O76" s="328"/>
      <c r="P76" s="328"/>
      <c r="Q76" s="328"/>
      <c r="R76" s="328"/>
    </row>
    <row r="77" spans="1:22" ht="15" customHeight="1">
      <c r="A77" s="481" t="s">
        <v>188</v>
      </c>
      <c r="B77" s="482"/>
      <c r="C77" s="483"/>
      <c r="D77" s="484">
        <f>MAX(0,10*LOG($C$53/3600))</f>
        <v>4.4369749923271273</v>
      </c>
      <c r="E77" s="484">
        <f t="shared" ref="E77:J77" si="16">MAX(0,10*LOG($C$53/3600))</f>
        <v>4.4369749923271273</v>
      </c>
      <c r="F77" s="484">
        <f t="shared" si="16"/>
        <v>4.4369749923271273</v>
      </c>
      <c r="G77" s="484">
        <f t="shared" si="16"/>
        <v>4.4369749923271273</v>
      </c>
      <c r="H77" s="484">
        <f t="shared" si="16"/>
        <v>4.4369749923271273</v>
      </c>
      <c r="I77" s="484">
        <f t="shared" si="16"/>
        <v>4.4369749923271273</v>
      </c>
      <c r="J77" s="485">
        <f t="shared" si="16"/>
        <v>4.4369749923271273</v>
      </c>
      <c r="K77" s="144"/>
      <c r="M77" s="501"/>
      <c r="N77" s="501"/>
      <c r="O77" s="501"/>
      <c r="P77" s="501"/>
      <c r="Q77" s="501"/>
      <c r="R77" s="501"/>
    </row>
    <row r="78" spans="1:22" ht="15" customHeight="1">
      <c r="A78" s="486" t="s">
        <v>189</v>
      </c>
      <c r="B78" s="487"/>
      <c r="C78" s="488"/>
      <c r="D78" s="489">
        <f t="shared" ref="D78:J78" si="17">MAX(0,20*LOG($C$51*g))</f>
        <v>76.901960800285138</v>
      </c>
      <c r="E78" s="489">
        <f t="shared" si="17"/>
        <v>76.901960800285138</v>
      </c>
      <c r="F78" s="489">
        <f t="shared" si="17"/>
        <v>76.901960800285138</v>
      </c>
      <c r="G78" s="489">
        <f t="shared" si="17"/>
        <v>76.901960800285138</v>
      </c>
      <c r="H78" s="489">
        <f t="shared" si="17"/>
        <v>76.901960800285138</v>
      </c>
      <c r="I78" s="489">
        <f t="shared" si="17"/>
        <v>76.901960800285138</v>
      </c>
      <c r="J78" s="490">
        <f t="shared" si="17"/>
        <v>76.901960800285138</v>
      </c>
      <c r="K78" s="144"/>
      <c r="M78" s="328"/>
      <c r="N78" s="328"/>
      <c r="O78" s="328"/>
      <c r="P78" s="328"/>
      <c r="Q78" s="328"/>
      <c r="R78" s="328"/>
    </row>
    <row r="79" spans="1:22" ht="15" customHeight="1">
      <c r="B79" s="86"/>
      <c r="C79" s="86"/>
      <c r="K79" s="144"/>
    </row>
    <row r="80" spans="1:22" ht="15" customHeight="1">
      <c r="A80" s="494" t="s">
        <v>364</v>
      </c>
      <c r="B80" s="493"/>
      <c r="C80" s="493"/>
      <c r="D80" s="495">
        <f>'Curves (Std. conditions)'!D120</f>
        <v>-26.2</v>
      </c>
      <c r="E80" s="495">
        <f>'Curves (Std. conditions)'!E120</f>
        <v>-16.100000000000001</v>
      </c>
      <c r="F80" s="495">
        <f>'Curves (Std. conditions)'!F120</f>
        <v>-8.6</v>
      </c>
      <c r="G80" s="495">
        <f>'Curves (Std. conditions)'!G120</f>
        <v>-3.2</v>
      </c>
      <c r="H80" s="495">
        <f>'Curves (Std. conditions)'!H120</f>
        <v>0</v>
      </c>
      <c r="I80" s="495">
        <f>'Curves (Std. conditions)'!I120</f>
        <v>1.2</v>
      </c>
      <c r="J80" s="496">
        <f>'Curves (Std. conditions)'!J120</f>
        <v>1</v>
      </c>
      <c r="K80" s="144"/>
    </row>
    <row r="81" spans="1:14" ht="15" customHeight="1">
      <c r="A81" s="494" t="s">
        <v>365</v>
      </c>
      <c r="B81" s="493"/>
      <c r="C81" s="493"/>
      <c r="D81" s="495">
        <f>'Curves (Std. conditions)'!D121</f>
        <v>12.5</v>
      </c>
      <c r="E81" s="495">
        <f>'Curves (Std. conditions)'!E121</f>
        <v>7.5</v>
      </c>
      <c r="F81" s="495">
        <f>'Curves (Std. conditions)'!F121</f>
        <v>2.5</v>
      </c>
      <c r="G81" s="495">
        <f>'Curves (Std. conditions)'!G121</f>
        <v>2.5</v>
      </c>
      <c r="H81" s="495">
        <f>'Curves (Std. conditions)'!H121</f>
        <v>7.5</v>
      </c>
      <c r="I81" s="495">
        <f>'Curves (Std. conditions)'!I121</f>
        <v>7.5</v>
      </c>
      <c r="J81" s="496">
        <f>'Curves (Std. conditions)'!J121</f>
        <v>7.5</v>
      </c>
      <c r="K81" s="144"/>
    </row>
    <row r="82" spans="1:14" ht="15" customHeight="1">
      <c r="A82" s="477" t="s">
        <v>190</v>
      </c>
      <c r="B82" s="478"/>
      <c r="C82" s="479">
        <v>1</v>
      </c>
      <c r="D82" s="521">
        <f>'Curves (Std. conditions)'!D122</f>
        <v>27</v>
      </c>
      <c r="E82" s="522">
        <f>'Curves (Std. conditions)'!E122</f>
        <v>26</v>
      </c>
      <c r="F82" s="522">
        <f>'Curves (Std. conditions)'!F122</f>
        <v>23</v>
      </c>
      <c r="G82" s="522">
        <f>'Curves (Std. conditions)'!G122</f>
        <v>21</v>
      </c>
      <c r="H82" s="522">
        <f>'Curves (Std. conditions)'!H122</f>
        <v>18</v>
      </c>
      <c r="I82" s="522">
        <f>'Curves (Std. conditions)'!I122</f>
        <v>15</v>
      </c>
      <c r="J82" s="523">
        <f>'Curves (Std. conditions)'!J122</f>
        <v>10</v>
      </c>
      <c r="K82" s="144"/>
    </row>
    <row r="83" spans="1:14" ht="15" customHeight="1">
      <c r="A83" s="481" t="s">
        <v>191</v>
      </c>
      <c r="B83" s="482"/>
      <c r="C83" s="483">
        <v>2</v>
      </c>
      <c r="D83" s="524">
        <f>'Curves (Std. conditions)'!D123</f>
        <v>15.7</v>
      </c>
      <c r="E83" s="525">
        <f>'Curves (Std. conditions)'!E123</f>
        <v>15</v>
      </c>
      <c r="F83" s="525">
        <f>'Curves (Std. conditions)'!F123</f>
        <v>16.7</v>
      </c>
      <c r="G83" s="525">
        <f>'Curves (Std. conditions)'!G123</f>
        <v>19.5</v>
      </c>
      <c r="H83" s="525">
        <f>'Curves (Std. conditions)'!H123</f>
        <v>18.3</v>
      </c>
      <c r="I83" s="525">
        <f>'Curves (Std. conditions)'!I123</f>
        <v>14.5</v>
      </c>
      <c r="J83" s="526">
        <f>'Curves (Std. conditions)'!J123</f>
        <v>10.4</v>
      </c>
      <c r="K83" s="144"/>
    </row>
    <row r="84" spans="1:14" ht="15" customHeight="1">
      <c r="A84" s="486" t="s">
        <v>192</v>
      </c>
      <c r="B84" s="487"/>
      <c r="C84" s="488">
        <v>3</v>
      </c>
      <c r="D84" s="527">
        <f>'Curves (Std. conditions)'!D124</f>
        <v>18.5</v>
      </c>
      <c r="E84" s="528">
        <f>'Curves (Std. conditions)'!E124</f>
        <v>18</v>
      </c>
      <c r="F84" s="528">
        <f>'Curves (Std. conditions)'!F124</f>
        <v>20.3</v>
      </c>
      <c r="G84" s="528">
        <f>'Curves (Std. conditions)'!G124</f>
        <v>21.8</v>
      </c>
      <c r="H84" s="528">
        <f>'Curves (Std. conditions)'!H124</f>
        <v>20.399999999999999</v>
      </c>
      <c r="I84" s="528">
        <f>'Curves (Std. conditions)'!I124</f>
        <v>17.3</v>
      </c>
      <c r="J84" s="529">
        <f>'Curves (Std. conditions)'!J124</f>
        <v>12.9</v>
      </c>
      <c r="K84" s="144"/>
    </row>
    <row r="85" spans="1:14" ht="15" customHeight="1">
      <c r="B85" s="86"/>
      <c r="C85" s="86"/>
      <c r="K85" s="144"/>
    </row>
    <row r="86" spans="1:14" ht="15" customHeight="1">
      <c r="B86" s="86"/>
      <c r="C86" s="86"/>
    </row>
    <row r="87" spans="1:14" ht="15" customHeight="1">
      <c r="B87" s="86"/>
      <c r="C87" s="86"/>
      <c r="M87" s="134"/>
      <c r="N87" s="144"/>
    </row>
    <row r="88" spans="1:14" ht="15" customHeight="1">
      <c r="B88" s="86"/>
      <c r="C88" s="86"/>
    </row>
    <row r="89" spans="1:14" ht="15" customHeight="1">
      <c r="B89" s="86"/>
      <c r="C89" s="86"/>
    </row>
    <row r="90" spans="1:14" ht="15" customHeight="1">
      <c r="B90" s="86"/>
      <c r="C90" s="86"/>
    </row>
    <row r="91" spans="1:14" ht="15" customHeight="1">
      <c r="B91" s="86"/>
      <c r="C91" s="86"/>
    </row>
    <row r="92" spans="1:14" ht="15" customHeight="1">
      <c r="B92" s="86"/>
      <c r="C92" s="86"/>
    </row>
    <row r="93" spans="1:14" ht="15" customHeight="1">
      <c r="B93" s="86"/>
      <c r="C93" s="86"/>
    </row>
    <row r="94" spans="1:14" ht="15" customHeight="1">
      <c r="B94" s="86"/>
      <c r="C94" s="86"/>
    </row>
    <row r="95" spans="1:14" ht="15" customHeight="1">
      <c r="B95" s="86"/>
      <c r="C95" s="86"/>
    </row>
    <row r="96" spans="1:14" ht="15" customHeight="1">
      <c r="B96" s="86"/>
      <c r="C96" s="86"/>
    </row>
    <row r="97" spans="2:3" ht="15" customHeight="1">
      <c r="B97" s="86"/>
      <c r="C97" s="86"/>
    </row>
    <row r="98" spans="2:3" ht="15" customHeight="1">
      <c r="B98" s="86"/>
      <c r="C98" s="86"/>
    </row>
    <row r="99" spans="2:3" ht="15" customHeight="1">
      <c r="B99" s="86"/>
      <c r="C99" s="86"/>
    </row>
    <row r="100" spans="2:3" ht="15" customHeight="1">
      <c r="B100" s="86"/>
      <c r="C100" s="86"/>
    </row>
    <row r="101" spans="2:3" ht="15" customHeight="1">
      <c r="B101" s="86"/>
      <c r="C101" s="86"/>
    </row>
    <row r="102" spans="2:3" ht="15" customHeight="1">
      <c r="B102" s="86"/>
      <c r="C102" s="86"/>
    </row>
    <row r="103" spans="2:3" ht="15" customHeight="1">
      <c r="B103" s="86"/>
      <c r="C103" s="86"/>
    </row>
    <row r="104" spans="2:3" ht="15" customHeight="1">
      <c r="B104" s="86"/>
      <c r="C104" s="86"/>
    </row>
    <row r="105" spans="2:3" ht="15" customHeight="1">
      <c r="B105" s="86"/>
      <c r="C105" s="86"/>
    </row>
    <row r="106" spans="2:3" ht="15" customHeight="1">
      <c r="B106" s="86"/>
      <c r="C106" s="86"/>
    </row>
    <row r="107" spans="2:3" ht="15" customHeight="1">
      <c r="B107" s="86"/>
      <c r="C107" s="86"/>
    </row>
    <row r="108" spans="2:3" ht="15" customHeight="1">
      <c r="B108" s="86"/>
      <c r="C108" s="86"/>
    </row>
    <row r="109" spans="2:3" ht="15" customHeight="1">
      <c r="B109" s="86"/>
      <c r="C109" s="86"/>
    </row>
    <row r="110" spans="2:3" ht="15" customHeight="1">
      <c r="B110" s="86"/>
      <c r="C110" s="86"/>
    </row>
    <row r="111" spans="2:3" ht="15" customHeight="1">
      <c r="B111" s="86"/>
      <c r="C111" s="86"/>
    </row>
    <row r="112" spans="2:3" ht="15" customHeight="1">
      <c r="B112" s="86"/>
      <c r="C112" s="86"/>
    </row>
    <row r="113" spans="2:3" ht="15" customHeight="1">
      <c r="B113" s="86"/>
      <c r="C113" s="86"/>
    </row>
    <row r="114" spans="2:3" ht="15" customHeight="1">
      <c r="B114" s="86"/>
      <c r="C114" s="86"/>
    </row>
    <row r="115" spans="2:3" ht="15" customHeight="1">
      <c r="B115" s="86"/>
      <c r="C115" s="86"/>
    </row>
    <row r="116" spans="2:3" ht="15" customHeight="1">
      <c r="B116" s="86"/>
      <c r="C116" s="86"/>
    </row>
    <row r="117" spans="2:3" ht="15" customHeight="1">
      <c r="B117" s="86"/>
      <c r="C117" s="86"/>
    </row>
    <row r="118" spans="2:3" ht="15" customHeight="1">
      <c r="B118" s="86"/>
      <c r="C118" s="86"/>
    </row>
    <row r="119" spans="2:3" ht="15" customHeight="1">
      <c r="B119" s="86"/>
      <c r="C119" s="86"/>
    </row>
  </sheetData>
  <mergeCells count="5">
    <mergeCell ref="A60:B60"/>
    <mergeCell ref="A1:B1"/>
    <mergeCell ref="C1:L1"/>
    <mergeCell ref="A2:B2"/>
    <mergeCell ref="C2:K2"/>
  </mergeCells>
  <phoneticPr fontId="77" type="noConversion"/>
  <pageMargins left="0.51181102362204722" right="0.35433070866141736" top="0.98425196850393704" bottom="0.98425196850393704" header="0.51181102362204722" footer="0.51181102362204722"/>
  <pageSetup paperSize="9" scale="41" orientation="landscape" r:id="rId1"/>
  <headerFooter alignWithMargins="0">
    <oddHeader>&amp;L&amp;G&amp;R&amp;D</oddHeader>
    <oddFooter>&amp;LCONFIDENTIAL&amp;C&amp;F / &amp;A&amp;RPage &amp;P / &amp;N</oddFooter>
  </headerFooter>
  <drawing r:id="rId2"/>
  <legacyDrawing r:id="rId3"/>
  <legacyDrawingHF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A138"/>
  <sheetViews>
    <sheetView zoomScale="50" zoomScaleNormal="50" workbookViewId="0">
      <selection sqref="A1:B1"/>
    </sheetView>
  </sheetViews>
  <sheetFormatPr defaultColWidth="14.5703125" defaultRowHeight="15" customHeight="1"/>
  <cols>
    <col min="1" max="1" width="17.5703125" style="86" customWidth="1"/>
    <col min="2" max="3" width="14.5703125" style="87"/>
    <col min="4" max="16384" width="14.5703125" style="86"/>
  </cols>
  <sheetData>
    <row r="1" spans="1:24" ht="33" customHeight="1" thickBot="1">
      <c r="A1" s="1420" t="s">
        <v>565</v>
      </c>
      <c r="B1" s="1421"/>
      <c r="C1" s="1411">
        <f>'Fan Selection'!B1</f>
        <v>6666</v>
      </c>
      <c r="D1" s="1412"/>
      <c r="E1" s="1412"/>
      <c r="F1" s="1412"/>
      <c r="G1" s="1412"/>
      <c r="H1" s="1412"/>
      <c r="I1" s="1412"/>
      <c r="J1" s="1412"/>
      <c r="K1" s="1412"/>
      <c r="L1" s="1413"/>
      <c r="M1" s="84"/>
      <c r="N1" s="84"/>
      <c r="O1" s="84"/>
      <c r="P1" s="84"/>
      <c r="Q1" s="85"/>
    </row>
    <row r="2" spans="1:24" ht="33" customHeight="1" thickBot="1">
      <c r="A2" s="1420" t="s">
        <v>564</v>
      </c>
      <c r="B2" s="1421"/>
      <c r="C2" s="1411">
        <f>'Fan Selection'!B2</f>
        <v>0</v>
      </c>
      <c r="D2" s="1412"/>
      <c r="E2" s="1412"/>
      <c r="F2" s="1412"/>
      <c r="G2" s="1412"/>
      <c r="H2" s="1412"/>
      <c r="I2" s="1412"/>
      <c r="J2" s="1412"/>
      <c r="K2" s="1414"/>
      <c r="L2" s="598">
        <f>'Fan Selection'!P2</f>
        <v>0</v>
      </c>
      <c r="M2" s="84"/>
      <c r="N2" s="84"/>
      <c r="O2" s="84"/>
      <c r="P2" s="84"/>
      <c r="Q2" s="85"/>
    </row>
    <row r="3" spans="1:24" ht="15" customHeight="1">
      <c r="K3" s="85"/>
      <c r="L3" s="85"/>
      <c r="M3" s="85"/>
      <c r="N3" s="85"/>
      <c r="O3" s="85"/>
      <c r="P3" s="85"/>
      <c r="Q3" s="85"/>
    </row>
    <row r="4" spans="1:24" ht="15" customHeight="1">
      <c r="C4" s="97"/>
      <c r="F4" s="87"/>
      <c r="G4" s="97"/>
      <c r="J4" s="87"/>
      <c r="K4" s="97"/>
      <c r="M4" s="450"/>
      <c r="N4" s="451"/>
      <c r="O4" s="451"/>
      <c r="P4" s="88"/>
      <c r="R4" s="110"/>
      <c r="S4" s="110"/>
    </row>
    <row r="5" spans="1:24" ht="15" customHeight="1">
      <c r="C5" s="97"/>
      <c r="F5" s="87"/>
      <c r="G5" s="97"/>
      <c r="J5" s="87"/>
      <c r="K5" s="97"/>
      <c r="M5" s="112"/>
      <c r="N5" s="88"/>
      <c r="O5" s="88"/>
      <c r="P5" s="88"/>
      <c r="R5" s="110"/>
      <c r="S5" s="110"/>
    </row>
    <row r="6" spans="1:24" ht="15" customHeight="1">
      <c r="C6" s="97"/>
      <c r="K6" s="88"/>
      <c r="L6" s="112"/>
      <c r="N6" s="88" t="s">
        <v>0</v>
      </c>
      <c r="O6" s="112" t="s">
        <v>5</v>
      </c>
      <c r="P6" s="112" t="s">
        <v>6</v>
      </c>
      <c r="Q6" s="88" t="s">
        <v>166</v>
      </c>
      <c r="R6" s="88" t="s">
        <v>4</v>
      </c>
      <c r="S6" s="88" t="s">
        <v>111</v>
      </c>
    </row>
    <row r="7" spans="1:24" ht="15" customHeight="1">
      <c r="C7" s="97"/>
      <c r="G7" s="100"/>
      <c r="N7" s="101">
        <f>'Curves (Std. conditions)'!M8</f>
        <v>1672.3774886767021</v>
      </c>
      <c r="O7" s="93">
        <f>'Curves (Ops. conditions)'!N8*$C$73/rho_med_OP*$C$65^2</f>
        <v>714.19385389401737</v>
      </c>
      <c r="P7" s="93">
        <f>'Curves (Ops. conditions)'!O8*$C$65^3</f>
        <v>4774.2507882755517</v>
      </c>
      <c r="Q7" s="102">
        <f t="shared" ref="Q7" si="0">R7/(S7*$B$63)</f>
        <v>14.274563137553161</v>
      </c>
      <c r="R7" s="102">
        <f t="shared" ref="R7:R38" si="1">O7*$Z$62*P7/3600000</f>
        <v>9.2887016025981115</v>
      </c>
      <c r="S7" s="103">
        <f>'Curves (Ops. conditions)'!R8</f>
        <v>0.65071704913768114</v>
      </c>
    </row>
    <row r="8" spans="1:24" ht="15" customHeight="1">
      <c r="C8" s="97"/>
      <c r="G8" s="100"/>
      <c r="N8" s="101"/>
      <c r="O8" s="93">
        <f>'Curves (Ops. conditions)'!N9*$C$73/rho_med_OP*$C$65^2</f>
        <v>734.36172744888722</v>
      </c>
      <c r="P8" s="93">
        <f>'Curves (Ops. conditions)'!O9*$C$65^3</f>
        <v>8230.0242143358737</v>
      </c>
      <c r="Q8" s="102">
        <f t="shared" ref="Q8:Q16" si="2">R8/(S8*$B$63)</f>
        <v>19.032750850070883</v>
      </c>
      <c r="R8" s="102">
        <f t="shared" si="1"/>
        <v>16.464358814903989</v>
      </c>
      <c r="S8" s="103">
        <f>'Curves (Ops. conditions)'!R9</f>
        <v>0.86505408201897793</v>
      </c>
    </row>
    <row r="9" spans="1:24" ht="15" customHeight="1">
      <c r="G9" s="100"/>
      <c r="N9" s="101"/>
      <c r="O9" s="93">
        <f>'Curves (Ops. conditions)'!N10*$C$73/rho_med_OP*$C$65^2</f>
        <v>639.64653738523714</v>
      </c>
      <c r="P9" s="93">
        <f>'Curves (Ops. conditions)'!O10*$C$65^3</f>
        <v>11837.731690067933</v>
      </c>
      <c r="Q9" s="102">
        <f t="shared" si="2"/>
        <v>24.232285134372773</v>
      </c>
      <c r="R9" s="102">
        <f t="shared" si="1"/>
        <v>20.627292164407578</v>
      </c>
      <c r="S9" s="103">
        <f>'Curves (Ops. conditions)'!R10</f>
        <v>0.85123181945182624</v>
      </c>
      <c r="V9" s="452" t="s">
        <v>107</v>
      </c>
      <c r="W9" s="448"/>
      <c r="X9" s="448"/>
    </row>
    <row r="10" spans="1:24" ht="15" customHeight="1">
      <c r="G10" s="100"/>
      <c r="N10" s="101"/>
      <c r="O10" s="93">
        <f>'Curves (Ops. conditions)'!N11*$C$73/rho_med_OP*$C$65^2</f>
        <v>508.25571196025805</v>
      </c>
      <c r="P10" s="93">
        <f>'Curves (Ops. conditions)'!O11*$C$65^3</f>
        <v>14176.890069302517</v>
      </c>
      <c r="Q10" s="102">
        <f t="shared" si="2"/>
        <v>27.282769632308192</v>
      </c>
      <c r="R10" s="102">
        <f t="shared" si="1"/>
        <v>19.628943022759554</v>
      </c>
      <c r="S10" s="103">
        <f>'Curves (Ops. conditions)'!R11</f>
        <v>0.71946299027922023</v>
      </c>
      <c r="V10" s="448" t="s">
        <v>361</v>
      </c>
      <c r="W10" s="449">
        <f>MAX(P17:P36)</f>
        <v>42515.344843366969</v>
      </c>
      <c r="X10" s="449">
        <f>MAX(O17:O36)*1.2</f>
        <v>5041.3011029802246</v>
      </c>
    </row>
    <row r="11" spans="1:24" ht="15" customHeight="1">
      <c r="G11" s="100"/>
      <c r="N11" s="101"/>
      <c r="O11" s="93">
        <f>'Curves (Ops. conditions)'!N12*$C$73/rho_med_OP*$C$65^2</f>
        <v>360.33184869094299</v>
      </c>
      <c r="P11" s="93">
        <f>'Curves (Ops. conditions)'!O12*$C$65^3</f>
        <v>15938.460009162362</v>
      </c>
      <c r="Q11" s="102">
        <f t="shared" si="2"/>
        <v>27.106751763712655</v>
      </c>
      <c r="R11" s="102">
        <f t="shared" si="1"/>
        <v>15.64525627642402</v>
      </c>
      <c r="S11" s="103">
        <f>'Curves (Ops. conditions)'!R12</f>
        <v>0.57717193165756053</v>
      </c>
      <c r="V11" s="448"/>
      <c r="W11" s="449"/>
      <c r="X11" s="449"/>
    </row>
    <row r="12" spans="1:24" ht="15" customHeight="1">
      <c r="G12" s="100"/>
      <c r="N12" s="100"/>
      <c r="O12" s="93">
        <f>'Curves (Ops. conditions)'!N13*$C$73/rho_med_OP*$C$65^2</f>
        <v>230.2411958350778</v>
      </c>
      <c r="P12" s="93">
        <f>'Curves (Ops. conditions)'!O13*$C$65^3</f>
        <v>17131.909385187471</v>
      </c>
      <c r="Q12" s="102">
        <f t="shared" si="2"/>
        <v>25.874626683543898</v>
      </c>
      <c r="R12" s="102">
        <f t="shared" si="1"/>
        <v>10.745397243390915</v>
      </c>
      <c r="S12" s="103">
        <f>'Curves (Ops. conditions)'!R13</f>
        <v>0.41528704451704884</v>
      </c>
      <c r="V12" s="448" t="s">
        <v>106</v>
      </c>
      <c r="W12" s="449">
        <f>W10</f>
        <v>42515.344843366969</v>
      </c>
      <c r="X12" s="449">
        <f>(X10+X14)/2</f>
        <v>4621.1926777318731</v>
      </c>
    </row>
    <row r="13" spans="1:24" ht="15" customHeight="1">
      <c r="G13" s="100"/>
      <c r="N13" s="100"/>
      <c r="O13" s="93">
        <f>'Curves (Ops. conditions)'!N14*$C$73/rho_med_OP*$C$65^2</f>
        <v>154.69124433984632</v>
      </c>
      <c r="P13" s="93">
        <f>'Curves (Ops. conditions)'!O14*$C$65^3</f>
        <v>17775.426409843509</v>
      </c>
      <c r="Q13" s="102">
        <f t="shared" si="2"/>
        <v>25.843614349630329</v>
      </c>
      <c r="R13" s="102">
        <f t="shared" si="1"/>
        <v>7.4906487927524044</v>
      </c>
      <c r="S13" s="103">
        <f>'Curves (Ops. conditions)'!R14</f>
        <v>0.28984524731772093</v>
      </c>
      <c r="W13" s="448"/>
      <c r="X13" s="448"/>
    </row>
    <row r="14" spans="1:24" ht="15" customHeight="1">
      <c r="G14" s="100"/>
      <c r="N14" s="100"/>
      <c r="O14" s="93">
        <f>'Curves (Ops. conditions)'!N15*$C$73/rho_med_OP*$C$65^2</f>
        <v>154.69124433984632</v>
      </c>
      <c r="P14" s="93">
        <f>'Curves (Ops. conditions)'!O15*$C$65^3</f>
        <v>17775.426409843509</v>
      </c>
      <c r="Q14" s="102">
        <f t="shared" si="2"/>
        <v>25.336876813363066</v>
      </c>
      <c r="R14" s="102">
        <f t="shared" si="1"/>
        <v>7.4906487927524044</v>
      </c>
      <c r="S14" s="103">
        <f>'Curves (Ops. conditions)'!R15</f>
        <v>0.29564215226407536</v>
      </c>
      <c r="V14" s="448" t="s">
        <v>276</v>
      </c>
      <c r="W14" s="449">
        <f>W10</f>
        <v>42515.344843366969</v>
      </c>
      <c r="X14" s="449">
        <f>MAX(O17:O36)</f>
        <v>4201.0842524835207</v>
      </c>
    </row>
    <row r="15" spans="1:24" ht="15" customHeight="1">
      <c r="G15" s="100"/>
      <c r="N15" s="100"/>
      <c r="O15" s="93">
        <f>'Curves (Ops. conditions)'!N16*$C$73/rho_med_OP*$C$65^2</f>
        <v>154.69124433984632</v>
      </c>
      <c r="P15" s="93">
        <f>'Curves (Ops. conditions)'!O16*$C$65^3</f>
        <v>17775.426409843509</v>
      </c>
      <c r="Q15" s="102">
        <f t="shared" si="2"/>
        <v>25.336876813363066</v>
      </c>
      <c r="R15" s="102">
        <f t="shared" si="1"/>
        <v>7.4906487927524044</v>
      </c>
      <c r="S15" s="103">
        <f>'Curves (Ops. conditions)'!R16</f>
        <v>0.29564215226407536</v>
      </c>
      <c r="V15" s="448"/>
      <c r="W15" s="448"/>
      <c r="X15" s="448"/>
    </row>
    <row r="16" spans="1:24" ht="15" customHeight="1">
      <c r="G16" s="100"/>
      <c r="N16" s="100"/>
      <c r="O16" s="93">
        <f>'Curves (Ops. conditions)'!N17*$C$73/rho_med_OP*$C$65^2</f>
        <v>154.69124433984632</v>
      </c>
      <c r="P16" s="93">
        <f>'Curves (Ops. conditions)'!O17*$C$65^3</f>
        <v>17775.426409843509</v>
      </c>
      <c r="Q16" s="102">
        <f t="shared" si="2"/>
        <v>25.336876813363066</v>
      </c>
      <c r="R16" s="102">
        <f t="shared" si="1"/>
        <v>7.4906487927524044</v>
      </c>
      <c r="S16" s="103">
        <f>'Curves (Ops. conditions)'!R17</f>
        <v>0.29564215226407536</v>
      </c>
    </row>
    <row r="17" spans="2:24" ht="15" customHeight="1">
      <c r="G17" s="100"/>
      <c r="N17" s="101">
        <f>'Curves (Ops. conditions)'!M18</f>
        <v>4000</v>
      </c>
      <c r="O17" s="93">
        <f>O7*(N$17/N$7)^2</f>
        <v>4085.7093182644171</v>
      </c>
      <c r="P17" s="93">
        <f>P7*(N$17/N$7)</f>
        <v>11419.074510631594</v>
      </c>
      <c r="Q17" s="102">
        <f>Q7*(N$17/N$7)^3</f>
        <v>195.31691712408869</v>
      </c>
      <c r="R17" s="102">
        <f t="shared" si="1"/>
        <v>127.09604795765598</v>
      </c>
      <c r="S17" s="103">
        <f>S7</f>
        <v>0.65071704913768114</v>
      </c>
      <c r="V17" s="448"/>
      <c r="W17" s="448"/>
      <c r="X17" s="448"/>
    </row>
    <row r="18" spans="2:24" ht="15" customHeight="1">
      <c r="G18" s="100"/>
      <c r="N18" s="104"/>
      <c r="O18" s="93">
        <f t="shared" ref="O18:O26" si="3">O8*(N$17/N$7)^2</f>
        <v>4201.0842524835207</v>
      </c>
      <c r="P18" s="93">
        <f t="shared" ref="P18:P26" si="4">P8*(N$17/N$7)</f>
        <v>19684.60893562499</v>
      </c>
      <c r="Q18" s="102">
        <f t="shared" ref="Q18:Q26" si="5">Q8*(N$17/N$7)^3</f>
        <v>260.42255616545162</v>
      </c>
      <c r="R18" s="102">
        <f t="shared" si="1"/>
        <v>225.27959526074045</v>
      </c>
      <c r="S18" s="103">
        <f t="shared" ref="S18:S26" si="6">S8</f>
        <v>0.86505408201897793</v>
      </c>
      <c r="V18" s="448"/>
      <c r="W18" s="448"/>
      <c r="X18" s="448"/>
    </row>
    <row r="19" spans="2:24" ht="15" customHeight="1">
      <c r="G19" s="100"/>
      <c r="N19" s="101"/>
      <c r="O19" s="93">
        <f t="shared" si="3"/>
        <v>3659.2443409324669</v>
      </c>
      <c r="P19" s="93">
        <f t="shared" si="4"/>
        <v>28313.53990404342</v>
      </c>
      <c r="Q19" s="102">
        <f t="shared" si="5"/>
        <v>331.56708066716112</v>
      </c>
      <c r="R19" s="102">
        <f t="shared" si="1"/>
        <v>282.240449346638</v>
      </c>
      <c r="S19" s="103">
        <f t="shared" si="6"/>
        <v>0.85123181945182624</v>
      </c>
    </row>
    <row r="20" spans="2:24" ht="15" customHeight="1">
      <c r="G20" s="100"/>
      <c r="N20" s="101"/>
      <c r="O20" s="93">
        <f t="shared" si="3"/>
        <v>2907.5930674773017</v>
      </c>
      <c r="P20" s="93">
        <f t="shared" si="4"/>
        <v>33908.349437351557</v>
      </c>
      <c r="Q20" s="102">
        <f t="shared" si="5"/>
        <v>373.3064475486683</v>
      </c>
      <c r="R20" s="102">
        <f t="shared" si="1"/>
        <v>268.58017304387772</v>
      </c>
      <c r="S20" s="103">
        <f t="shared" si="6"/>
        <v>0.71946299027922023</v>
      </c>
    </row>
    <row r="21" spans="2:24" ht="15" customHeight="1">
      <c r="G21" s="100"/>
      <c r="N21" s="101"/>
      <c r="O21" s="93">
        <f t="shared" si="3"/>
        <v>2061.3607689803757</v>
      </c>
      <c r="P21" s="93">
        <f t="shared" si="4"/>
        <v>38121.680343291264</v>
      </c>
      <c r="Q21" s="102">
        <f t="shared" si="5"/>
        <v>370.89801885480591</v>
      </c>
      <c r="R21" s="102">
        <f t="shared" si="1"/>
        <v>214.07192599039064</v>
      </c>
      <c r="S21" s="103">
        <f t="shared" si="6"/>
        <v>0.57717193165756053</v>
      </c>
    </row>
    <row r="22" spans="2:24" ht="15" customHeight="1">
      <c r="G22" s="100"/>
      <c r="N22" s="101"/>
      <c r="O22" s="93">
        <f t="shared" si="3"/>
        <v>1317.147430130804</v>
      </c>
      <c r="P22" s="93">
        <f t="shared" si="4"/>
        <v>40976.177929166923</v>
      </c>
      <c r="Q22" s="102">
        <f t="shared" si="5"/>
        <v>354.03901799776929</v>
      </c>
      <c r="R22" s="102">
        <f t="shared" si="1"/>
        <v>147.0278174280119</v>
      </c>
      <c r="S22" s="103">
        <f t="shared" si="6"/>
        <v>0.41528704451704884</v>
      </c>
    </row>
    <row r="23" spans="2:24" ht="15" customHeight="1">
      <c r="G23" s="100"/>
      <c r="N23" s="104"/>
      <c r="O23" s="93">
        <f t="shared" si="3"/>
        <v>884.94664999877875</v>
      </c>
      <c r="P23" s="93">
        <f t="shared" si="4"/>
        <v>42515.344843366969</v>
      </c>
      <c r="Q23" s="102">
        <f t="shared" si="5"/>
        <v>353.61468042649284</v>
      </c>
      <c r="R23" s="102">
        <f t="shared" si="1"/>
        <v>102.49353450339368</v>
      </c>
      <c r="S23" s="103">
        <f t="shared" si="6"/>
        <v>0.28984524731772093</v>
      </c>
    </row>
    <row r="24" spans="2:24" ht="15" customHeight="1">
      <c r="G24" s="100"/>
      <c r="N24" s="104"/>
      <c r="O24" s="93">
        <f t="shared" si="3"/>
        <v>884.94664999877875</v>
      </c>
      <c r="P24" s="93">
        <f t="shared" si="4"/>
        <v>42515.344843366969</v>
      </c>
      <c r="Q24" s="102">
        <f t="shared" si="5"/>
        <v>346.68105924165963</v>
      </c>
      <c r="R24" s="102">
        <f t="shared" si="1"/>
        <v>102.49353450339368</v>
      </c>
      <c r="S24" s="103">
        <f t="shared" si="6"/>
        <v>0.29564215226407536</v>
      </c>
      <c r="V24" s="110"/>
    </row>
    <row r="25" spans="2:24" ht="15" customHeight="1">
      <c r="E25" s="100"/>
      <c r="F25" s="100"/>
      <c r="G25" s="100"/>
      <c r="N25" s="104"/>
      <c r="O25" s="93">
        <f t="shared" si="3"/>
        <v>884.94664999877875</v>
      </c>
      <c r="P25" s="93">
        <f t="shared" si="4"/>
        <v>42515.344843366969</v>
      </c>
      <c r="Q25" s="102">
        <f t="shared" si="5"/>
        <v>346.68105924165963</v>
      </c>
      <c r="R25" s="102">
        <f t="shared" si="1"/>
        <v>102.49353450339368</v>
      </c>
      <c r="S25" s="103">
        <f t="shared" si="6"/>
        <v>0.29564215226407536</v>
      </c>
      <c r="V25" s="110"/>
    </row>
    <row r="26" spans="2:24" ht="15" customHeight="1">
      <c r="N26" s="104"/>
      <c r="O26" s="93">
        <f t="shared" si="3"/>
        <v>884.94664999877875</v>
      </c>
      <c r="P26" s="93">
        <f t="shared" si="4"/>
        <v>42515.344843366969</v>
      </c>
      <c r="Q26" s="102">
        <f t="shared" si="5"/>
        <v>346.68105924165963</v>
      </c>
      <c r="R26" s="102">
        <f t="shared" si="1"/>
        <v>102.49353450339368</v>
      </c>
      <c r="S26" s="103">
        <f t="shared" si="6"/>
        <v>0.29564215226407536</v>
      </c>
      <c r="V26" s="110"/>
    </row>
    <row r="27" spans="2:24" ht="15" customHeight="1">
      <c r="B27" s="100"/>
      <c r="C27" s="100"/>
      <c r="D27" s="100"/>
      <c r="N27" s="101">
        <f>'Curves (Ops. conditions)'!M28</f>
        <v>1000</v>
      </c>
      <c r="O27" s="93">
        <f>O7*(N$27/N$7)^2</f>
        <v>255.35683239152607</v>
      </c>
      <c r="P27" s="93">
        <f>P7*(N$27/N$7)</f>
        <v>2854.7686276578984</v>
      </c>
      <c r="Q27" s="102">
        <f>Q7*(N$27/N$7)^3</f>
        <v>3.0518268300638858</v>
      </c>
      <c r="R27" s="102">
        <f t="shared" si="1"/>
        <v>1.9858757493383747</v>
      </c>
      <c r="S27" s="103">
        <f>S7</f>
        <v>0.65071704913768114</v>
      </c>
      <c r="V27" s="110"/>
    </row>
    <row r="28" spans="2:24" ht="15" customHeight="1">
      <c r="B28" s="86"/>
      <c r="C28" s="86"/>
      <c r="N28" s="101"/>
      <c r="O28" s="93">
        <f t="shared" ref="O28:O36" si="7">O8*(N$27/N$7)^2</f>
        <v>262.56776578022004</v>
      </c>
      <c r="P28" s="93">
        <f t="shared" ref="P28:P36" si="8">P8*(N$27/N$7)</f>
        <v>4921.1522339062476</v>
      </c>
      <c r="Q28" s="102">
        <f t="shared" ref="Q28:Q36" si="9">Q8*(N$27/N$7)^3</f>
        <v>4.0691024400851816</v>
      </c>
      <c r="R28" s="102">
        <f t="shared" si="1"/>
        <v>3.5199936759490695</v>
      </c>
      <c r="S28" s="103">
        <f t="shared" ref="S28:S36" si="10">S8</f>
        <v>0.86505408201897793</v>
      </c>
      <c r="V28" s="110"/>
    </row>
    <row r="29" spans="2:24" ht="15" customHeight="1">
      <c r="B29" s="86"/>
      <c r="C29" s="86"/>
      <c r="N29" s="101"/>
      <c r="O29" s="93">
        <f t="shared" si="7"/>
        <v>228.70277130827918</v>
      </c>
      <c r="P29" s="93">
        <f t="shared" si="8"/>
        <v>7078.3849760108551</v>
      </c>
      <c r="Q29" s="102">
        <f t="shared" si="9"/>
        <v>5.1807356354243925</v>
      </c>
      <c r="R29" s="102">
        <f t="shared" si="1"/>
        <v>4.4100070210412188</v>
      </c>
      <c r="S29" s="103">
        <f t="shared" si="10"/>
        <v>0.85123181945182624</v>
      </c>
      <c r="V29" s="110"/>
    </row>
    <row r="30" spans="2:24" ht="15" customHeight="1">
      <c r="B30" s="86"/>
      <c r="C30" s="86"/>
      <c r="N30" s="101"/>
      <c r="O30" s="93">
        <f t="shared" si="7"/>
        <v>181.72456671733136</v>
      </c>
      <c r="P30" s="93">
        <f t="shared" si="8"/>
        <v>8477.0873593378892</v>
      </c>
      <c r="Q30" s="102">
        <f t="shared" si="9"/>
        <v>5.8329132429479422</v>
      </c>
      <c r="R30" s="102">
        <f t="shared" si="1"/>
        <v>4.1965652038105894</v>
      </c>
      <c r="S30" s="103">
        <f t="shared" si="10"/>
        <v>0.71946299027922023</v>
      </c>
      <c r="V30" s="110"/>
    </row>
    <row r="31" spans="2:24" ht="15" customHeight="1">
      <c r="B31" s="86"/>
      <c r="C31" s="86"/>
      <c r="N31" s="101"/>
      <c r="O31" s="93">
        <f t="shared" si="7"/>
        <v>128.83504806127348</v>
      </c>
      <c r="P31" s="93">
        <f t="shared" si="8"/>
        <v>9530.420085822816</v>
      </c>
      <c r="Q31" s="102">
        <f t="shared" si="9"/>
        <v>5.7952815446063424</v>
      </c>
      <c r="R31" s="102">
        <f t="shared" si="1"/>
        <v>3.3448738435998537</v>
      </c>
      <c r="S31" s="103">
        <f t="shared" si="10"/>
        <v>0.57717193165756053</v>
      </c>
    </row>
    <row r="32" spans="2:24" ht="15" customHeight="1">
      <c r="B32" s="86"/>
      <c r="C32" s="86"/>
      <c r="N32" s="100"/>
      <c r="O32" s="93">
        <f t="shared" si="7"/>
        <v>82.321714383175248</v>
      </c>
      <c r="P32" s="93">
        <f t="shared" si="8"/>
        <v>10244.044482291731</v>
      </c>
      <c r="Q32" s="102">
        <f t="shared" si="9"/>
        <v>5.5318596562151452</v>
      </c>
      <c r="R32" s="102">
        <f t="shared" si="1"/>
        <v>2.2973096473126859</v>
      </c>
      <c r="S32" s="103">
        <f t="shared" si="10"/>
        <v>0.41528704451704884</v>
      </c>
    </row>
    <row r="33" spans="2:21" ht="15" customHeight="1">
      <c r="B33" s="86"/>
      <c r="C33" s="86"/>
      <c r="N33" s="100"/>
      <c r="O33" s="93">
        <f t="shared" si="7"/>
        <v>55.309165624923672</v>
      </c>
      <c r="P33" s="93">
        <f t="shared" si="8"/>
        <v>10628.836210841742</v>
      </c>
      <c r="Q33" s="102">
        <f t="shared" si="9"/>
        <v>5.5252293816639506</v>
      </c>
      <c r="R33" s="102">
        <f t="shared" si="1"/>
        <v>1.6014614766155262</v>
      </c>
      <c r="S33" s="103">
        <f t="shared" si="10"/>
        <v>0.28984524731772093</v>
      </c>
    </row>
    <row r="34" spans="2:21" ht="15" customHeight="1">
      <c r="B34" s="86"/>
      <c r="C34" s="86"/>
      <c r="N34" s="105"/>
      <c r="O34" s="93">
        <f t="shared" si="7"/>
        <v>55.309165624923672</v>
      </c>
      <c r="P34" s="93">
        <f t="shared" si="8"/>
        <v>10628.836210841742</v>
      </c>
      <c r="Q34" s="102">
        <f t="shared" si="9"/>
        <v>5.4168915506509316</v>
      </c>
      <c r="R34" s="102">
        <f t="shared" si="1"/>
        <v>1.6014614766155262</v>
      </c>
      <c r="S34" s="103">
        <f t="shared" si="10"/>
        <v>0.29564215226407536</v>
      </c>
    </row>
    <row r="35" spans="2:21" ht="15" customHeight="1">
      <c r="B35" s="86"/>
      <c r="C35" s="86"/>
      <c r="N35" s="105"/>
      <c r="O35" s="93">
        <f t="shared" si="7"/>
        <v>55.309165624923672</v>
      </c>
      <c r="P35" s="93">
        <f t="shared" si="8"/>
        <v>10628.836210841742</v>
      </c>
      <c r="Q35" s="102">
        <f t="shared" si="9"/>
        <v>5.4168915506509316</v>
      </c>
      <c r="R35" s="102">
        <f t="shared" si="1"/>
        <v>1.6014614766155262</v>
      </c>
      <c r="S35" s="103">
        <f t="shared" si="10"/>
        <v>0.29564215226407536</v>
      </c>
    </row>
    <row r="36" spans="2:21" ht="15" customHeight="1">
      <c r="B36" s="86"/>
      <c r="C36" s="86"/>
      <c r="N36" s="105"/>
      <c r="O36" s="93">
        <f t="shared" si="7"/>
        <v>55.309165624923672</v>
      </c>
      <c r="P36" s="93">
        <f t="shared" si="8"/>
        <v>10628.836210841742</v>
      </c>
      <c r="Q36" s="102">
        <f t="shared" si="9"/>
        <v>5.4168915506509316</v>
      </c>
      <c r="R36" s="102">
        <f t="shared" si="1"/>
        <v>1.6014614766155262</v>
      </c>
      <c r="S36" s="103">
        <f t="shared" si="10"/>
        <v>0.29564215226407536</v>
      </c>
      <c r="T36" s="707"/>
      <c r="U36" s="708" t="s">
        <v>781</v>
      </c>
    </row>
    <row r="37" spans="2:21" ht="15" customHeight="1">
      <c r="B37" s="86"/>
      <c r="C37" s="86"/>
      <c r="M37" s="131" t="str">
        <f>B64</f>
        <v>OP 1, OP conditions</v>
      </c>
      <c r="N37" s="119">
        <f>C72</f>
        <v>1672.3774886767021</v>
      </c>
      <c r="O37" s="113">
        <f>O7*(N$37/N$7)^2</f>
        <v>714.19385389401737</v>
      </c>
      <c r="P37" s="113">
        <f>P7*(N$37/N$7)</f>
        <v>4774.2507882755517</v>
      </c>
      <c r="Q37" s="114">
        <f>Q7*(N$37/N$7)^3</f>
        <v>14.274563137553161</v>
      </c>
      <c r="R37" s="114">
        <f t="shared" si="1"/>
        <v>9.2887016025981115</v>
      </c>
      <c r="S37" s="115">
        <f>S7</f>
        <v>0.65071704913768114</v>
      </c>
      <c r="T37" s="328"/>
      <c r="U37" s="327">
        <f t="shared" ref="U37:U46" si="11">0.5*$C$73*(P37/(PI()*Inlet_m^2/4)/3600)^2/$Z$62</f>
        <v>4.271658382199611</v>
      </c>
    </row>
    <row r="38" spans="2:21" ht="15" customHeight="1">
      <c r="B38" s="86"/>
      <c r="C38" s="86"/>
      <c r="M38" s="132"/>
      <c r="N38" s="116"/>
      <c r="O38" s="113">
        <f t="shared" ref="O38:O46" si="12">O8*(N$37/N$7)^2</f>
        <v>734.36172744888722</v>
      </c>
      <c r="P38" s="113">
        <f t="shared" ref="P38:P46" si="13">P8*(N$37/N$7)</f>
        <v>8230.0242143358737</v>
      </c>
      <c r="Q38" s="114">
        <f t="shared" ref="Q38:Q46" si="14">Q8*(N$37/N$7)^3</f>
        <v>19.032750850070883</v>
      </c>
      <c r="R38" s="114">
        <f t="shared" si="1"/>
        <v>16.464358814903989</v>
      </c>
      <c r="S38" s="115">
        <f t="shared" ref="S38:S46" si="15">S8</f>
        <v>0.86505408201897793</v>
      </c>
      <c r="T38" s="328"/>
      <c r="U38" s="327">
        <f t="shared" si="11"/>
        <v>12.693701533964179</v>
      </c>
    </row>
    <row r="39" spans="2:21" ht="15" customHeight="1">
      <c r="B39" s="86"/>
      <c r="C39" s="86"/>
      <c r="N39" s="116"/>
      <c r="O39" s="113">
        <f t="shared" si="12"/>
        <v>639.64653738523714</v>
      </c>
      <c r="P39" s="113">
        <f t="shared" si="13"/>
        <v>11837.731690067933</v>
      </c>
      <c r="Q39" s="114">
        <f t="shared" si="14"/>
        <v>24.232285134372773</v>
      </c>
      <c r="R39" s="114">
        <f t="shared" ref="R39:R66" si="16">O39*$Z$62*P39/3600000</f>
        <v>20.627292164407578</v>
      </c>
      <c r="S39" s="115">
        <f t="shared" si="15"/>
        <v>0.85123181945182624</v>
      </c>
      <c r="U39" s="327">
        <f t="shared" si="11"/>
        <v>26.261712400271765</v>
      </c>
    </row>
    <row r="40" spans="2:21" ht="15" customHeight="1">
      <c r="B40" s="86"/>
      <c r="C40" s="86"/>
      <c r="N40" s="116"/>
      <c r="O40" s="113">
        <f t="shared" si="12"/>
        <v>508.25571196025805</v>
      </c>
      <c r="P40" s="113">
        <f t="shared" si="13"/>
        <v>14176.890069302517</v>
      </c>
      <c r="Q40" s="114">
        <f t="shared" si="14"/>
        <v>27.282769632308192</v>
      </c>
      <c r="R40" s="114">
        <f t="shared" si="16"/>
        <v>19.628943022759554</v>
      </c>
      <c r="S40" s="115">
        <f t="shared" si="15"/>
        <v>0.71946299027922023</v>
      </c>
      <c r="U40" s="327">
        <f t="shared" si="11"/>
        <v>37.665869735483099</v>
      </c>
    </row>
    <row r="41" spans="2:21" ht="15" customHeight="1">
      <c r="B41" s="86"/>
      <c r="C41" s="86"/>
      <c r="N41" s="116"/>
      <c r="O41" s="113">
        <f t="shared" si="12"/>
        <v>360.33184869094299</v>
      </c>
      <c r="P41" s="113">
        <f t="shared" si="13"/>
        <v>15938.460009162362</v>
      </c>
      <c r="Q41" s="114">
        <f t="shared" si="14"/>
        <v>27.106751763712655</v>
      </c>
      <c r="R41" s="114">
        <f t="shared" si="16"/>
        <v>15.64525627642402</v>
      </c>
      <c r="S41" s="115">
        <f t="shared" si="15"/>
        <v>0.57717193165756053</v>
      </c>
      <c r="U41" s="327">
        <f t="shared" si="11"/>
        <v>47.607872128177043</v>
      </c>
    </row>
    <row r="42" spans="2:21" ht="15" customHeight="1">
      <c r="B42" s="86"/>
      <c r="C42" s="86"/>
      <c r="N42" s="116"/>
      <c r="O42" s="113">
        <f t="shared" si="12"/>
        <v>230.2411958350778</v>
      </c>
      <c r="P42" s="113">
        <f t="shared" si="13"/>
        <v>17131.909385187471</v>
      </c>
      <c r="Q42" s="114">
        <f t="shared" si="14"/>
        <v>25.874626683543898</v>
      </c>
      <c r="R42" s="114">
        <f t="shared" si="16"/>
        <v>10.745397243390915</v>
      </c>
      <c r="S42" s="115">
        <f t="shared" si="15"/>
        <v>0.41528704451704884</v>
      </c>
      <c r="U42" s="327">
        <f t="shared" si="11"/>
        <v>55.004420542951479</v>
      </c>
    </row>
    <row r="43" spans="2:21" ht="15" customHeight="1">
      <c r="B43" s="86"/>
      <c r="C43" s="86"/>
      <c r="M43" s="132"/>
      <c r="N43" s="116"/>
      <c r="O43" s="113">
        <f t="shared" si="12"/>
        <v>154.69124433984632</v>
      </c>
      <c r="P43" s="113">
        <f t="shared" si="13"/>
        <v>17775.426409843509</v>
      </c>
      <c r="Q43" s="114">
        <f t="shared" si="14"/>
        <v>25.843614349630329</v>
      </c>
      <c r="R43" s="114">
        <f t="shared" si="16"/>
        <v>7.4906487927524044</v>
      </c>
      <c r="S43" s="115">
        <f t="shared" si="15"/>
        <v>0.28984524731772093</v>
      </c>
      <c r="T43" s="328"/>
      <c r="U43" s="327">
        <f t="shared" si="11"/>
        <v>59.214233507890143</v>
      </c>
    </row>
    <row r="44" spans="2:21" ht="15" customHeight="1">
      <c r="B44" s="86"/>
      <c r="C44" s="86"/>
      <c r="M44" s="132"/>
      <c r="N44" s="116"/>
      <c r="O44" s="113">
        <f t="shared" si="12"/>
        <v>154.69124433984632</v>
      </c>
      <c r="P44" s="113">
        <f t="shared" si="13"/>
        <v>17775.426409843509</v>
      </c>
      <c r="Q44" s="114">
        <f t="shared" si="14"/>
        <v>25.336876813363066</v>
      </c>
      <c r="R44" s="114">
        <f t="shared" si="16"/>
        <v>7.4906487927524044</v>
      </c>
      <c r="S44" s="115">
        <f t="shared" si="15"/>
        <v>0.29564215226407536</v>
      </c>
      <c r="T44" s="328"/>
      <c r="U44" s="327">
        <f t="shared" si="11"/>
        <v>59.214233507890143</v>
      </c>
    </row>
    <row r="45" spans="2:21" ht="15" customHeight="1">
      <c r="B45" s="86"/>
      <c r="C45" s="86"/>
      <c r="M45" s="132"/>
      <c r="N45" s="116"/>
      <c r="O45" s="113">
        <f t="shared" si="12"/>
        <v>154.69124433984632</v>
      </c>
      <c r="P45" s="113">
        <f t="shared" si="13"/>
        <v>17775.426409843509</v>
      </c>
      <c r="Q45" s="114">
        <f t="shared" si="14"/>
        <v>25.336876813363066</v>
      </c>
      <c r="R45" s="114">
        <f t="shared" si="16"/>
        <v>7.4906487927524044</v>
      </c>
      <c r="S45" s="115">
        <f t="shared" si="15"/>
        <v>0.29564215226407536</v>
      </c>
      <c r="T45" s="328"/>
      <c r="U45" s="327">
        <f t="shared" si="11"/>
        <v>59.214233507890143</v>
      </c>
    </row>
    <row r="46" spans="2:21" ht="15" customHeight="1">
      <c r="B46" s="86"/>
      <c r="C46" s="86"/>
      <c r="M46" s="132"/>
      <c r="N46" s="116"/>
      <c r="O46" s="113">
        <f t="shared" si="12"/>
        <v>154.69124433984632</v>
      </c>
      <c r="P46" s="113">
        <f t="shared" si="13"/>
        <v>17775.426409843509</v>
      </c>
      <c r="Q46" s="114">
        <f t="shared" si="14"/>
        <v>25.336876813363066</v>
      </c>
      <c r="R46" s="114">
        <f t="shared" si="16"/>
        <v>7.4906487927524044</v>
      </c>
      <c r="S46" s="115">
        <f t="shared" si="15"/>
        <v>0.29564215226407536</v>
      </c>
      <c r="T46" s="328"/>
      <c r="U46" s="327">
        <f t="shared" si="11"/>
        <v>59.214233507890143</v>
      </c>
    </row>
    <row r="47" spans="2:21" ht="15" customHeight="1">
      <c r="B47" s="86"/>
      <c r="C47" s="86"/>
      <c r="M47" s="131" t="str">
        <f>F64</f>
        <v>OP 2</v>
      </c>
      <c r="N47" s="119">
        <f>G72</f>
        <v>0</v>
      </c>
      <c r="O47" s="113">
        <f>O7*(N$47/N$7)^2</f>
        <v>0</v>
      </c>
      <c r="P47" s="113">
        <f>P7*(N$47/N$7)</f>
        <v>0</v>
      </c>
      <c r="Q47" s="114">
        <f>Q7*(N$47/N$7)^3</f>
        <v>0</v>
      </c>
      <c r="R47" s="114">
        <f t="shared" si="16"/>
        <v>0</v>
      </c>
      <c r="S47" s="115">
        <f>S7</f>
        <v>0.65071704913768114</v>
      </c>
    </row>
    <row r="48" spans="2:21" ht="15" customHeight="1">
      <c r="B48" s="86"/>
      <c r="C48" s="86"/>
      <c r="M48" s="132"/>
      <c r="N48" s="116"/>
      <c r="O48" s="113">
        <f t="shared" ref="O48:O56" si="17">O8*(N$47/N$7)^2</f>
        <v>0</v>
      </c>
      <c r="P48" s="113">
        <f t="shared" ref="P48:P56" si="18">P8*(N$47/N$7)</f>
        <v>0</v>
      </c>
      <c r="Q48" s="114">
        <f t="shared" ref="Q48:Q56" si="19">Q8*(N$47/N$7)^3</f>
        <v>0</v>
      </c>
      <c r="R48" s="114">
        <f t="shared" si="16"/>
        <v>0</v>
      </c>
      <c r="S48" s="115">
        <f t="shared" ref="S48:S56" si="20">S8</f>
        <v>0.86505408201897793</v>
      </c>
    </row>
    <row r="49" spans="1:27" ht="15" customHeight="1">
      <c r="B49" s="86"/>
      <c r="C49" s="86"/>
      <c r="N49" s="116"/>
      <c r="O49" s="113">
        <f t="shared" si="17"/>
        <v>0</v>
      </c>
      <c r="P49" s="113">
        <f t="shared" si="18"/>
        <v>0</v>
      </c>
      <c r="Q49" s="114">
        <f t="shared" si="19"/>
        <v>0</v>
      </c>
      <c r="R49" s="114">
        <f t="shared" si="16"/>
        <v>0</v>
      </c>
      <c r="S49" s="115">
        <f t="shared" si="20"/>
        <v>0.85123181945182624</v>
      </c>
    </row>
    <row r="50" spans="1:27" ht="15" customHeight="1">
      <c r="B50" s="86"/>
      <c r="C50" s="86"/>
      <c r="N50" s="116"/>
      <c r="O50" s="113">
        <f t="shared" si="17"/>
        <v>0</v>
      </c>
      <c r="P50" s="113">
        <f t="shared" si="18"/>
        <v>0</v>
      </c>
      <c r="Q50" s="114">
        <f t="shared" si="19"/>
        <v>0</v>
      </c>
      <c r="R50" s="114">
        <f t="shared" si="16"/>
        <v>0</v>
      </c>
      <c r="S50" s="115">
        <f t="shared" si="20"/>
        <v>0.71946299027922023</v>
      </c>
    </row>
    <row r="51" spans="1:27" ht="15" customHeight="1">
      <c r="B51" s="86"/>
      <c r="C51" s="86"/>
      <c r="N51" s="116"/>
      <c r="O51" s="113">
        <f t="shared" si="17"/>
        <v>0</v>
      </c>
      <c r="P51" s="113">
        <f t="shared" si="18"/>
        <v>0</v>
      </c>
      <c r="Q51" s="114">
        <f t="shared" si="19"/>
        <v>0</v>
      </c>
      <c r="R51" s="114">
        <f t="shared" si="16"/>
        <v>0</v>
      </c>
      <c r="S51" s="115">
        <f t="shared" si="20"/>
        <v>0.57717193165756053</v>
      </c>
    </row>
    <row r="52" spans="1:27" ht="15" customHeight="1">
      <c r="B52" s="86"/>
      <c r="C52" s="86"/>
      <c r="N52" s="116"/>
      <c r="O52" s="113">
        <f t="shared" si="17"/>
        <v>0</v>
      </c>
      <c r="P52" s="113">
        <f t="shared" si="18"/>
        <v>0</v>
      </c>
      <c r="Q52" s="114">
        <f t="shared" si="19"/>
        <v>0</v>
      </c>
      <c r="R52" s="114">
        <f t="shared" si="16"/>
        <v>0</v>
      </c>
      <c r="S52" s="115">
        <f t="shared" si="20"/>
        <v>0.41528704451704884</v>
      </c>
    </row>
    <row r="53" spans="1:27" ht="15" customHeight="1">
      <c r="B53" s="86"/>
      <c r="C53" s="86"/>
      <c r="M53" s="132"/>
      <c r="N53" s="116"/>
      <c r="O53" s="113">
        <f t="shared" si="17"/>
        <v>0</v>
      </c>
      <c r="P53" s="113">
        <f t="shared" si="18"/>
        <v>0</v>
      </c>
      <c r="Q53" s="114">
        <f t="shared" si="19"/>
        <v>0</v>
      </c>
      <c r="R53" s="114">
        <f t="shared" si="16"/>
        <v>0</v>
      </c>
      <c r="S53" s="115">
        <f t="shared" si="20"/>
        <v>0.28984524731772093</v>
      </c>
    </row>
    <row r="54" spans="1:27" ht="15" customHeight="1">
      <c r="B54" s="86"/>
      <c r="C54" s="86"/>
      <c r="M54" s="132"/>
      <c r="N54" s="116"/>
      <c r="O54" s="113">
        <f t="shared" si="17"/>
        <v>0</v>
      </c>
      <c r="P54" s="113">
        <f t="shared" si="18"/>
        <v>0</v>
      </c>
      <c r="Q54" s="114">
        <f t="shared" si="19"/>
        <v>0</v>
      </c>
      <c r="R54" s="114">
        <f t="shared" si="16"/>
        <v>0</v>
      </c>
      <c r="S54" s="115">
        <f t="shared" si="20"/>
        <v>0.29564215226407536</v>
      </c>
    </row>
    <row r="55" spans="1:27" ht="15" customHeight="1">
      <c r="B55" s="86"/>
      <c r="C55" s="86"/>
      <c r="M55" s="132"/>
      <c r="N55" s="116"/>
      <c r="O55" s="113">
        <f t="shared" si="17"/>
        <v>0</v>
      </c>
      <c r="P55" s="113">
        <f t="shared" si="18"/>
        <v>0</v>
      </c>
      <c r="Q55" s="114">
        <f t="shared" si="19"/>
        <v>0</v>
      </c>
      <c r="R55" s="114">
        <f t="shared" si="16"/>
        <v>0</v>
      </c>
      <c r="S55" s="115">
        <f t="shared" si="20"/>
        <v>0.29564215226407536</v>
      </c>
    </row>
    <row r="56" spans="1:27" ht="15" customHeight="1">
      <c r="B56" s="86"/>
      <c r="C56" s="86"/>
      <c r="M56" s="132"/>
      <c r="N56" s="116"/>
      <c r="O56" s="113">
        <f t="shared" si="17"/>
        <v>0</v>
      </c>
      <c r="P56" s="113">
        <f t="shared" si="18"/>
        <v>0</v>
      </c>
      <c r="Q56" s="114">
        <f t="shared" si="19"/>
        <v>0</v>
      </c>
      <c r="R56" s="114">
        <f t="shared" si="16"/>
        <v>0</v>
      </c>
      <c r="S56" s="115">
        <f t="shared" si="20"/>
        <v>0.29564215226407536</v>
      </c>
    </row>
    <row r="57" spans="1:27" ht="15" customHeight="1">
      <c r="B57" s="86"/>
      <c r="C57" s="86"/>
      <c r="M57" s="131" t="str">
        <f>J64</f>
        <v>OP 3</v>
      </c>
      <c r="N57" s="119">
        <f>K72</f>
        <v>0</v>
      </c>
      <c r="O57" s="113">
        <f>O7*(N$57/N$7)^2</f>
        <v>0</v>
      </c>
      <c r="P57" s="113">
        <f>P7*(N$57/N$7)</f>
        <v>0</v>
      </c>
      <c r="Q57" s="114">
        <f>Q7*(N$57/N$7)^3</f>
        <v>0</v>
      </c>
      <c r="R57" s="114">
        <f t="shared" si="16"/>
        <v>0</v>
      </c>
      <c r="S57" s="115">
        <f>S7</f>
        <v>0.65071704913768114</v>
      </c>
    </row>
    <row r="58" spans="1:27" ht="15" customHeight="1">
      <c r="B58" s="86"/>
      <c r="C58" s="86"/>
      <c r="M58" s="132"/>
      <c r="N58" s="116"/>
      <c r="O58" s="113">
        <f t="shared" ref="O58:O66" si="21">O8*(N$57/N$7)^2</f>
        <v>0</v>
      </c>
      <c r="P58" s="113">
        <f t="shared" ref="P58:P66" si="22">P8*(N$57/N$7)</f>
        <v>0</v>
      </c>
      <c r="Q58" s="114">
        <f t="shared" ref="Q58:Q66" si="23">Q8*(N$57/N$7)^3</f>
        <v>0</v>
      </c>
      <c r="R58" s="114">
        <f t="shared" si="16"/>
        <v>0</v>
      </c>
      <c r="S58" s="115">
        <f t="shared" ref="S58:S66" si="24">S8</f>
        <v>0.86505408201897793</v>
      </c>
    </row>
    <row r="59" spans="1:27" ht="15" customHeight="1">
      <c r="B59" s="86"/>
      <c r="C59" s="86"/>
      <c r="N59" s="116"/>
      <c r="O59" s="113">
        <f t="shared" si="21"/>
        <v>0</v>
      </c>
      <c r="P59" s="113">
        <f t="shared" si="22"/>
        <v>0</v>
      </c>
      <c r="Q59" s="114">
        <f t="shared" si="23"/>
        <v>0</v>
      </c>
      <c r="R59" s="114">
        <f t="shared" si="16"/>
        <v>0</v>
      </c>
      <c r="S59" s="115">
        <f t="shared" si="24"/>
        <v>0.85123181945182624</v>
      </c>
    </row>
    <row r="60" spans="1:27" ht="15" customHeight="1">
      <c r="B60" s="86"/>
      <c r="C60" s="86"/>
      <c r="N60" s="116"/>
      <c r="O60" s="113">
        <f t="shared" si="21"/>
        <v>0</v>
      </c>
      <c r="P60" s="113">
        <f t="shared" si="22"/>
        <v>0</v>
      </c>
      <c r="Q60" s="114">
        <f t="shared" si="23"/>
        <v>0</v>
      </c>
      <c r="R60" s="114">
        <f t="shared" si="16"/>
        <v>0</v>
      </c>
      <c r="S60" s="115">
        <f t="shared" si="24"/>
        <v>0.71946299027922023</v>
      </c>
    </row>
    <row r="61" spans="1:27" ht="15" customHeight="1">
      <c r="B61" s="86"/>
      <c r="C61" s="86"/>
      <c r="N61" s="116"/>
      <c r="O61" s="113">
        <f t="shared" si="21"/>
        <v>0</v>
      </c>
      <c r="P61" s="113">
        <f t="shared" si="22"/>
        <v>0</v>
      </c>
      <c r="Q61" s="114">
        <f t="shared" si="23"/>
        <v>0</v>
      </c>
      <c r="R61" s="114">
        <f t="shared" si="16"/>
        <v>0</v>
      </c>
      <c r="S61" s="115">
        <f t="shared" si="24"/>
        <v>0.57717193165756053</v>
      </c>
    </row>
    <row r="62" spans="1:27" ht="15" customHeight="1">
      <c r="A62" s="88" t="s">
        <v>2</v>
      </c>
      <c r="B62" s="89" t="str">
        <f>Fan_name</f>
        <v>XOE 166-45G REG</v>
      </c>
      <c r="C62" s="117"/>
      <c r="D62" s="132" t="s">
        <v>119</v>
      </c>
      <c r="E62" s="335">
        <f>Inlet_m</f>
        <v>0.45</v>
      </c>
      <c r="F62" s="86" t="s">
        <v>118</v>
      </c>
      <c r="N62" s="116"/>
      <c r="O62" s="113">
        <f t="shared" si="21"/>
        <v>0</v>
      </c>
      <c r="P62" s="113">
        <f t="shared" si="22"/>
        <v>0</v>
      </c>
      <c r="Q62" s="114">
        <f t="shared" si="23"/>
        <v>0</v>
      </c>
      <c r="R62" s="114">
        <f t="shared" si="16"/>
        <v>0</v>
      </c>
      <c r="S62" s="115">
        <f t="shared" si="24"/>
        <v>0.41528704451704884</v>
      </c>
      <c r="Y62" s="132" t="s">
        <v>990</v>
      </c>
      <c r="Z62" s="86">
        <f>g</f>
        <v>9.8070000000000004</v>
      </c>
      <c r="AA62" s="86" t="s">
        <v>700</v>
      </c>
    </row>
    <row r="63" spans="1:27" ht="15" customHeight="1">
      <c r="A63" s="90" t="s">
        <v>98</v>
      </c>
      <c r="B63" s="91">
        <f>'Data for BOSS'!$B$8</f>
        <v>1</v>
      </c>
      <c r="M63" s="132"/>
      <c r="N63" s="116"/>
      <c r="O63" s="113">
        <f t="shared" si="21"/>
        <v>0</v>
      </c>
      <c r="P63" s="113">
        <f t="shared" si="22"/>
        <v>0</v>
      </c>
      <c r="Q63" s="114">
        <f t="shared" si="23"/>
        <v>0</v>
      </c>
      <c r="R63" s="114">
        <f t="shared" si="16"/>
        <v>0</v>
      </c>
      <c r="S63" s="115">
        <f t="shared" si="24"/>
        <v>0.28984524731772093</v>
      </c>
    </row>
    <row r="64" spans="1:27" ht="15" customHeight="1">
      <c r="A64" s="90"/>
      <c r="B64" s="1424" t="s">
        <v>251</v>
      </c>
      <c r="C64" s="1424"/>
      <c r="F64" s="1424" t="s">
        <v>179</v>
      </c>
      <c r="G64" s="1424"/>
      <c r="J64" s="1424" t="s">
        <v>180</v>
      </c>
      <c r="K64" s="1424"/>
      <c r="M64" s="132"/>
      <c r="N64" s="116"/>
      <c r="O64" s="113">
        <f t="shared" si="21"/>
        <v>0</v>
      </c>
      <c r="P64" s="113">
        <f t="shared" si="22"/>
        <v>0</v>
      </c>
      <c r="Q64" s="114">
        <f t="shared" si="23"/>
        <v>0</v>
      </c>
      <c r="R64" s="114">
        <f t="shared" si="16"/>
        <v>0</v>
      </c>
      <c r="S64" s="115">
        <f t="shared" si="24"/>
        <v>0.29564215226407536</v>
      </c>
    </row>
    <row r="65" spans="1:24" ht="15" customHeight="1">
      <c r="A65" s="105" t="s">
        <v>112</v>
      </c>
      <c r="B65" s="106" t="s">
        <v>113</v>
      </c>
      <c r="C65" s="107">
        <v>1</v>
      </c>
      <c r="E65" s="92" t="s">
        <v>107</v>
      </c>
      <c r="F65" s="100" t="s">
        <v>113</v>
      </c>
      <c r="G65" s="133">
        <f>$C$65</f>
        <v>1</v>
      </c>
      <c r="J65" s="100" t="s">
        <v>113</v>
      </c>
      <c r="K65" s="133">
        <f>$C$65</f>
        <v>1</v>
      </c>
      <c r="M65" s="132"/>
      <c r="N65" s="116"/>
      <c r="O65" s="113">
        <f t="shared" si="21"/>
        <v>0</v>
      </c>
      <c r="P65" s="113">
        <f t="shared" si="22"/>
        <v>0</v>
      </c>
      <c r="Q65" s="114">
        <f t="shared" si="23"/>
        <v>0</v>
      </c>
      <c r="R65" s="114">
        <f t="shared" si="16"/>
        <v>0</v>
      </c>
      <c r="S65" s="115">
        <f t="shared" si="24"/>
        <v>0.29564215226407536</v>
      </c>
      <c r="V65" s="107">
        <v>1</v>
      </c>
      <c r="W65" s="105"/>
      <c r="X65" s="105"/>
    </row>
    <row r="66" spans="1:24" ht="15" customHeight="1">
      <c r="A66" s="105"/>
      <c r="B66" s="106" t="s">
        <v>100</v>
      </c>
      <c r="C66" s="108">
        <f>P_OP_in</f>
        <v>0</v>
      </c>
      <c r="D66" s="90" t="s">
        <v>101</v>
      </c>
      <c r="F66" s="100" t="s">
        <v>100</v>
      </c>
      <c r="G66" s="93">
        <f>'Curves (Ops. conditions)'!$E$49</f>
        <v>0</v>
      </c>
      <c r="H66" s="90" t="s">
        <v>101</v>
      </c>
      <c r="J66" s="100" t="s">
        <v>100</v>
      </c>
      <c r="K66" s="93">
        <f>'Curves (Ops. conditions)'!$E$49</f>
        <v>0</v>
      </c>
      <c r="L66" s="90" t="s">
        <v>101</v>
      </c>
      <c r="M66" s="132"/>
      <c r="N66" s="116"/>
      <c r="O66" s="113">
        <f t="shared" si="21"/>
        <v>0</v>
      </c>
      <c r="P66" s="113">
        <f t="shared" si="22"/>
        <v>0</v>
      </c>
      <c r="Q66" s="114">
        <f t="shared" si="23"/>
        <v>0</v>
      </c>
      <c r="R66" s="114">
        <f t="shared" si="16"/>
        <v>0</v>
      </c>
      <c r="S66" s="115">
        <f t="shared" si="24"/>
        <v>0.29564215226407536</v>
      </c>
      <c r="V66" s="108">
        <f>P_OP_in</f>
        <v>0</v>
      </c>
      <c r="W66" s="93"/>
      <c r="X66" s="93"/>
    </row>
    <row r="67" spans="1:24" ht="15" customHeight="1">
      <c r="A67" s="86" t="s">
        <v>99</v>
      </c>
      <c r="B67" s="109" t="s">
        <v>102</v>
      </c>
      <c r="C67" s="108">
        <f>P_OP_tot</f>
        <v>713.77587437544605</v>
      </c>
      <c r="D67" s="90" t="s">
        <v>101</v>
      </c>
      <c r="F67" s="109" t="s">
        <v>102</v>
      </c>
      <c r="G67" s="108"/>
      <c r="H67" s="90" t="s">
        <v>101</v>
      </c>
      <c r="J67" s="109" t="s">
        <v>102</v>
      </c>
      <c r="K67" s="108"/>
      <c r="L67" s="90" t="s">
        <v>101</v>
      </c>
      <c r="V67" s="108">
        <f>P_OP_tot</f>
        <v>713.77587437544605</v>
      </c>
      <c r="W67" s="237"/>
      <c r="X67" s="237"/>
    </row>
    <row r="68" spans="1:24" ht="15" customHeight="1">
      <c r="B68" s="130" t="s">
        <v>116</v>
      </c>
      <c r="C68" s="111">
        <f>C67-C69</f>
        <v>695.03516367298926</v>
      </c>
      <c r="D68" s="110" t="s">
        <v>101</v>
      </c>
      <c r="F68" s="130" t="s">
        <v>116</v>
      </c>
      <c r="G68" s="111">
        <f>G67-G69</f>
        <v>0</v>
      </c>
      <c r="H68" s="110" t="s">
        <v>101</v>
      </c>
      <c r="J68" s="130" t="s">
        <v>116</v>
      </c>
      <c r="K68" s="111">
        <f>K67-K69</f>
        <v>0</v>
      </c>
      <c r="L68" s="110" t="s">
        <v>101</v>
      </c>
      <c r="V68" s="105"/>
      <c r="W68" s="105"/>
      <c r="X68" s="105"/>
    </row>
    <row r="69" spans="1:24" ht="15" customHeight="1">
      <c r="B69" s="130" t="s">
        <v>124</v>
      </c>
      <c r="C69" s="111">
        <f>0.5*C73*(C71/(PI()*$E$62^2/4)/3600)^2/$Z$62</f>
        <v>18.740710702456806</v>
      </c>
      <c r="D69" s="110" t="s">
        <v>101</v>
      </c>
      <c r="F69" s="130" t="s">
        <v>124</v>
      </c>
      <c r="G69" s="111">
        <f>0.5*G73*(G71/(PI()*$E$62^2/4)/3600)^2/$Z$62</f>
        <v>0</v>
      </c>
      <c r="H69" s="110" t="s">
        <v>101</v>
      </c>
      <c r="J69" s="130" t="s">
        <v>124</v>
      </c>
      <c r="K69" s="111">
        <f>0.5*K73*(K71/(PI()*$E$62^2/4)/3600)^2/$Z$62</f>
        <v>0</v>
      </c>
      <c r="L69" s="110" t="s">
        <v>101</v>
      </c>
      <c r="V69" s="105"/>
      <c r="W69" s="105"/>
      <c r="X69" s="105"/>
    </row>
    <row r="70" spans="1:24" ht="15" customHeight="1">
      <c r="B70" s="109" t="s">
        <v>114</v>
      </c>
      <c r="C70" s="108">
        <f>T_OP</f>
        <v>20</v>
      </c>
      <c r="D70" s="90" t="s">
        <v>21</v>
      </c>
      <c r="F70" s="93" t="s">
        <v>114</v>
      </c>
      <c r="G70" s="93">
        <f>C70</f>
        <v>20</v>
      </c>
      <c r="H70" s="90" t="s">
        <v>21</v>
      </c>
      <c r="J70" s="93" t="s">
        <v>114</v>
      </c>
      <c r="K70" s="93">
        <f>C70</f>
        <v>20</v>
      </c>
      <c r="L70" s="90" t="s">
        <v>21</v>
      </c>
      <c r="V70" s="108">
        <f>T_OP</f>
        <v>20</v>
      </c>
      <c r="W70" s="105"/>
      <c r="X70" s="105"/>
    </row>
    <row r="71" spans="1:24" ht="15" customHeight="1">
      <c r="B71" s="109" t="s">
        <v>23</v>
      </c>
      <c r="C71" s="108">
        <f>Q</f>
        <v>10000</v>
      </c>
      <c r="D71" s="90" t="s">
        <v>103</v>
      </c>
      <c r="E71" s="92" t="s">
        <v>107</v>
      </c>
      <c r="F71" s="109" t="s">
        <v>23</v>
      </c>
      <c r="G71" s="108"/>
      <c r="H71" s="90" t="s">
        <v>103</v>
      </c>
      <c r="J71" s="109" t="s">
        <v>23</v>
      </c>
      <c r="K71" s="108"/>
      <c r="L71" s="90" t="s">
        <v>103</v>
      </c>
      <c r="V71" s="108">
        <f>Q</f>
        <v>10000</v>
      </c>
      <c r="W71" s="237"/>
      <c r="X71" s="237"/>
    </row>
    <row r="72" spans="1:24" ht="15" customHeight="1">
      <c r="B72" s="109" t="s">
        <v>104</v>
      </c>
      <c r="C72" s="108">
        <f>rpm_OP</f>
        <v>1672.3774886767021</v>
      </c>
      <c r="D72" s="90" t="s">
        <v>105</v>
      </c>
      <c r="F72" s="109" t="s">
        <v>104</v>
      </c>
      <c r="G72" s="108"/>
      <c r="H72" s="90" t="s">
        <v>105</v>
      </c>
      <c r="J72" s="109" t="s">
        <v>104</v>
      </c>
      <c r="K72" s="108"/>
      <c r="L72" s="90" t="s">
        <v>105</v>
      </c>
      <c r="V72" s="108">
        <f>rpm_OP</f>
        <v>1672.3774886767021</v>
      </c>
      <c r="W72" s="237"/>
      <c r="X72" s="237"/>
    </row>
    <row r="73" spans="1:24" ht="15" customHeight="1">
      <c r="B73" s="108" t="s">
        <v>278</v>
      </c>
      <c r="C73" s="238">
        <f>rho_med_OP</f>
        <v>1.2050000000000001</v>
      </c>
      <c r="D73" s="90" t="s">
        <v>30</v>
      </c>
      <c r="F73" s="87" t="s">
        <v>278</v>
      </c>
      <c r="G73" s="95">
        <f>C73</f>
        <v>1.2050000000000001</v>
      </c>
      <c r="H73" s="90" t="s">
        <v>30</v>
      </c>
      <c r="J73" s="87" t="s">
        <v>278</v>
      </c>
      <c r="K73" s="95">
        <f>C73</f>
        <v>1.2050000000000001</v>
      </c>
      <c r="L73" s="90" t="s">
        <v>30</v>
      </c>
      <c r="V73" s="238">
        <f>rho_med_OP</f>
        <v>1.2050000000000001</v>
      </c>
      <c r="W73" s="105"/>
      <c r="X73" s="105"/>
    </row>
    <row r="74" spans="1:24" ht="15" customHeight="1">
      <c r="B74" s="87" t="s">
        <v>109</v>
      </c>
      <c r="C74" s="96">
        <f>INDEX($S$37:$S$46,MATCH(C71,$P$37:$P$46,1))+(C71-INDEX($P$37:$P$46,MATCH(C71,$P$37:$P$46,1)))*(INDEX($S$37:$S$46,MATCH(C71,$P$37:$P$46,1)+1)-INDEX($S$37:$S$46,MATCH(C71,$P$37:$P$46,1)))/(INDEX($P$37:$P$46,MATCH(C71,$P$37:$P$46,1)+1)-INDEX($P$37:$P$46,MATCH(C71,$P$37:$P$46,1)))</f>
        <v>0.85827274783057184</v>
      </c>
      <c r="F74" s="87" t="s">
        <v>109</v>
      </c>
      <c r="G74" s="96" t="e">
        <f>INDEX($S$47:$S$56,MATCH(G71,$P$47:$P$56,1))+(G71-INDEX($P$47:$P$56,MATCH(G71,$P$47:$P$56,1)))*(INDEX($S$47:$S$56,MATCH(G71,$P$47:$P$56,1)+1)-INDEX($S$47:$S$56,MATCH(G71,$P$47:$P$56,1)))/(INDEX($P$47:$P$56,MATCH(G71,$P$47:$P$56,1)+1)-INDEX($P$47:$P$56,MATCH(G71,$P$47:$P$56,1)))</f>
        <v>#REF!</v>
      </c>
      <c r="J74" s="87" t="s">
        <v>109</v>
      </c>
      <c r="K74" s="96" t="e">
        <f>INDEX($S$57:$S$66,MATCH(K71,$P$57:$P$66,1))+(K71-INDEX($P$57:$P$66,MATCH(K71,$P$57:$P$66,1)))*(INDEX($S$57:$S$66,MATCH(K71,$P$57:$P$66,1)+1)-INDEX($S$57:$S$66,MATCH(K71,$P$57:$P$66,1)))/(INDEX($P$57:$P$66,MATCH(K71,$P$57:$P$66,1)+1)-INDEX($P$57:$P$66,MATCH(K71,$P$57:$P$66,1)))</f>
        <v>#REF!</v>
      </c>
    </row>
    <row r="75" spans="1:24" ht="15" customHeight="1">
      <c r="B75" s="87" t="s">
        <v>166</v>
      </c>
      <c r="C75" s="97">
        <f>C67*$Z$62*C71/3600000/($B$63*C74)</f>
        <v>22.655320809839917</v>
      </c>
      <c r="D75" s="86" t="s">
        <v>110</v>
      </c>
      <c r="F75" s="87" t="s">
        <v>166</v>
      </c>
      <c r="G75" s="97" t="e">
        <f>G67*$Z$62*G71/3600000/($B$63*G74)</f>
        <v>#REF!</v>
      </c>
      <c r="H75" s="86" t="s">
        <v>110</v>
      </c>
      <c r="J75" s="87" t="s">
        <v>166</v>
      </c>
      <c r="K75" s="97" t="e">
        <f>K67*$Z$62*K71/3600000/($B$63*K74)</f>
        <v>#REF!</v>
      </c>
      <c r="L75" s="86" t="s">
        <v>110</v>
      </c>
    </row>
    <row r="76" spans="1:24" ht="15" customHeight="1">
      <c r="B76" s="86"/>
      <c r="C76" s="86"/>
    </row>
    <row r="77" spans="1:24" ht="15" customHeight="1">
      <c r="B77" s="86"/>
      <c r="C77" s="86"/>
    </row>
    <row r="78" spans="1:24" ht="15" customHeight="1">
      <c r="B78" s="86"/>
      <c r="C78" s="86"/>
    </row>
    <row r="79" spans="1:24" ht="15" customHeight="1">
      <c r="B79" s="86"/>
      <c r="C79" s="86"/>
    </row>
    <row r="80" spans="1:24" ht="15" customHeight="1">
      <c r="B80" s="86"/>
      <c r="C80" s="86"/>
    </row>
    <row r="81" spans="2:3" ht="15" customHeight="1">
      <c r="B81" s="86"/>
      <c r="C81" s="86"/>
    </row>
    <row r="82" spans="2:3" ht="15" customHeight="1">
      <c r="B82" s="86"/>
      <c r="C82" s="86"/>
    </row>
    <row r="83" spans="2:3" ht="15" customHeight="1">
      <c r="B83" s="86"/>
      <c r="C83" s="86"/>
    </row>
    <row r="84" spans="2:3" ht="15" customHeight="1">
      <c r="B84" s="86"/>
      <c r="C84" s="86"/>
    </row>
    <row r="85" spans="2:3" ht="15" customHeight="1">
      <c r="B85" s="86"/>
      <c r="C85" s="86"/>
    </row>
    <row r="86" spans="2:3" ht="15" customHeight="1">
      <c r="B86" s="86"/>
      <c r="C86" s="86"/>
    </row>
    <row r="87" spans="2:3" ht="15" customHeight="1">
      <c r="B87" s="86"/>
      <c r="C87" s="86"/>
    </row>
    <row r="88" spans="2:3" ht="15" customHeight="1">
      <c r="B88" s="86"/>
      <c r="C88" s="86"/>
    </row>
    <row r="89" spans="2:3" ht="15" customHeight="1">
      <c r="B89" s="86"/>
      <c r="C89" s="86"/>
    </row>
    <row r="90" spans="2:3" ht="15" customHeight="1">
      <c r="B90" s="86"/>
      <c r="C90" s="86"/>
    </row>
    <row r="91" spans="2:3" ht="15" customHeight="1">
      <c r="B91" s="86"/>
      <c r="C91" s="86"/>
    </row>
    <row r="92" spans="2:3" ht="15" customHeight="1">
      <c r="B92" s="86"/>
      <c r="C92" s="86"/>
    </row>
    <row r="93" spans="2:3" ht="15" customHeight="1">
      <c r="B93" s="86"/>
      <c r="C93" s="86"/>
    </row>
    <row r="94" spans="2:3" ht="15" customHeight="1">
      <c r="B94" s="86"/>
      <c r="C94" s="86"/>
    </row>
    <row r="95" spans="2:3" ht="15" customHeight="1">
      <c r="B95" s="86"/>
      <c r="C95" s="86"/>
    </row>
    <row r="96" spans="2:3" ht="15" customHeight="1">
      <c r="B96" s="86"/>
      <c r="C96" s="86"/>
    </row>
    <row r="97" spans="2:19" ht="15" customHeight="1">
      <c r="B97" s="86"/>
      <c r="C97" s="86"/>
    </row>
    <row r="98" spans="2:19" ht="15" customHeight="1">
      <c r="B98" s="86"/>
      <c r="C98" s="86"/>
      <c r="M98" s="448"/>
      <c r="N98" s="448"/>
      <c r="O98" s="448"/>
    </row>
    <row r="99" spans="2:19" ht="15" customHeight="1">
      <c r="B99" s="86"/>
      <c r="C99" s="86"/>
      <c r="M99" s="450"/>
      <c r="N99" s="451"/>
      <c r="O99" s="451"/>
      <c r="P99" s="88"/>
      <c r="R99" s="110"/>
      <c r="S99" s="110"/>
    </row>
    <row r="100" spans="2:19" ht="15" customHeight="1">
      <c r="B100" s="86"/>
      <c r="C100" s="86"/>
    </row>
    <row r="101" spans="2:19" ht="15" customHeight="1">
      <c r="B101" s="86"/>
      <c r="C101" s="86"/>
    </row>
    <row r="102" spans="2:19" ht="15" customHeight="1">
      <c r="B102" s="86"/>
      <c r="C102" s="86"/>
    </row>
    <row r="103" spans="2:19" ht="15" customHeight="1">
      <c r="B103" s="86"/>
      <c r="C103" s="86"/>
    </row>
    <row r="104" spans="2:19" ht="15" customHeight="1">
      <c r="B104" s="86"/>
      <c r="C104" s="86"/>
    </row>
    <row r="105" spans="2:19" ht="15" customHeight="1">
      <c r="B105" s="86"/>
      <c r="C105" s="86"/>
    </row>
    <row r="106" spans="2:19" ht="15" customHeight="1">
      <c r="B106" s="86"/>
      <c r="C106" s="86"/>
    </row>
    <row r="107" spans="2:19" ht="15" customHeight="1">
      <c r="B107" s="86"/>
      <c r="C107" s="86"/>
    </row>
    <row r="108" spans="2:19" ht="15" customHeight="1">
      <c r="B108" s="86"/>
      <c r="C108" s="86"/>
    </row>
    <row r="109" spans="2:19" ht="15" customHeight="1">
      <c r="B109" s="86"/>
      <c r="C109" s="86"/>
    </row>
    <row r="110" spans="2:19" ht="15" customHeight="1">
      <c r="B110" s="86"/>
      <c r="C110" s="86"/>
    </row>
    <row r="111" spans="2:19" ht="15" customHeight="1">
      <c r="B111" s="86"/>
      <c r="C111" s="86"/>
    </row>
    <row r="112" spans="2:19" ht="15" customHeight="1">
      <c r="B112" s="86"/>
      <c r="C112" s="86"/>
    </row>
    <row r="113" spans="2:3" ht="15" customHeight="1">
      <c r="B113" s="86"/>
      <c r="C113" s="86"/>
    </row>
    <row r="114" spans="2:3" ht="15" customHeight="1">
      <c r="B114" s="86"/>
      <c r="C114" s="86"/>
    </row>
    <row r="115" spans="2:3" ht="15" customHeight="1">
      <c r="B115" s="86"/>
      <c r="C115" s="86"/>
    </row>
    <row r="116" spans="2:3" ht="15" customHeight="1">
      <c r="B116" s="86"/>
      <c r="C116" s="86"/>
    </row>
    <row r="117" spans="2:3" ht="15" customHeight="1">
      <c r="B117" s="86"/>
      <c r="C117" s="86"/>
    </row>
    <row r="118" spans="2:3" ht="15" customHeight="1">
      <c r="B118" s="86"/>
      <c r="C118" s="86"/>
    </row>
    <row r="119" spans="2:3" ht="15" customHeight="1">
      <c r="B119" s="86"/>
      <c r="C119" s="86"/>
    </row>
    <row r="120" spans="2:3" ht="15" customHeight="1">
      <c r="B120" s="86"/>
      <c r="C120" s="86"/>
    </row>
    <row r="121" spans="2:3" ht="15" customHeight="1">
      <c r="B121" s="86"/>
      <c r="C121" s="86"/>
    </row>
    <row r="122" spans="2:3" ht="15" customHeight="1">
      <c r="B122" s="86"/>
      <c r="C122" s="86"/>
    </row>
    <row r="123" spans="2:3" ht="15" customHeight="1">
      <c r="B123" s="86"/>
      <c r="C123" s="86"/>
    </row>
    <row r="124" spans="2:3" ht="15" customHeight="1">
      <c r="B124" s="86"/>
      <c r="C124" s="86"/>
    </row>
    <row r="125" spans="2:3" ht="15" customHeight="1">
      <c r="B125" s="86"/>
      <c r="C125" s="86"/>
    </row>
    <row r="126" spans="2:3" ht="15" customHeight="1">
      <c r="B126" s="86"/>
      <c r="C126" s="86"/>
    </row>
    <row r="127" spans="2:3" ht="15" customHeight="1">
      <c r="B127" s="86"/>
      <c r="C127" s="86"/>
    </row>
    <row r="128" spans="2:3" ht="15" customHeight="1">
      <c r="B128" s="86"/>
      <c r="C128" s="86"/>
    </row>
    <row r="129" spans="2:3" ht="15" customHeight="1">
      <c r="B129" s="86"/>
      <c r="C129" s="86"/>
    </row>
    <row r="130" spans="2:3" ht="15" customHeight="1">
      <c r="B130" s="86"/>
      <c r="C130" s="86"/>
    </row>
    <row r="131" spans="2:3" ht="15" customHeight="1">
      <c r="B131" s="86"/>
      <c r="C131" s="86"/>
    </row>
    <row r="132" spans="2:3" ht="15" customHeight="1">
      <c r="B132" s="86"/>
      <c r="C132" s="86"/>
    </row>
    <row r="133" spans="2:3" ht="15" customHeight="1">
      <c r="B133" s="86"/>
      <c r="C133" s="86"/>
    </row>
    <row r="134" spans="2:3" ht="15" customHeight="1">
      <c r="B134" s="86"/>
      <c r="C134" s="86"/>
    </row>
    <row r="135" spans="2:3" ht="15" customHeight="1">
      <c r="B135" s="86"/>
      <c r="C135" s="86"/>
    </row>
    <row r="136" spans="2:3" ht="15" customHeight="1">
      <c r="B136" s="86"/>
      <c r="C136" s="86"/>
    </row>
    <row r="137" spans="2:3" ht="15" customHeight="1">
      <c r="B137" s="86"/>
      <c r="C137" s="86"/>
    </row>
    <row r="138" spans="2:3" ht="15" customHeight="1">
      <c r="B138" s="86"/>
      <c r="C138" s="86"/>
    </row>
  </sheetData>
  <mergeCells count="7">
    <mergeCell ref="B64:C64"/>
    <mergeCell ref="F64:G64"/>
    <mergeCell ref="J64:K64"/>
    <mergeCell ref="A1:B1"/>
    <mergeCell ref="C1:L1"/>
    <mergeCell ref="A2:B2"/>
    <mergeCell ref="C2:K2"/>
  </mergeCells>
  <phoneticPr fontId="77" type="noConversion"/>
  <pageMargins left="0.51181102362204722" right="0.35433070866141736" top="0.98425196850393704" bottom="0.98425196850393704" header="0.51181102362204722" footer="0.51181102362204722"/>
  <pageSetup paperSize="9" scale="39" orientation="landscape" r:id="rId1"/>
  <headerFooter alignWithMargins="0">
    <oddHeader>&amp;L&amp;G&amp;R&amp;D</oddHeader>
    <oddFooter>&amp;LCONFIDENTIAL&amp;C&amp;F / &amp;A&amp;RPage &amp;P / &amp;N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A138"/>
  <sheetViews>
    <sheetView topLeftCell="E7" zoomScale="70" zoomScaleNormal="70" workbookViewId="0">
      <selection sqref="A1:B1"/>
    </sheetView>
  </sheetViews>
  <sheetFormatPr defaultColWidth="14.5703125" defaultRowHeight="15" customHeight="1"/>
  <cols>
    <col min="1" max="1" width="17.5703125" style="86" customWidth="1"/>
    <col min="2" max="3" width="14.5703125" style="87"/>
    <col min="4" max="16384" width="14.5703125" style="86"/>
  </cols>
  <sheetData>
    <row r="1" spans="1:24" ht="33" customHeight="1" thickBot="1">
      <c r="A1" s="1420" t="s">
        <v>565</v>
      </c>
      <c r="B1" s="1421"/>
      <c r="C1" s="1411">
        <f>'Fan Selection'!B1</f>
        <v>6666</v>
      </c>
      <c r="D1" s="1412"/>
      <c r="E1" s="1412"/>
      <c r="F1" s="1412"/>
      <c r="G1" s="1412"/>
      <c r="H1" s="1412"/>
      <c r="I1" s="1412"/>
      <c r="J1" s="1412"/>
      <c r="K1" s="1412"/>
      <c r="L1" s="1413"/>
      <c r="M1" s="84"/>
      <c r="N1" s="84"/>
      <c r="O1" s="84"/>
      <c r="P1" s="84"/>
      <c r="Q1" s="85"/>
    </row>
    <row r="2" spans="1:24" ht="33" customHeight="1" thickBot="1">
      <c r="A2" s="1420" t="s">
        <v>564</v>
      </c>
      <c r="B2" s="1421"/>
      <c r="C2" s="1411">
        <f>'Fan Selection'!B2</f>
        <v>0</v>
      </c>
      <c r="D2" s="1412"/>
      <c r="E2" s="1412"/>
      <c r="F2" s="1412"/>
      <c r="G2" s="1412"/>
      <c r="H2" s="1412"/>
      <c r="I2" s="1412"/>
      <c r="J2" s="1412"/>
      <c r="K2" s="1414"/>
      <c r="L2" s="598">
        <f>'Fan Selection'!P2</f>
        <v>0</v>
      </c>
      <c r="M2" s="84"/>
      <c r="N2" s="84"/>
      <c r="O2" s="84"/>
      <c r="P2" s="84"/>
      <c r="Q2" s="85"/>
    </row>
    <row r="3" spans="1:24" ht="15" customHeight="1">
      <c r="K3" s="85"/>
      <c r="L3" s="85"/>
      <c r="M3" s="85"/>
      <c r="N3" s="85"/>
      <c r="O3" s="85"/>
      <c r="P3" s="85"/>
      <c r="Q3" s="85"/>
    </row>
    <row r="4" spans="1:24" ht="15" customHeight="1">
      <c r="C4" s="97"/>
      <c r="F4" s="87"/>
      <c r="G4" s="97"/>
      <c r="J4" s="87"/>
      <c r="K4" s="97"/>
      <c r="M4" s="450"/>
      <c r="N4" s="451"/>
      <c r="O4" s="451"/>
      <c r="P4" s="88"/>
      <c r="R4" s="110"/>
      <c r="S4" s="110"/>
    </row>
    <row r="5" spans="1:24" ht="15" customHeight="1">
      <c r="C5" s="97"/>
      <c r="F5" s="87"/>
      <c r="G5" s="97"/>
      <c r="J5" s="87"/>
      <c r="K5" s="97"/>
      <c r="M5" s="112"/>
      <c r="N5" s="88"/>
      <c r="O5" s="88"/>
      <c r="P5" s="88"/>
      <c r="R5" s="110"/>
      <c r="S5" s="110"/>
    </row>
    <row r="6" spans="1:24" ht="15" customHeight="1">
      <c r="C6" s="97"/>
      <c r="K6" s="88"/>
      <c r="L6" s="112"/>
      <c r="N6" s="88" t="s">
        <v>0</v>
      </c>
      <c r="O6" s="112" t="s">
        <v>5</v>
      </c>
      <c r="P6" s="112" t="s">
        <v>6</v>
      </c>
      <c r="Q6" s="88" t="s">
        <v>166</v>
      </c>
      <c r="R6" s="88" t="s">
        <v>4</v>
      </c>
      <c r="S6" s="88" t="s">
        <v>111</v>
      </c>
    </row>
    <row r="7" spans="1:24" ht="15" customHeight="1">
      <c r="C7" s="97"/>
      <c r="G7" s="100"/>
      <c r="N7" s="101">
        <f>'Curves (Std. conditions)'!M8</f>
        <v>1672.3774886767021</v>
      </c>
      <c r="O7" s="93">
        <f>'Curves (Ops. conditions)'!N8*$C$73/rho_med_OP*$C$65^2</f>
        <v>714.19385389401737</v>
      </c>
      <c r="P7" s="93">
        <f>'Curves (Ops. conditions)'!O8*$C$65^3</f>
        <v>4774.2507882755517</v>
      </c>
      <c r="Q7" s="102">
        <f t="shared" ref="Q7:Q16" si="0">R7/(S7*$B$63)</f>
        <v>14.274563137553161</v>
      </c>
      <c r="R7" s="102">
        <f t="shared" ref="R7:R38" si="1">O7*$Z$62*P7/3600000</f>
        <v>9.2887016025981115</v>
      </c>
      <c r="S7" s="103">
        <f>'Curves (Ops. conditions)'!R8</f>
        <v>0.65071704913768114</v>
      </c>
    </row>
    <row r="8" spans="1:24" ht="15" customHeight="1">
      <c r="C8" s="97"/>
      <c r="G8" s="100"/>
      <c r="N8" s="101"/>
      <c r="O8" s="93">
        <f>'Curves (Ops. conditions)'!N9*$C$73/rho_med_OP*$C$65^2</f>
        <v>734.36172744888722</v>
      </c>
      <c r="P8" s="93">
        <f>'Curves (Ops. conditions)'!O9*$C$65^3</f>
        <v>8230.0242143358737</v>
      </c>
      <c r="Q8" s="102">
        <f t="shared" si="0"/>
        <v>19.032750850070883</v>
      </c>
      <c r="R8" s="102">
        <f t="shared" si="1"/>
        <v>16.464358814903989</v>
      </c>
      <c r="S8" s="103">
        <f>'Curves (Ops. conditions)'!R9</f>
        <v>0.86505408201897793</v>
      </c>
    </row>
    <row r="9" spans="1:24" ht="15" customHeight="1">
      <c r="G9" s="100"/>
      <c r="N9" s="101"/>
      <c r="O9" s="93">
        <f>'Curves (Ops. conditions)'!N10*$C$73/rho_med_OP*$C$65^2</f>
        <v>639.64653738523714</v>
      </c>
      <c r="P9" s="93">
        <f>'Curves (Ops. conditions)'!O10*$C$65^3</f>
        <v>11837.731690067933</v>
      </c>
      <c r="Q9" s="102">
        <f t="shared" si="0"/>
        <v>24.232285134372773</v>
      </c>
      <c r="R9" s="102">
        <f t="shared" si="1"/>
        <v>20.627292164407578</v>
      </c>
      <c r="S9" s="103">
        <f>'Curves (Ops. conditions)'!R10</f>
        <v>0.85123181945182624</v>
      </c>
      <c r="V9" s="452" t="s">
        <v>107</v>
      </c>
      <c r="W9" s="448"/>
      <c r="X9" s="448"/>
    </row>
    <row r="10" spans="1:24" ht="15" customHeight="1">
      <c r="G10" s="100"/>
      <c r="N10" s="101"/>
      <c r="O10" s="93">
        <f>'Curves (Ops. conditions)'!N11*$C$73/rho_med_OP*$C$65^2</f>
        <v>508.25571196025805</v>
      </c>
      <c r="P10" s="93">
        <f>'Curves (Ops. conditions)'!O11*$C$65^3</f>
        <v>14176.890069302517</v>
      </c>
      <c r="Q10" s="102">
        <f t="shared" si="0"/>
        <v>27.282769632308192</v>
      </c>
      <c r="R10" s="102">
        <f t="shared" si="1"/>
        <v>19.628943022759554</v>
      </c>
      <c r="S10" s="103">
        <f>'Curves (Ops. conditions)'!R11</f>
        <v>0.71946299027922023</v>
      </c>
      <c r="V10" s="448" t="s">
        <v>361</v>
      </c>
      <c r="W10" s="449">
        <f>MAX(P17:P36)</f>
        <v>42515.344843366969</v>
      </c>
      <c r="X10" s="449">
        <f>MAX(O17:O36)*1.2</f>
        <v>5041.3011029802246</v>
      </c>
    </row>
    <row r="11" spans="1:24" ht="15" customHeight="1">
      <c r="G11" s="100"/>
      <c r="N11" s="101"/>
      <c r="O11" s="93">
        <f>'Curves (Ops. conditions)'!N12*$C$73/rho_med_OP*$C$65^2</f>
        <v>360.33184869094299</v>
      </c>
      <c r="P11" s="93">
        <f>'Curves (Ops. conditions)'!O12*$C$65^3</f>
        <v>15938.460009162362</v>
      </c>
      <c r="Q11" s="102">
        <f t="shared" si="0"/>
        <v>27.106751763712655</v>
      </c>
      <c r="R11" s="102">
        <f t="shared" si="1"/>
        <v>15.64525627642402</v>
      </c>
      <c r="S11" s="103">
        <f>'Curves (Ops. conditions)'!R12</f>
        <v>0.57717193165756053</v>
      </c>
      <c r="V11" s="448"/>
      <c r="W11" s="449"/>
      <c r="X11" s="449"/>
    </row>
    <row r="12" spans="1:24" ht="15" customHeight="1">
      <c r="G12" s="100"/>
      <c r="N12" s="100"/>
      <c r="O12" s="93">
        <f>'Curves (Ops. conditions)'!N13*$C$73/rho_med_OP*$C$65^2</f>
        <v>230.2411958350778</v>
      </c>
      <c r="P12" s="93">
        <f>'Curves (Ops. conditions)'!O13*$C$65^3</f>
        <v>17131.909385187471</v>
      </c>
      <c r="Q12" s="102">
        <f t="shared" si="0"/>
        <v>25.874626683543898</v>
      </c>
      <c r="R12" s="102">
        <f t="shared" si="1"/>
        <v>10.745397243390915</v>
      </c>
      <c r="S12" s="103">
        <f>'Curves (Ops. conditions)'!R13</f>
        <v>0.41528704451704884</v>
      </c>
      <c r="V12" s="448" t="s">
        <v>106</v>
      </c>
      <c r="W12" s="449">
        <f>W10</f>
        <v>42515.344843366969</v>
      </c>
      <c r="X12" s="449">
        <f>(X10+X14)/2</f>
        <v>4621.1926777318731</v>
      </c>
    </row>
    <row r="13" spans="1:24" ht="15" customHeight="1">
      <c r="G13" s="100"/>
      <c r="N13" s="100"/>
      <c r="O13" s="93">
        <f>'Curves (Ops. conditions)'!N14*$C$73/rho_med_OP*$C$65^2</f>
        <v>154.69124433984632</v>
      </c>
      <c r="P13" s="93">
        <f>'Curves (Ops. conditions)'!O14*$C$65^3</f>
        <v>17775.426409843509</v>
      </c>
      <c r="Q13" s="102">
        <f t="shared" si="0"/>
        <v>25.843614349630329</v>
      </c>
      <c r="R13" s="102">
        <f t="shared" si="1"/>
        <v>7.4906487927524044</v>
      </c>
      <c r="S13" s="103">
        <f>'Curves (Ops. conditions)'!R14</f>
        <v>0.28984524731772093</v>
      </c>
      <c r="W13" s="448"/>
      <c r="X13" s="448"/>
    </row>
    <row r="14" spans="1:24" ht="15" customHeight="1">
      <c r="G14" s="100"/>
      <c r="N14" s="100"/>
      <c r="O14" s="93">
        <f>'Curves (Ops. conditions)'!N15*$C$73/rho_med_OP*$C$65^2</f>
        <v>154.69124433984632</v>
      </c>
      <c r="P14" s="93">
        <f>'Curves (Ops. conditions)'!O15*$C$65^3</f>
        <v>17775.426409843509</v>
      </c>
      <c r="Q14" s="102">
        <f t="shared" si="0"/>
        <v>25.336876813363066</v>
      </c>
      <c r="R14" s="102">
        <f t="shared" si="1"/>
        <v>7.4906487927524044</v>
      </c>
      <c r="S14" s="103">
        <f>'Curves (Ops. conditions)'!R15</f>
        <v>0.29564215226407536</v>
      </c>
      <c r="V14" s="448" t="s">
        <v>276</v>
      </c>
      <c r="W14" s="449">
        <f>W10</f>
        <v>42515.344843366969</v>
      </c>
      <c r="X14" s="449">
        <f>MAX(O17:O36)</f>
        <v>4201.0842524835207</v>
      </c>
    </row>
    <row r="15" spans="1:24" ht="15" customHeight="1">
      <c r="G15" s="100"/>
      <c r="N15" s="100"/>
      <c r="O15" s="93">
        <f>'Curves (Ops. conditions)'!N16*$C$73/rho_med_OP*$C$65^2</f>
        <v>154.69124433984632</v>
      </c>
      <c r="P15" s="93">
        <f>'Curves (Ops. conditions)'!O16*$C$65^3</f>
        <v>17775.426409843509</v>
      </c>
      <c r="Q15" s="102">
        <f t="shared" si="0"/>
        <v>25.336876813363066</v>
      </c>
      <c r="R15" s="102">
        <f t="shared" si="1"/>
        <v>7.4906487927524044</v>
      </c>
      <c r="S15" s="103">
        <f>'Curves (Ops. conditions)'!R16</f>
        <v>0.29564215226407536</v>
      </c>
      <c r="V15" s="448"/>
      <c r="W15" s="448"/>
      <c r="X15" s="448"/>
    </row>
    <row r="16" spans="1:24" ht="15" customHeight="1">
      <c r="G16" s="100"/>
      <c r="N16" s="100"/>
      <c r="O16" s="93">
        <f>'Curves (Ops. conditions)'!N17*$C$73/rho_med_OP*$C$65^2</f>
        <v>154.69124433984632</v>
      </c>
      <c r="P16" s="93">
        <f>'Curves (Ops. conditions)'!O17*$C$65^3</f>
        <v>17775.426409843509</v>
      </c>
      <c r="Q16" s="102">
        <f t="shared" si="0"/>
        <v>25.336876813363066</v>
      </c>
      <c r="R16" s="102">
        <f t="shared" si="1"/>
        <v>7.4906487927524044</v>
      </c>
      <c r="S16" s="103">
        <f>'Curves (Ops. conditions)'!R17</f>
        <v>0.29564215226407536</v>
      </c>
    </row>
    <row r="17" spans="2:24" ht="15" customHeight="1">
      <c r="G17" s="100"/>
      <c r="N17" s="101">
        <f>'Curves (Ops. conditions)'!M18</f>
        <v>4000</v>
      </c>
      <c r="O17" s="93">
        <f>O7*(N$17/N$7)^2</f>
        <v>4085.7093182644171</v>
      </c>
      <c r="P17" s="93">
        <f>P7*(N$17/N$7)</f>
        <v>11419.074510631594</v>
      </c>
      <c r="Q17" s="102">
        <f>Q7*(N$17/N$7)^3</f>
        <v>195.31691712408869</v>
      </c>
      <c r="R17" s="102">
        <f t="shared" si="1"/>
        <v>127.09604795765598</v>
      </c>
      <c r="S17" s="103">
        <f>S7</f>
        <v>0.65071704913768114</v>
      </c>
      <c r="V17" s="448"/>
      <c r="W17" s="448"/>
      <c r="X17" s="448"/>
    </row>
    <row r="18" spans="2:24" ht="15" customHeight="1">
      <c r="G18" s="100"/>
      <c r="N18" s="104"/>
      <c r="O18" s="93">
        <f t="shared" ref="O18:O26" si="2">O8*(N$17/N$7)^2</f>
        <v>4201.0842524835207</v>
      </c>
      <c r="P18" s="93">
        <f t="shared" ref="P18:P26" si="3">P8*(N$17/N$7)</f>
        <v>19684.60893562499</v>
      </c>
      <c r="Q18" s="102">
        <f t="shared" ref="Q18:Q26" si="4">Q8*(N$17/N$7)^3</f>
        <v>260.42255616545162</v>
      </c>
      <c r="R18" s="102">
        <f t="shared" si="1"/>
        <v>225.27959526074045</v>
      </c>
      <c r="S18" s="103">
        <f t="shared" ref="S18:S26" si="5">S8</f>
        <v>0.86505408201897793</v>
      </c>
      <c r="V18" s="448"/>
      <c r="W18" s="448"/>
      <c r="X18" s="448"/>
    </row>
    <row r="19" spans="2:24" ht="15" customHeight="1">
      <c r="G19" s="100"/>
      <c r="N19" s="101"/>
      <c r="O19" s="93">
        <f t="shared" si="2"/>
        <v>3659.2443409324669</v>
      </c>
      <c r="P19" s="93">
        <f t="shared" si="3"/>
        <v>28313.53990404342</v>
      </c>
      <c r="Q19" s="102">
        <f t="shared" si="4"/>
        <v>331.56708066716112</v>
      </c>
      <c r="R19" s="102">
        <f t="shared" si="1"/>
        <v>282.240449346638</v>
      </c>
      <c r="S19" s="103">
        <f t="shared" si="5"/>
        <v>0.85123181945182624</v>
      </c>
    </row>
    <row r="20" spans="2:24" ht="15" customHeight="1">
      <c r="G20" s="100"/>
      <c r="N20" s="101"/>
      <c r="O20" s="93">
        <f t="shared" si="2"/>
        <v>2907.5930674773017</v>
      </c>
      <c r="P20" s="93">
        <f t="shared" si="3"/>
        <v>33908.349437351557</v>
      </c>
      <c r="Q20" s="102">
        <f t="shared" si="4"/>
        <v>373.3064475486683</v>
      </c>
      <c r="R20" s="102">
        <f t="shared" si="1"/>
        <v>268.58017304387772</v>
      </c>
      <c r="S20" s="103">
        <f t="shared" si="5"/>
        <v>0.71946299027922023</v>
      </c>
    </row>
    <row r="21" spans="2:24" ht="15" customHeight="1">
      <c r="G21" s="100"/>
      <c r="N21" s="101"/>
      <c r="O21" s="93">
        <f t="shared" si="2"/>
        <v>2061.3607689803757</v>
      </c>
      <c r="P21" s="93">
        <f t="shared" si="3"/>
        <v>38121.680343291264</v>
      </c>
      <c r="Q21" s="102">
        <f t="shared" si="4"/>
        <v>370.89801885480591</v>
      </c>
      <c r="R21" s="102">
        <f t="shared" si="1"/>
        <v>214.07192599039064</v>
      </c>
      <c r="S21" s="103">
        <f t="shared" si="5"/>
        <v>0.57717193165756053</v>
      </c>
    </row>
    <row r="22" spans="2:24" ht="15" customHeight="1">
      <c r="G22" s="100"/>
      <c r="N22" s="101"/>
      <c r="O22" s="93">
        <f t="shared" si="2"/>
        <v>1317.147430130804</v>
      </c>
      <c r="P22" s="93">
        <f t="shared" si="3"/>
        <v>40976.177929166923</v>
      </c>
      <c r="Q22" s="102">
        <f t="shared" si="4"/>
        <v>354.03901799776929</v>
      </c>
      <c r="R22" s="102">
        <f t="shared" si="1"/>
        <v>147.0278174280119</v>
      </c>
      <c r="S22" s="103">
        <f t="shared" si="5"/>
        <v>0.41528704451704884</v>
      </c>
    </row>
    <row r="23" spans="2:24" ht="15" customHeight="1">
      <c r="G23" s="100"/>
      <c r="N23" s="104"/>
      <c r="O23" s="93">
        <f t="shared" si="2"/>
        <v>884.94664999877875</v>
      </c>
      <c r="P23" s="93">
        <f t="shared" si="3"/>
        <v>42515.344843366969</v>
      </c>
      <c r="Q23" s="102">
        <f t="shared" si="4"/>
        <v>353.61468042649284</v>
      </c>
      <c r="R23" s="102">
        <f t="shared" si="1"/>
        <v>102.49353450339368</v>
      </c>
      <c r="S23" s="103">
        <f t="shared" si="5"/>
        <v>0.28984524731772093</v>
      </c>
    </row>
    <row r="24" spans="2:24" ht="15" customHeight="1">
      <c r="G24" s="100"/>
      <c r="N24" s="104"/>
      <c r="O24" s="93">
        <f t="shared" si="2"/>
        <v>884.94664999877875</v>
      </c>
      <c r="P24" s="93">
        <f t="shared" si="3"/>
        <v>42515.344843366969</v>
      </c>
      <c r="Q24" s="102">
        <f t="shared" si="4"/>
        <v>346.68105924165963</v>
      </c>
      <c r="R24" s="102">
        <f t="shared" si="1"/>
        <v>102.49353450339368</v>
      </c>
      <c r="S24" s="103">
        <f t="shared" si="5"/>
        <v>0.29564215226407536</v>
      </c>
      <c r="V24" s="110"/>
    </row>
    <row r="25" spans="2:24" ht="15" customHeight="1">
      <c r="E25" s="100"/>
      <c r="F25" s="100"/>
      <c r="G25" s="100"/>
      <c r="N25" s="104"/>
      <c r="O25" s="93">
        <f t="shared" si="2"/>
        <v>884.94664999877875</v>
      </c>
      <c r="P25" s="93">
        <f t="shared" si="3"/>
        <v>42515.344843366969</v>
      </c>
      <c r="Q25" s="102">
        <f t="shared" si="4"/>
        <v>346.68105924165963</v>
      </c>
      <c r="R25" s="102">
        <f t="shared" si="1"/>
        <v>102.49353450339368</v>
      </c>
      <c r="S25" s="103">
        <f t="shared" si="5"/>
        <v>0.29564215226407536</v>
      </c>
      <c r="V25" s="110"/>
    </row>
    <row r="26" spans="2:24" ht="15" customHeight="1">
      <c r="N26" s="104"/>
      <c r="O26" s="93">
        <f t="shared" si="2"/>
        <v>884.94664999877875</v>
      </c>
      <c r="P26" s="93">
        <f t="shared" si="3"/>
        <v>42515.344843366969</v>
      </c>
      <c r="Q26" s="102">
        <f t="shared" si="4"/>
        <v>346.68105924165963</v>
      </c>
      <c r="R26" s="102">
        <f t="shared" si="1"/>
        <v>102.49353450339368</v>
      </c>
      <c r="S26" s="103">
        <f t="shared" si="5"/>
        <v>0.29564215226407536</v>
      </c>
      <c r="V26" s="110"/>
    </row>
    <row r="27" spans="2:24" ht="15" customHeight="1">
      <c r="B27" s="100"/>
      <c r="C27" s="100"/>
      <c r="D27" s="100"/>
      <c r="N27" s="101">
        <f>'Curves (Ops. conditions)'!M28</f>
        <v>1000</v>
      </c>
      <c r="O27" s="93">
        <f>O7*(N$27/N$7)^2</f>
        <v>255.35683239152607</v>
      </c>
      <c r="P27" s="93">
        <f>P7*(N$27/N$7)</f>
        <v>2854.7686276578984</v>
      </c>
      <c r="Q27" s="102">
        <f>Q7*(N$27/N$7)^3</f>
        <v>3.0518268300638858</v>
      </c>
      <c r="R27" s="102">
        <f t="shared" si="1"/>
        <v>1.9858757493383747</v>
      </c>
      <c r="S27" s="103">
        <f>S7</f>
        <v>0.65071704913768114</v>
      </c>
      <c r="V27" s="110"/>
    </row>
    <row r="28" spans="2:24" ht="15" customHeight="1">
      <c r="B28" s="86"/>
      <c r="C28" s="86"/>
      <c r="N28" s="101"/>
      <c r="O28" s="93">
        <f t="shared" ref="O28:O36" si="6">O8*(N$27/N$7)^2</f>
        <v>262.56776578022004</v>
      </c>
      <c r="P28" s="93">
        <f t="shared" ref="P28:P36" si="7">P8*(N$27/N$7)</f>
        <v>4921.1522339062476</v>
      </c>
      <c r="Q28" s="102">
        <f t="shared" ref="Q28:Q36" si="8">Q8*(N$27/N$7)^3</f>
        <v>4.0691024400851816</v>
      </c>
      <c r="R28" s="102">
        <f t="shared" si="1"/>
        <v>3.5199936759490695</v>
      </c>
      <c r="S28" s="103">
        <f t="shared" ref="S28:S36" si="9">S8</f>
        <v>0.86505408201897793</v>
      </c>
      <c r="V28" s="110"/>
    </row>
    <row r="29" spans="2:24" ht="15" customHeight="1">
      <c r="B29" s="86"/>
      <c r="C29" s="86"/>
      <c r="N29" s="101"/>
      <c r="O29" s="93">
        <f t="shared" si="6"/>
        <v>228.70277130827918</v>
      </c>
      <c r="P29" s="93">
        <f t="shared" si="7"/>
        <v>7078.3849760108551</v>
      </c>
      <c r="Q29" s="102">
        <f t="shared" si="8"/>
        <v>5.1807356354243925</v>
      </c>
      <c r="R29" s="102">
        <f t="shared" si="1"/>
        <v>4.4100070210412188</v>
      </c>
      <c r="S29" s="103">
        <f t="shared" si="9"/>
        <v>0.85123181945182624</v>
      </c>
      <c r="V29" s="110"/>
    </row>
    <row r="30" spans="2:24" ht="15" customHeight="1">
      <c r="B30" s="86"/>
      <c r="C30" s="86"/>
      <c r="N30" s="101"/>
      <c r="O30" s="93">
        <f t="shared" si="6"/>
        <v>181.72456671733136</v>
      </c>
      <c r="P30" s="93">
        <f t="shared" si="7"/>
        <v>8477.0873593378892</v>
      </c>
      <c r="Q30" s="102">
        <f t="shared" si="8"/>
        <v>5.8329132429479422</v>
      </c>
      <c r="R30" s="102">
        <f t="shared" si="1"/>
        <v>4.1965652038105894</v>
      </c>
      <c r="S30" s="103">
        <f t="shared" si="9"/>
        <v>0.71946299027922023</v>
      </c>
      <c r="V30" s="110"/>
    </row>
    <row r="31" spans="2:24" ht="15" customHeight="1">
      <c r="B31" s="86"/>
      <c r="C31" s="86"/>
      <c r="N31" s="101"/>
      <c r="O31" s="93">
        <f t="shared" si="6"/>
        <v>128.83504806127348</v>
      </c>
      <c r="P31" s="93">
        <f t="shared" si="7"/>
        <v>9530.420085822816</v>
      </c>
      <c r="Q31" s="102">
        <f t="shared" si="8"/>
        <v>5.7952815446063424</v>
      </c>
      <c r="R31" s="102">
        <f t="shared" si="1"/>
        <v>3.3448738435998537</v>
      </c>
      <c r="S31" s="103">
        <f t="shared" si="9"/>
        <v>0.57717193165756053</v>
      </c>
    </row>
    <row r="32" spans="2:24" ht="15" customHeight="1">
      <c r="B32" s="86"/>
      <c r="C32" s="86"/>
      <c r="N32" s="100"/>
      <c r="O32" s="93">
        <f t="shared" si="6"/>
        <v>82.321714383175248</v>
      </c>
      <c r="P32" s="93">
        <f t="shared" si="7"/>
        <v>10244.044482291731</v>
      </c>
      <c r="Q32" s="102">
        <f t="shared" si="8"/>
        <v>5.5318596562151452</v>
      </c>
      <c r="R32" s="102">
        <f t="shared" si="1"/>
        <v>2.2973096473126859</v>
      </c>
      <c r="S32" s="103">
        <f t="shared" si="9"/>
        <v>0.41528704451704884</v>
      </c>
    </row>
    <row r="33" spans="2:21" ht="15" customHeight="1">
      <c r="B33" s="86"/>
      <c r="C33" s="86"/>
      <c r="N33" s="100"/>
      <c r="O33" s="93">
        <f t="shared" si="6"/>
        <v>55.309165624923672</v>
      </c>
      <c r="P33" s="93">
        <f t="shared" si="7"/>
        <v>10628.836210841742</v>
      </c>
      <c r="Q33" s="102">
        <f t="shared" si="8"/>
        <v>5.5252293816639506</v>
      </c>
      <c r="R33" s="102">
        <f t="shared" si="1"/>
        <v>1.6014614766155262</v>
      </c>
      <c r="S33" s="103">
        <f t="shared" si="9"/>
        <v>0.28984524731772093</v>
      </c>
    </row>
    <row r="34" spans="2:21" ht="15" customHeight="1">
      <c r="B34" s="86"/>
      <c r="C34" s="86"/>
      <c r="N34" s="105"/>
      <c r="O34" s="93">
        <f t="shared" si="6"/>
        <v>55.309165624923672</v>
      </c>
      <c r="P34" s="93">
        <f t="shared" si="7"/>
        <v>10628.836210841742</v>
      </c>
      <c r="Q34" s="102">
        <f t="shared" si="8"/>
        <v>5.4168915506509316</v>
      </c>
      <c r="R34" s="102">
        <f t="shared" si="1"/>
        <v>1.6014614766155262</v>
      </c>
      <c r="S34" s="103">
        <f t="shared" si="9"/>
        <v>0.29564215226407536</v>
      </c>
    </row>
    <row r="35" spans="2:21" ht="15" customHeight="1">
      <c r="B35" s="86"/>
      <c r="C35" s="86"/>
      <c r="N35" s="105"/>
      <c r="O35" s="93">
        <f t="shared" si="6"/>
        <v>55.309165624923672</v>
      </c>
      <c r="P35" s="93">
        <f t="shared" si="7"/>
        <v>10628.836210841742</v>
      </c>
      <c r="Q35" s="102">
        <f t="shared" si="8"/>
        <v>5.4168915506509316</v>
      </c>
      <c r="R35" s="102">
        <f t="shared" si="1"/>
        <v>1.6014614766155262</v>
      </c>
      <c r="S35" s="103">
        <f t="shared" si="9"/>
        <v>0.29564215226407536</v>
      </c>
    </row>
    <row r="36" spans="2:21" ht="15" customHeight="1">
      <c r="B36" s="86"/>
      <c r="C36" s="86"/>
      <c r="N36" s="105"/>
      <c r="O36" s="93">
        <f t="shared" si="6"/>
        <v>55.309165624923672</v>
      </c>
      <c r="P36" s="93">
        <f t="shared" si="7"/>
        <v>10628.836210841742</v>
      </c>
      <c r="Q36" s="102">
        <f t="shared" si="8"/>
        <v>5.4168915506509316</v>
      </c>
      <c r="R36" s="102">
        <f t="shared" si="1"/>
        <v>1.6014614766155262</v>
      </c>
      <c r="S36" s="103">
        <f t="shared" si="9"/>
        <v>0.29564215226407536</v>
      </c>
      <c r="T36" s="707"/>
      <c r="U36" s="708" t="s">
        <v>781</v>
      </c>
    </row>
    <row r="37" spans="2:21" ht="15" customHeight="1">
      <c r="B37" s="86"/>
      <c r="C37" s="86"/>
      <c r="M37" s="131" t="str">
        <f>B64</f>
        <v>OP 1, OP conditions</v>
      </c>
      <c r="N37" s="119">
        <f>C72</f>
        <v>1672.3774886767021</v>
      </c>
      <c r="O37" s="113">
        <f>O7*(N$37/N$7)^2</f>
        <v>714.19385389401737</v>
      </c>
      <c r="P37" s="113">
        <f>P7*(N$37/N$7)</f>
        <v>4774.2507882755517</v>
      </c>
      <c r="Q37" s="114">
        <f>Q7*(N$37/N$7)^3</f>
        <v>14.274563137553161</v>
      </c>
      <c r="R37" s="114">
        <f t="shared" si="1"/>
        <v>9.2887016025981115</v>
      </c>
      <c r="S37" s="115">
        <f>S7</f>
        <v>0.65071704913768114</v>
      </c>
      <c r="T37" s="328"/>
      <c r="U37" s="327">
        <f t="shared" ref="U37:U46" si="10">0.5*$C$73*(P37/(PI()*Inlet_m^2/4)/3600)^2/$Z$62</f>
        <v>4.271658382199611</v>
      </c>
    </row>
    <row r="38" spans="2:21" ht="15" customHeight="1">
      <c r="B38" s="86"/>
      <c r="C38" s="86"/>
      <c r="M38" s="132"/>
      <c r="N38" s="116"/>
      <c r="O38" s="113">
        <f t="shared" ref="O38:O46" si="11">O8*(N$37/N$7)^2</f>
        <v>734.36172744888722</v>
      </c>
      <c r="P38" s="113">
        <f t="shared" ref="P38:P46" si="12">P8*(N$37/N$7)</f>
        <v>8230.0242143358737</v>
      </c>
      <c r="Q38" s="114">
        <f t="shared" ref="Q38:Q46" si="13">Q8*(N$37/N$7)^3</f>
        <v>19.032750850070883</v>
      </c>
      <c r="R38" s="114">
        <f t="shared" si="1"/>
        <v>16.464358814903989</v>
      </c>
      <c r="S38" s="115">
        <f t="shared" ref="S38:S46" si="14">S8</f>
        <v>0.86505408201897793</v>
      </c>
      <c r="T38" s="328"/>
      <c r="U38" s="327">
        <f t="shared" si="10"/>
        <v>12.693701533964179</v>
      </c>
    </row>
    <row r="39" spans="2:21" ht="15" customHeight="1">
      <c r="B39" s="86"/>
      <c r="C39" s="86"/>
      <c r="N39" s="116"/>
      <c r="O39" s="113">
        <f t="shared" si="11"/>
        <v>639.64653738523714</v>
      </c>
      <c r="P39" s="113">
        <f t="shared" si="12"/>
        <v>11837.731690067933</v>
      </c>
      <c r="Q39" s="114">
        <f t="shared" si="13"/>
        <v>24.232285134372773</v>
      </c>
      <c r="R39" s="114">
        <f t="shared" ref="R39:R66" si="15">O39*$Z$62*P39/3600000</f>
        <v>20.627292164407578</v>
      </c>
      <c r="S39" s="115">
        <f t="shared" si="14"/>
        <v>0.85123181945182624</v>
      </c>
      <c r="U39" s="327">
        <f t="shared" si="10"/>
        <v>26.261712400271765</v>
      </c>
    </row>
    <row r="40" spans="2:21" ht="15" customHeight="1">
      <c r="B40" s="86"/>
      <c r="C40" s="86"/>
      <c r="N40" s="116"/>
      <c r="O40" s="113">
        <f t="shared" si="11"/>
        <v>508.25571196025805</v>
      </c>
      <c r="P40" s="113">
        <f t="shared" si="12"/>
        <v>14176.890069302517</v>
      </c>
      <c r="Q40" s="114">
        <f t="shared" si="13"/>
        <v>27.282769632308192</v>
      </c>
      <c r="R40" s="114">
        <f t="shared" si="15"/>
        <v>19.628943022759554</v>
      </c>
      <c r="S40" s="115">
        <f t="shared" si="14"/>
        <v>0.71946299027922023</v>
      </c>
      <c r="U40" s="327">
        <f t="shared" si="10"/>
        <v>37.665869735483099</v>
      </c>
    </row>
    <row r="41" spans="2:21" ht="15" customHeight="1">
      <c r="B41" s="86"/>
      <c r="C41" s="86"/>
      <c r="N41" s="116"/>
      <c r="O41" s="113">
        <f t="shared" si="11"/>
        <v>360.33184869094299</v>
      </c>
      <c r="P41" s="113">
        <f t="shared" si="12"/>
        <v>15938.460009162362</v>
      </c>
      <c r="Q41" s="114">
        <f t="shared" si="13"/>
        <v>27.106751763712655</v>
      </c>
      <c r="R41" s="114">
        <f t="shared" si="15"/>
        <v>15.64525627642402</v>
      </c>
      <c r="S41" s="115">
        <f t="shared" si="14"/>
        <v>0.57717193165756053</v>
      </c>
      <c r="U41" s="327">
        <f t="shared" si="10"/>
        <v>47.607872128177043</v>
      </c>
    </row>
    <row r="42" spans="2:21" ht="15" customHeight="1">
      <c r="B42" s="86"/>
      <c r="C42" s="86"/>
      <c r="N42" s="116"/>
      <c r="O42" s="113">
        <f t="shared" si="11"/>
        <v>230.2411958350778</v>
      </c>
      <c r="P42" s="113">
        <f t="shared" si="12"/>
        <v>17131.909385187471</v>
      </c>
      <c r="Q42" s="114">
        <f t="shared" si="13"/>
        <v>25.874626683543898</v>
      </c>
      <c r="R42" s="114">
        <f t="shared" si="15"/>
        <v>10.745397243390915</v>
      </c>
      <c r="S42" s="115">
        <f t="shared" si="14"/>
        <v>0.41528704451704884</v>
      </c>
      <c r="U42" s="327">
        <f t="shared" si="10"/>
        <v>55.004420542951479</v>
      </c>
    </row>
    <row r="43" spans="2:21" ht="15" customHeight="1">
      <c r="B43" s="86"/>
      <c r="C43" s="86"/>
      <c r="M43" s="132"/>
      <c r="N43" s="116"/>
      <c r="O43" s="113">
        <f t="shared" si="11"/>
        <v>154.69124433984632</v>
      </c>
      <c r="P43" s="113">
        <f t="shared" si="12"/>
        <v>17775.426409843509</v>
      </c>
      <c r="Q43" s="114">
        <f t="shared" si="13"/>
        <v>25.843614349630329</v>
      </c>
      <c r="R43" s="114">
        <f t="shared" si="15"/>
        <v>7.4906487927524044</v>
      </c>
      <c r="S43" s="115">
        <f t="shared" si="14"/>
        <v>0.28984524731772093</v>
      </c>
      <c r="T43" s="328"/>
      <c r="U43" s="327">
        <f t="shared" si="10"/>
        <v>59.214233507890143</v>
      </c>
    </row>
    <row r="44" spans="2:21" ht="15" customHeight="1">
      <c r="B44" s="86"/>
      <c r="C44" s="86"/>
      <c r="M44" s="132"/>
      <c r="N44" s="116"/>
      <c r="O44" s="113">
        <f t="shared" si="11"/>
        <v>154.69124433984632</v>
      </c>
      <c r="P44" s="113">
        <f t="shared" si="12"/>
        <v>17775.426409843509</v>
      </c>
      <c r="Q44" s="114">
        <f t="shared" si="13"/>
        <v>25.336876813363066</v>
      </c>
      <c r="R44" s="114">
        <f t="shared" si="15"/>
        <v>7.4906487927524044</v>
      </c>
      <c r="S44" s="115">
        <f t="shared" si="14"/>
        <v>0.29564215226407536</v>
      </c>
      <c r="T44" s="328"/>
      <c r="U44" s="327">
        <f t="shared" si="10"/>
        <v>59.214233507890143</v>
      </c>
    </row>
    <row r="45" spans="2:21" ht="15" customHeight="1">
      <c r="B45" s="86"/>
      <c r="C45" s="86"/>
      <c r="M45" s="132"/>
      <c r="N45" s="116"/>
      <c r="O45" s="113">
        <f t="shared" si="11"/>
        <v>154.69124433984632</v>
      </c>
      <c r="P45" s="113">
        <f t="shared" si="12"/>
        <v>17775.426409843509</v>
      </c>
      <c r="Q45" s="114">
        <f t="shared" si="13"/>
        <v>25.336876813363066</v>
      </c>
      <c r="R45" s="114">
        <f t="shared" si="15"/>
        <v>7.4906487927524044</v>
      </c>
      <c r="S45" s="115">
        <f t="shared" si="14"/>
        <v>0.29564215226407536</v>
      </c>
      <c r="T45" s="328"/>
      <c r="U45" s="327">
        <f t="shared" si="10"/>
        <v>59.214233507890143</v>
      </c>
    </row>
    <row r="46" spans="2:21" ht="15" customHeight="1">
      <c r="B46" s="86"/>
      <c r="C46" s="86"/>
      <c r="M46" s="132"/>
      <c r="N46" s="116"/>
      <c r="O46" s="113">
        <f t="shared" si="11"/>
        <v>154.69124433984632</v>
      </c>
      <c r="P46" s="113">
        <f t="shared" si="12"/>
        <v>17775.426409843509</v>
      </c>
      <c r="Q46" s="114">
        <f t="shared" si="13"/>
        <v>25.336876813363066</v>
      </c>
      <c r="R46" s="114">
        <f t="shared" si="15"/>
        <v>7.4906487927524044</v>
      </c>
      <c r="S46" s="115">
        <f t="shared" si="14"/>
        <v>0.29564215226407536</v>
      </c>
      <c r="T46" s="328"/>
      <c r="U46" s="327">
        <f t="shared" si="10"/>
        <v>59.214233507890143</v>
      </c>
    </row>
    <row r="47" spans="2:21" ht="15" customHeight="1">
      <c r="B47" s="86"/>
      <c r="C47" s="86"/>
      <c r="M47" s="131" t="str">
        <f>F64</f>
        <v>OP 2</v>
      </c>
      <c r="N47" s="119">
        <f>G72</f>
        <v>0</v>
      </c>
      <c r="O47" s="113">
        <f>O7*(N$47/N$7)^2</f>
        <v>0</v>
      </c>
      <c r="P47" s="113">
        <f>P7*(N$47/N$7)</f>
        <v>0</v>
      </c>
      <c r="Q47" s="114">
        <f>Q7*(N$47/N$7)^3</f>
        <v>0</v>
      </c>
      <c r="R47" s="114">
        <f t="shared" si="15"/>
        <v>0</v>
      </c>
      <c r="S47" s="115">
        <f>S7</f>
        <v>0.65071704913768114</v>
      </c>
    </row>
    <row r="48" spans="2:21" ht="15" customHeight="1">
      <c r="B48" s="86"/>
      <c r="C48" s="86"/>
      <c r="M48" s="132"/>
      <c r="N48" s="116"/>
      <c r="O48" s="113">
        <f t="shared" ref="O48:O56" si="16">O8*(N$47/N$7)^2</f>
        <v>0</v>
      </c>
      <c r="P48" s="113">
        <f t="shared" ref="P48:P56" si="17">P8*(N$47/N$7)</f>
        <v>0</v>
      </c>
      <c r="Q48" s="114">
        <f t="shared" ref="Q48:Q56" si="18">Q8*(N$47/N$7)^3</f>
        <v>0</v>
      </c>
      <c r="R48" s="114">
        <f t="shared" si="15"/>
        <v>0</v>
      </c>
      <c r="S48" s="115">
        <f t="shared" ref="S48:S56" si="19">S8</f>
        <v>0.86505408201897793</v>
      </c>
    </row>
    <row r="49" spans="1:27" ht="15" customHeight="1">
      <c r="B49" s="86"/>
      <c r="C49" s="86"/>
      <c r="N49" s="116"/>
      <c r="O49" s="113">
        <f t="shared" si="16"/>
        <v>0</v>
      </c>
      <c r="P49" s="113">
        <f t="shared" si="17"/>
        <v>0</v>
      </c>
      <c r="Q49" s="114">
        <f t="shared" si="18"/>
        <v>0</v>
      </c>
      <c r="R49" s="114">
        <f t="shared" si="15"/>
        <v>0</v>
      </c>
      <c r="S49" s="115">
        <f t="shared" si="19"/>
        <v>0.85123181945182624</v>
      </c>
    </row>
    <row r="50" spans="1:27" ht="15" customHeight="1">
      <c r="B50" s="86"/>
      <c r="C50" s="86"/>
      <c r="N50" s="116"/>
      <c r="O50" s="113">
        <f t="shared" si="16"/>
        <v>0</v>
      </c>
      <c r="P50" s="113">
        <f t="shared" si="17"/>
        <v>0</v>
      </c>
      <c r="Q50" s="114">
        <f t="shared" si="18"/>
        <v>0</v>
      </c>
      <c r="R50" s="114">
        <f t="shared" si="15"/>
        <v>0</v>
      </c>
      <c r="S50" s="115">
        <f t="shared" si="19"/>
        <v>0.71946299027922023</v>
      </c>
    </row>
    <row r="51" spans="1:27" ht="15" customHeight="1">
      <c r="B51" s="86"/>
      <c r="C51" s="86"/>
      <c r="N51" s="116"/>
      <c r="O51" s="113">
        <f t="shared" si="16"/>
        <v>0</v>
      </c>
      <c r="P51" s="113">
        <f t="shared" si="17"/>
        <v>0</v>
      </c>
      <c r="Q51" s="114">
        <f t="shared" si="18"/>
        <v>0</v>
      </c>
      <c r="R51" s="114">
        <f t="shared" si="15"/>
        <v>0</v>
      </c>
      <c r="S51" s="115">
        <f t="shared" si="19"/>
        <v>0.57717193165756053</v>
      </c>
    </row>
    <row r="52" spans="1:27" ht="15" customHeight="1">
      <c r="B52" s="86"/>
      <c r="C52" s="86"/>
      <c r="N52" s="116"/>
      <c r="O52" s="113">
        <f t="shared" si="16"/>
        <v>0</v>
      </c>
      <c r="P52" s="113">
        <f t="shared" si="17"/>
        <v>0</v>
      </c>
      <c r="Q52" s="114">
        <f t="shared" si="18"/>
        <v>0</v>
      </c>
      <c r="R52" s="114">
        <f t="shared" si="15"/>
        <v>0</v>
      </c>
      <c r="S52" s="115">
        <f t="shared" si="19"/>
        <v>0.41528704451704884</v>
      </c>
    </row>
    <row r="53" spans="1:27" ht="15" customHeight="1">
      <c r="B53" s="86"/>
      <c r="C53" s="86"/>
      <c r="M53" s="132"/>
      <c r="N53" s="116"/>
      <c r="O53" s="113">
        <f t="shared" si="16"/>
        <v>0</v>
      </c>
      <c r="P53" s="113">
        <f t="shared" si="17"/>
        <v>0</v>
      </c>
      <c r="Q53" s="114">
        <f t="shared" si="18"/>
        <v>0</v>
      </c>
      <c r="R53" s="114">
        <f t="shared" si="15"/>
        <v>0</v>
      </c>
      <c r="S53" s="115">
        <f t="shared" si="19"/>
        <v>0.28984524731772093</v>
      </c>
    </row>
    <row r="54" spans="1:27" ht="15" customHeight="1">
      <c r="B54" s="86"/>
      <c r="C54" s="86"/>
      <c r="M54" s="132"/>
      <c r="N54" s="116"/>
      <c r="O54" s="113">
        <f t="shared" si="16"/>
        <v>0</v>
      </c>
      <c r="P54" s="113">
        <f t="shared" si="17"/>
        <v>0</v>
      </c>
      <c r="Q54" s="114">
        <f t="shared" si="18"/>
        <v>0</v>
      </c>
      <c r="R54" s="114">
        <f t="shared" si="15"/>
        <v>0</v>
      </c>
      <c r="S54" s="115">
        <f t="shared" si="19"/>
        <v>0.29564215226407536</v>
      </c>
    </row>
    <row r="55" spans="1:27" ht="15" customHeight="1">
      <c r="B55" s="86"/>
      <c r="C55" s="86"/>
      <c r="M55" s="132"/>
      <c r="N55" s="116"/>
      <c r="O55" s="113">
        <f t="shared" si="16"/>
        <v>0</v>
      </c>
      <c r="P55" s="113">
        <f t="shared" si="17"/>
        <v>0</v>
      </c>
      <c r="Q55" s="114">
        <f t="shared" si="18"/>
        <v>0</v>
      </c>
      <c r="R55" s="114">
        <f t="shared" si="15"/>
        <v>0</v>
      </c>
      <c r="S55" s="115">
        <f t="shared" si="19"/>
        <v>0.29564215226407536</v>
      </c>
    </row>
    <row r="56" spans="1:27" ht="15" customHeight="1">
      <c r="B56" s="86"/>
      <c r="C56" s="86"/>
      <c r="M56" s="132"/>
      <c r="N56" s="116"/>
      <c r="O56" s="113">
        <f t="shared" si="16"/>
        <v>0</v>
      </c>
      <c r="P56" s="113">
        <f t="shared" si="17"/>
        <v>0</v>
      </c>
      <c r="Q56" s="114">
        <f t="shared" si="18"/>
        <v>0</v>
      </c>
      <c r="R56" s="114">
        <f t="shared" si="15"/>
        <v>0</v>
      </c>
      <c r="S56" s="115">
        <f t="shared" si="19"/>
        <v>0.29564215226407536</v>
      </c>
    </row>
    <row r="57" spans="1:27" ht="15" customHeight="1">
      <c r="B57" s="86"/>
      <c r="C57" s="86"/>
      <c r="M57" s="131" t="str">
        <f>J64</f>
        <v>OP 3</v>
      </c>
      <c r="N57" s="119">
        <f>K72</f>
        <v>0</v>
      </c>
      <c r="O57" s="113">
        <f>O7*(N$57/N$7)^2</f>
        <v>0</v>
      </c>
      <c r="P57" s="113">
        <f>P7*(N$57/N$7)</f>
        <v>0</v>
      </c>
      <c r="Q57" s="114">
        <f>Q7*(N$57/N$7)^3</f>
        <v>0</v>
      </c>
      <c r="R57" s="114">
        <f t="shared" si="15"/>
        <v>0</v>
      </c>
      <c r="S57" s="115">
        <f>S7</f>
        <v>0.65071704913768114</v>
      </c>
    </row>
    <row r="58" spans="1:27" ht="15" customHeight="1">
      <c r="B58" s="86"/>
      <c r="C58" s="86"/>
      <c r="M58" s="132"/>
      <c r="N58" s="116"/>
      <c r="O58" s="113">
        <f t="shared" ref="O58:O66" si="20">O8*(N$57/N$7)^2</f>
        <v>0</v>
      </c>
      <c r="P58" s="113">
        <f t="shared" ref="P58:P66" si="21">P8*(N$57/N$7)</f>
        <v>0</v>
      </c>
      <c r="Q58" s="114">
        <f t="shared" ref="Q58:Q66" si="22">Q8*(N$57/N$7)^3</f>
        <v>0</v>
      </c>
      <c r="R58" s="114">
        <f t="shared" si="15"/>
        <v>0</v>
      </c>
      <c r="S58" s="115">
        <f t="shared" ref="S58:S66" si="23">S8</f>
        <v>0.86505408201897793</v>
      </c>
    </row>
    <row r="59" spans="1:27" ht="15" customHeight="1">
      <c r="B59" s="86"/>
      <c r="C59" s="86"/>
      <c r="N59" s="116"/>
      <c r="O59" s="113">
        <f t="shared" si="20"/>
        <v>0</v>
      </c>
      <c r="P59" s="113">
        <f t="shared" si="21"/>
        <v>0</v>
      </c>
      <c r="Q59" s="114">
        <f t="shared" si="22"/>
        <v>0</v>
      </c>
      <c r="R59" s="114">
        <f t="shared" si="15"/>
        <v>0</v>
      </c>
      <c r="S59" s="115">
        <f t="shared" si="23"/>
        <v>0.85123181945182624</v>
      </c>
    </row>
    <row r="60" spans="1:27" ht="15" customHeight="1">
      <c r="B60" s="86"/>
      <c r="C60" s="86"/>
      <c r="N60" s="116"/>
      <c r="O60" s="113">
        <f t="shared" si="20"/>
        <v>0</v>
      </c>
      <c r="P60" s="113">
        <f t="shared" si="21"/>
        <v>0</v>
      </c>
      <c r="Q60" s="114">
        <f t="shared" si="22"/>
        <v>0</v>
      </c>
      <c r="R60" s="114">
        <f t="shared" si="15"/>
        <v>0</v>
      </c>
      <c r="S60" s="115">
        <f t="shared" si="23"/>
        <v>0.71946299027922023</v>
      </c>
    </row>
    <row r="61" spans="1:27" ht="15" customHeight="1">
      <c r="B61" s="86"/>
      <c r="C61" s="86"/>
      <c r="N61" s="116"/>
      <c r="O61" s="113">
        <f t="shared" si="20"/>
        <v>0</v>
      </c>
      <c r="P61" s="113">
        <f t="shared" si="21"/>
        <v>0</v>
      </c>
      <c r="Q61" s="114">
        <f t="shared" si="22"/>
        <v>0</v>
      </c>
      <c r="R61" s="114">
        <f t="shared" si="15"/>
        <v>0</v>
      </c>
      <c r="S61" s="115">
        <f t="shared" si="23"/>
        <v>0.57717193165756053</v>
      </c>
    </row>
    <row r="62" spans="1:27" ht="15" customHeight="1">
      <c r="A62" s="88" t="s">
        <v>2</v>
      </c>
      <c r="B62" s="89" t="str">
        <f>Fan_name</f>
        <v>XOE 166-45G REG</v>
      </c>
      <c r="C62" s="117"/>
      <c r="D62" s="132" t="s">
        <v>119</v>
      </c>
      <c r="E62" s="335">
        <f>Inlet_m</f>
        <v>0.45</v>
      </c>
      <c r="F62" s="86" t="s">
        <v>118</v>
      </c>
      <c r="N62" s="116"/>
      <c r="O62" s="113">
        <f t="shared" si="20"/>
        <v>0</v>
      </c>
      <c r="P62" s="113">
        <f t="shared" si="21"/>
        <v>0</v>
      </c>
      <c r="Q62" s="114">
        <f t="shared" si="22"/>
        <v>0</v>
      </c>
      <c r="R62" s="114">
        <f t="shared" si="15"/>
        <v>0</v>
      </c>
      <c r="S62" s="115">
        <f t="shared" si="23"/>
        <v>0.41528704451704884</v>
      </c>
      <c r="Y62" s="132" t="s">
        <v>990</v>
      </c>
      <c r="Z62" s="86">
        <f>g</f>
        <v>9.8070000000000004</v>
      </c>
      <c r="AA62" s="86" t="s">
        <v>700</v>
      </c>
    </row>
    <row r="63" spans="1:27" ht="15" customHeight="1">
      <c r="A63" s="90" t="s">
        <v>98</v>
      </c>
      <c r="B63" s="91">
        <f>'Data for BOSS'!$B$8</f>
        <v>1</v>
      </c>
      <c r="M63" s="132"/>
      <c r="N63" s="116"/>
      <c r="O63" s="113">
        <f t="shared" si="20"/>
        <v>0</v>
      </c>
      <c r="P63" s="113">
        <f t="shared" si="21"/>
        <v>0</v>
      </c>
      <c r="Q63" s="114">
        <f t="shared" si="22"/>
        <v>0</v>
      </c>
      <c r="R63" s="114">
        <f t="shared" si="15"/>
        <v>0</v>
      </c>
      <c r="S63" s="115">
        <f t="shared" si="23"/>
        <v>0.28984524731772093</v>
      </c>
    </row>
    <row r="64" spans="1:27" ht="15" customHeight="1">
      <c r="A64" s="90"/>
      <c r="B64" s="1424" t="s">
        <v>251</v>
      </c>
      <c r="C64" s="1424"/>
      <c r="F64" s="1424" t="s">
        <v>179</v>
      </c>
      <c r="G64" s="1424"/>
      <c r="J64" s="1424" t="s">
        <v>180</v>
      </c>
      <c r="K64" s="1424"/>
      <c r="M64" s="132"/>
      <c r="N64" s="116"/>
      <c r="O64" s="113">
        <f t="shared" si="20"/>
        <v>0</v>
      </c>
      <c r="P64" s="113">
        <f t="shared" si="21"/>
        <v>0</v>
      </c>
      <c r="Q64" s="114">
        <f t="shared" si="22"/>
        <v>0</v>
      </c>
      <c r="R64" s="114">
        <f t="shared" si="15"/>
        <v>0</v>
      </c>
      <c r="S64" s="115">
        <f t="shared" si="23"/>
        <v>0.29564215226407536</v>
      </c>
    </row>
    <row r="65" spans="1:24" ht="15" customHeight="1">
      <c r="A65" s="105" t="s">
        <v>112</v>
      </c>
      <c r="B65" s="106" t="s">
        <v>113</v>
      </c>
      <c r="C65" s="107">
        <v>1</v>
      </c>
      <c r="E65" s="92" t="s">
        <v>107</v>
      </c>
      <c r="F65" s="100" t="s">
        <v>113</v>
      </c>
      <c r="G65" s="133">
        <f>$C$65</f>
        <v>1</v>
      </c>
      <c r="J65" s="100" t="s">
        <v>113</v>
      </c>
      <c r="K65" s="133">
        <f>$C$65</f>
        <v>1</v>
      </c>
      <c r="M65" s="132"/>
      <c r="N65" s="116"/>
      <c r="O65" s="113">
        <f t="shared" si="20"/>
        <v>0</v>
      </c>
      <c r="P65" s="113">
        <f t="shared" si="21"/>
        <v>0</v>
      </c>
      <c r="Q65" s="114">
        <f t="shared" si="22"/>
        <v>0</v>
      </c>
      <c r="R65" s="114">
        <f t="shared" si="15"/>
        <v>0</v>
      </c>
      <c r="S65" s="115">
        <f t="shared" si="23"/>
        <v>0.29564215226407536</v>
      </c>
      <c r="V65" s="107">
        <v>1</v>
      </c>
      <c r="W65" s="105"/>
      <c r="X65" s="105"/>
    </row>
    <row r="66" spans="1:24" ht="15" customHeight="1">
      <c r="A66" s="105"/>
      <c r="B66" s="106" t="s">
        <v>100</v>
      </c>
      <c r="C66" s="108">
        <f>P_OP_in</f>
        <v>0</v>
      </c>
      <c r="D66" s="90" t="s">
        <v>101</v>
      </c>
      <c r="F66" s="100" t="s">
        <v>100</v>
      </c>
      <c r="G66" s="93">
        <f>'Curves (Ops. conditions)'!$E$49</f>
        <v>0</v>
      </c>
      <c r="H66" s="90" t="s">
        <v>101</v>
      </c>
      <c r="J66" s="100" t="s">
        <v>100</v>
      </c>
      <c r="K66" s="93">
        <f>'Curves (Ops. conditions)'!$E$49</f>
        <v>0</v>
      </c>
      <c r="L66" s="90" t="s">
        <v>101</v>
      </c>
      <c r="M66" s="132"/>
      <c r="N66" s="116"/>
      <c r="O66" s="113">
        <f t="shared" si="20"/>
        <v>0</v>
      </c>
      <c r="P66" s="113">
        <f t="shared" si="21"/>
        <v>0</v>
      </c>
      <c r="Q66" s="114">
        <f t="shared" si="22"/>
        <v>0</v>
      </c>
      <c r="R66" s="114">
        <f t="shared" si="15"/>
        <v>0</v>
      </c>
      <c r="S66" s="115">
        <f t="shared" si="23"/>
        <v>0.29564215226407536</v>
      </c>
      <c r="V66" s="108">
        <f>P_OP_in</f>
        <v>0</v>
      </c>
      <c r="W66" s="93"/>
      <c r="X66" s="93"/>
    </row>
    <row r="67" spans="1:24" ht="15" customHeight="1">
      <c r="A67" s="86" t="s">
        <v>99</v>
      </c>
      <c r="B67" s="109" t="s">
        <v>102</v>
      </c>
      <c r="C67" s="108">
        <f>P_OP_tot</f>
        <v>713.77587437544605</v>
      </c>
      <c r="D67" s="90" t="s">
        <v>101</v>
      </c>
      <c r="F67" s="109" t="s">
        <v>102</v>
      </c>
      <c r="G67" s="108"/>
      <c r="H67" s="90" t="s">
        <v>101</v>
      </c>
      <c r="J67" s="109" t="s">
        <v>102</v>
      </c>
      <c r="K67" s="108"/>
      <c r="L67" s="90" t="s">
        <v>101</v>
      </c>
      <c r="V67" s="108">
        <f>P_OP_tot</f>
        <v>713.77587437544605</v>
      </c>
      <c r="W67" s="237"/>
      <c r="X67" s="237"/>
    </row>
    <row r="68" spans="1:24" ht="15" customHeight="1">
      <c r="B68" s="130" t="s">
        <v>116</v>
      </c>
      <c r="C68" s="111">
        <f>C67-C69</f>
        <v>695.03516367298926</v>
      </c>
      <c r="D68" s="110" t="s">
        <v>101</v>
      </c>
      <c r="F68" s="130" t="s">
        <v>116</v>
      </c>
      <c r="G68" s="111">
        <f>G67-G69</f>
        <v>0</v>
      </c>
      <c r="H68" s="110" t="s">
        <v>101</v>
      </c>
      <c r="J68" s="130" t="s">
        <v>116</v>
      </c>
      <c r="K68" s="111">
        <f>K67-K69</f>
        <v>0</v>
      </c>
      <c r="L68" s="110" t="s">
        <v>101</v>
      </c>
      <c r="V68" s="105"/>
      <c r="W68" s="105"/>
      <c r="X68" s="105"/>
    </row>
    <row r="69" spans="1:24" ht="15" customHeight="1">
      <c r="B69" s="130" t="s">
        <v>124</v>
      </c>
      <c r="C69" s="111">
        <f>0.5*C73*(C71/(PI()*$E$62^2/4)/3600)^2/$Z$62</f>
        <v>18.740710702456806</v>
      </c>
      <c r="D69" s="110" t="s">
        <v>101</v>
      </c>
      <c r="F69" s="130" t="s">
        <v>124</v>
      </c>
      <c r="G69" s="111">
        <f>0.5*G73*(G71/(PI()*$E$62^2/4)/3600)^2/$Z$62</f>
        <v>0</v>
      </c>
      <c r="H69" s="110" t="s">
        <v>101</v>
      </c>
      <c r="J69" s="130" t="s">
        <v>124</v>
      </c>
      <c r="K69" s="111">
        <f>0.5*K73*(K71/(PI()*$E$62^2/4)/3600)^2/$Z$62</f>
        <v>0</v>
      </c>
      <c r="L69" s="110" t="s">
        <v>101</v>
      </c>
      <c r="V69" s="105"/>
      <c r="W69" s="105"/>
      <c r="X69" s="105"/>
    </row>
    <row r="70" spans="1:24" ht="15" customHeight="1">
      <c r="B70" s="109" t="s">
        <v>114</v>
      </c>
      <c r="C70" s="108">
        <f>T_OP</f>
        <v>20</v>
      </c>
      <c r="D70" s="90" t="s">
        <v>21</v>
      </c>
      <c r="F70" s="93" t="s">
        <v>114</v>
      </c>
      <c r="G70" s="93">
        <f>C70</f>
        <v>20</v>
      </c>
      <c r="H70" s="90" t="s">
        <v>21</v>
      </c>
      <c r="J70" s="93" t="s">
        <v>114</v>
      </c>
      <c r="K70" s="93">
        <f>C70</f>
        <v>20</v>
      </c>
      <c r="L70" s="90" t="s">
        <v>21</v>
      </c>
      <c r="V70" s="108">
        <f>T_OP</f>
        <v>20</v>
      </c>
      <c r="W70" s="105"/>
      <c r="X70" s="105"/>
    </row>
    <row r="71" spans="1:24" ht="15" customHeight="1">
      <c r="B71" s="109" t="s">
        <v>23</v>
      </c>
      <c r="C71" s="108">
        <f>Q</f>
        <v>10000</v>
      </c>
      <c r="D71" s="90" t="s">
        <v>103</v>
      </c>
      <c r="E71" s="92" t="s">
        <v>107</v>
      </c>
      <c r="F71" s="109" t="s">
        <v>23</v>
      </c>
      <c r="G71" s="108"/>
      <c r="H71" s="90" t="s">
        <v>103</v>
      </c>
      <c r="J71" s="109" t="s">
        <v>23</v>
      </c>
      <c r="K71" s="108"/>
      <c r="L71" s="90" t="s">
        <v>103</v>
      </c>
      <c r="V71" s="108">
        <f>Q</f>
        <v>10000</v>
      </c>
      <c r="W71" s="237"/>
      <c r="X71" s="237"/>
    </row>
    <row r="72" spans="1:24" ht="15" customHeight="1">
      <c r="B72" s="109" t="s">
        <v>104</v>
      </c>
      <c r="C72" s="108">
        <f>rpm_OP</f>
        <v>1672.3774886767021</v>
      </c>
      <c r="D72" s="90" t="s">
        <v>105</v>
      </c>
      <c r="F72" s="109" t="s">
        <v>104</v>
      </c>
      <c r="G72" s="108"/>
      <c r="H72" s="90" t="s">
        <v>105</v>
      </c>
      <c r="J72" s="109" t="s">
        <v>104</v>
      </c>
      <c r="K72" s="108"/>
      <c r="L72" s="90" t="s">
        <v>105</v>
      </c>
      <c r="V72" s="108">
        <f>rpm_OP</f>
        <v>1672.3774886767021</v>
      </c>
      <c r="W72" s="237"/>
      <c r="X72" s="237"/>
    </row>
    <row r="73" spans="1:24" ht="15" customHeight="1">
      <c r="B73" s="108" t="s">
        <v>278</v>
      </c>
      <c r="C73" s="238">
        <f>rho_med_OP</f>
        <v>1.2050000000000001</v>
      </c>
      <c r="D73" s="90" t="s">
        <v>30</v>
      </c>
      <c r="F73" s="87" t="s">
        <v>278</v>
      </c>
      <c r="G73" s="95">
        <f>C73</f>
        <v>1.2050000000000001</v>
      </c>
      <c r="H73" s="90" t="s">
        <v>30</v>
      </c>
      <c r="J73" s="87" t="s">
        <v>278</v>
      </c>
      <c r="K73" s="95">
        <f>C73</f>
        <v>1.2050000000000001</v>
      </c>
      <c r="L73" s="90" t="s">
        <v>30</v>
      </c>
      <c r="V73" s="238">
        <f>rho_med_OP</f>
        <v>1.2050000000000001</v>
      </c>
      <c r="W73" s="105"/>
      <c r="X73" s="105"/>
    </row>
    <row r="74" spans="1:24" ht="15" customHeight="1">
      <c r="B74" s="87" t="s">
        <v>109</v>
      </c>
      <c r="C74" s="96">
        <f>INDEX($S$37:$S$46,MATCH(C71,$P$37:$P$46,1))+(C71-INDEX($P$37:$P$46,MATCH(C71,$P$37:$P$46,1)))*(INDEX($S$37:$S$46,MATCH(C71,$P$37:$P$46,1)+1)-INDEX($S$37:$S$46,MATCH(C71,$P$37:$P$46,1)))/(INDEX($P$37:$P$46,MATCH(C71,$P$37:$P$46,1)+1)-INDEX($P$37:$P$46,MATCH(C71,$P$37:$P$46,1)))</f>
        <v>0.85827274783057184</v>
      </c>
      <c r="F74" s="87" t="s">
        <v>109</v>
      </c>
      <c r="G74" s="96" t="e">
        <f>INDEX($S$47:$S$56,MATCH(G71,$P$47:$P$56,1))+(G71-INDEX($P$47:$P$56,MATCH(G71,$P$47:$P$56,1)))*(INDEX($S$47:$S$56,MATCH(G71,$P$47:$P$56,1)+1)-INDEX($S$47:$S$56,MATCH(G71,$P$47:$P$56,1)))/(INDEX($P$47:$P$56,MATCH(G71,$P$47:$P$56,1)+1)-INDEX($P$47:$P$56,MATCH(G71,$P$47:$P$56,1)))</f>
        <v>#REF!</v>
      </c>
      <c r="J74" s="87" t="s">
        <v>109</v>
      </c>
      <c r="K74" s="96" t="e">
        <f>INDEX($S$57:$S$66,MATCH(K71,$P$57:$P$66,1))+(K71-INDEX($P$57:$P$66,MATCH(K71,$P$57:$P$66,1)))*(INDEX($S$57:$S$66,MATCH(K71,$P$57:$P$66,1)+1)-INDEX($S$57:$S$66,MATCH(K71,$P$57:$P$66,1)))/(INDEX($P$57:$P$66,MATCH(K71,$P$57:$P$66,1)+1)-INDEX($P$57:$P$66,MATCH(K71,$P$57:$P$66,1)))</f>
        <v>#REF!</v>
      </c>
    </row>
    <row r="75" spans="1:24" ht="15" customHeight="1">
      <c r="B75" s="87" t="s">
        <v>166</v>
      </c>
      <c r="C75" s="97">
        <f>C67*$Z$62*C71/3600000/($B$63*C74)</f>
        <v>22.655320809839917</v>
      </c>
      <c r="D75" s="86" t="s">
        <v>110</v>
      </c>
      <c r="F75" s="87" t="s">
        <v>166</v>
      </c>
      <c r="G75" s="97" t="e">
        <f>G67*$Z$62*G71/3600000/($B$63*G74)</f>
        <v>#REF!</v>
      </c>
      <c r="H75" s="86" t="s">
        <v>110</v>
      </c>
      <c r="J75" s="87" t="s">
        <v>166</v>
      </c>
      <c r="K75" s="97" t="e">
        <f>K67*$Z$62*K71/3600000/($B$63*K74)</f>
        <v>#REF!</v>
      </c>
      <c r="L75" s="86" t="s">
        <v>110</v>
      </c>
    </row>
    <row r="76" spans="1:24" ht="15" customHeight="1">
      <c r="B76" s="86"/>
      <c r="C76" s="86"/>
    </row>
    <row r="77" spans="1:24" ht="15" customHeight="1">
      <c r="B77" s="86"/>
      <c r="C77" s="86"/>
    </row>
    <row r="78" spans="1:24" ht="15" customHeight="1">
      <c r="B78" s="86"/>
      <c r="C78" s="86"/>
    </row>
    <row r="79" spans="1:24" ht="15" customHeight="1">
      <c r="B79" s="86"/>
      <c r="C79" s="86"/>
    </row>
    <row r="80" spans="1:24" ht="15" customHeight="1">
      <c r="B80" s="86"/>
      <c r="C80" s="86"/>
    </row>
    <row r="81" spans="2:3" ht="15" customHeight="1">
      <c r="B81" s="86"/>
      <c r="C81" s="86"/>
    </row>
    <row r="82" spans="2:3" ht="15" customHeight="1">
      <c r="B82" s="86"/>
      <c r="C82" s="86"/>
    </row>
    <row r="83" spans="2:3" ht="15" customHeight="1">
      <c r="B83" s="86"/>
      <c r="C83" s="86"/>
    </row>
    <row r="84" spans="2:3" ht="15" customHeight="1">
      <c r="B84" s="86"/>
      <c r="C84" s="86"/>
    </row>
    <row r="85" spans="2:3" ht="15" customHeight="1">
      <c r="B85" s="86"/>
      <c r="C85" s="86"/>
    </row>
    <row r="86" spans="2:3" ht="15" customHeight="1">
      <c r="B86" s="86"/>
      <c r="C86" s="86"/>
    </row>
    <row r="87" spans="2:3" ht="15" customHeight="1">
      <c r="B87" s="86"/>
      <c r="C87" s="86"/>
    </row>
    <row r="88" spans="2:3" ht="15" customHeight="1">
      <c r="B88" s="86"/>
      <c r="C88" s="86"/>
    </row>
    <row r="89" spans="2:3" ht="15" customHeight="1">
      <c r="B89" s="86"/>
      <c r="C89" s="86"/>
    </row>
    <row r="90" spans="2:3" ht="15" customHeight="1">
      <c r="B90" s="86"/>
      <c r="C90" s="86"/>
    </row>
    <row r="91" spans="2:3" ht="15" customHeight="1">
      <c r="B91" s="86"/>
      <c r="C91" s="86"/>
    </row>
    <row r="92" spans="2:3" ht="15" customHeight="1">
      <c r="B92" s="86"/>
      <c r="C92" s="86"/>
    </row>
    <row r="93" spans="2:3" ht="15" customHeight="1">
      <c r="B93" s="86"/>
      <c r="C93" s="86"/>
    </row>
    <row r="94" spans="2:3" ht="15" customHeight="1">
      <c r="B94" s="86"/>
      <c r="C94" s="86"/>
    </row>
    <row r="95" spans="2:3" ht="15" customHeight="1">
      <c r="B95" s="86"/>
      <c r="C95" s="86"/>
    </row>
    <row r="96" spans="2:3" ht="15" customHeight="1">
      <c r="B96" s="86"/>
      <c r="C96" s="86"/>
    </row>
    <row r="97" spans="2:19" ht="15" customHeight="1">
      <c r="B97" s="86"/>
      <c r="C97" s="86"/>
    </row>
    <row r="98" spans="2:19" ht="15" customHeight="1">
      <c r="B98" s="86"/>
      <c r="C98" s="86"/>
      <c r="M98" s="448"/>
      <c r="N98" s="448"/>
      <c r="O98" s="448"/>
    </row>
    <row r="99" spans="2:19" ht="15" customHeight="1">
      <c r="B99" s="86"/>
      <c r="C99" s="86"/>
      <c r="M99" s="450"/>
      <c r="N99" s="451"/>
      <c r="O99" s="451"/>
      <c r="P99" s="88"/>
      <c r="R99" s="110"/>
      <c r="S99" s="110"/>
    </row>
    <row r="100" spans="2:19" ht="15" customHeight="1">
      <c r="B100" s="86"/>
      <c r="C100" s="86"/>
    </row>
    <row r="101" spans="2:19" ht="15" customHeight="1">
      <c r="B101" s="86"/>
      <c r="C101" s="86"/>
    </row>
    <row r="102" spans="2:19" ht="15" customHeight="1">
      <c r="B102" s="86"/>
      <c r="C102" s="86"/>
    </row>
    <row r="103" spans="2:19" ht="15" customHeight="1">
      <c r="B103" s="86"/>
      <c r="C103" s="86"/>
    </row>
    <row r="104" spans="2:19" ht="15" customHeight="1">
      <c r="B104" s="86"/>
      <c r="C104" s="86"/>
    </row>
    <row r="105" spans="2:19" ht="15" customHeight="1">
      <c r="B105" s="86"/>
      <c r="C105" s="86"/>
    </row>
    <row r="106" spans="2:19" ht="15" customHeight="1">
      <c r="B106" s="86"/>
      <c r="C106" s="86"/>
    </row>
    <row r="107" spans="2:19" ht="15" customHeight="1">
      <c r="B107" s="86"/>
      <c r="C107" s="86"/>
    </row>
    <row r="108" spans="2:19" ht="15" customHeight="1">
      <c r="B108" s="86"/>
      <c r="C108" s="86"/>
    </row>
    <row r="109" spans="2:19" ht="15" customHeight="1">
      <c r="B109" s="86"/>
      <c r="C109" s="86"/>
    </row>
    <row r="110" spans="2:19" ht="15" customHeight="1">
      <c r="B110" s="86"/>
      <c r="C110" s="86"/>
    </row>
    <row r="111" spans="2:19" ht="15" customHeight="1">
      <c r="B111" s="86"/>
      <c r="C111" s="86"/>
    </row>
    <row r="112" spans="2:19" ht="15" customHeight="1">
      <c r="B112" s="86"/>
      <c r="C112" s="86"/>
    </row>
    <row r="113" spans="2:3" ht="15" customHeight="1">
      <c r="B113" s="86"/>
      <c r="C113" s="86"/>
    </row>
    <row r="114" spans="2:3" ht="15" customHeight="1">
      <c r="B114" s="86"/>
      <c r="C114" s="86"/>
    </row>
    <row r="115" spans="2:3" ht="15" customHeight="1">
      <c r="B115" s="86"/>
      <c r="C115" s="86"/>
    </row>
    <row r="116" spans="2:3" ht="15" customHeight="1">
      <c r="B116" s="86"/>
      <c r="C116" s="86"/>
    </row>
    <row r="117" spans="2:3" ht="15" customHeight="1">
      <c r="B117" s="86"/>
      <c r="C117" s="86"/>
    </row>
    <row r="118" spans="2:3" ht="15" customHeight="1">
      <c r="B118" s="86"/>
      <c r="C118" s="86"/>
    </row>
    <row r="119" spans="2:3" ht="15" customHeight="1">
      <c r="B119" s="86"/>
      <c r="C119" s="86"/>
    </row>
    <row r="120" spans="2:3" ht="15" customHeight="1">
      <c r="B120" s="86"/>
      <c r="C120" s="86"/>
    </row>
    <row r="121" spans="2:3" ht="15" customHeight="1">
      <c r="B121" s="86"/>
      <c r="C121" s="86"/>
    </row>
    <row r="122" spans="2:3" ht="15" customHeight="1">
      <c r="B122" s="86"/>
      <c r="C122" s="86"/>
    </row>
    <row r="123" spans="2:3" ht="15" customHeight="1">
      <c r="B123" s="86"/>
      <c r="C123" s="86"/>
    </row>
    <row r="124" spans="2:3" ht="15" customHeight="1">
      <c r="B124" s="86"/>
      <c r="C124" s="86"/>
    </row>
    <row r="125" spans="2:3" ht="15" customHeight="1">
      <c r="B125" s="86"/>
      <c r="C125" s="86"/>
    </row>
    <row r="126" spans="2:3" ht="15" customHeight="1">
      <c r="B126" s="86"/>
      <c r="C126" s="86"/>
    </row>
    <row r="127" spans="2:3" ht="15" customHeight="1">
      <c r="B127" s="86"/>
      <c r="C127" s="86"/>
    </row>
    <row r="128" spans="2:3" ht="15" customHeight="1">
      <c r="B128" s="86"/>
      <c r="C128" s="86"/>
    </row>
    <row r="129" spans="2:3" ht="15" customHeight="1">
      <c r="B129" s="86"/>
      <c r="C129" s="86"/>
    </row>
    <row r="130" spans="2:3" ht="15" customHeight="1">
      <c r="B130" s="86"/>
      <c r="C130" s="86"/>
    </row>
    <row r="131" spans="2:3" ht="15" customHeight="1">
      <c r="B131" s="86"/>
      <c r="C131" s="86"/>
    </row>
    <row r="132" spans="2:3" ht="15" customHeight="1">
      <c r="B132" s="86"/>
      <c r="C132" s="86"/>
    </row>
    <row r="133" spans="2:3" ht="15" customHeight="1">
      <c r="B133" s="86"/>
      <c r="C133" s="86"/>
    </row>
    <row r="134" spans="2:3" ht="15" customHeight="1">
      <c r="B134" s="86"/>
      <c r="C134" s="86"/>
    </row>
    <row r="135" spans="2:3" ht="15" customHeight="1">
      <c r="B135" s="86"/>
      <c r="C135" s="86"/>
    </row>
    <row r="136" spans="2:3" ht="15" customHeight="1">
      <c r="B136" s="86"/>
      <c r="C136" s="86"/>
    </row>
    <row r="137" spans="2:3" ht="15" customHeight="1">
      <c r="B137" s="86"/>
      <c r="C137" s="86"/>
    </row>
    <row r="138" spans="2:3" ht="15" customHeight="1">
      <c r="B138" s="86"/>
      <c r="C138" s="86"/>
    </row>
  </sheetData>
  <mergeCells count="7">
    <mergeCell ref="B64:C64"/>
    <mergeCell ref="F64:G64"/>
    <mergeCell ref="J64:K64"/>
    <mergeCell ref="A1:B1"/>
    <mergeCell ref="C1:L1"/>
    <mergeCell ref="A2:B2"/>
    <mergeCell ref="C2:K2"/>
  </mergeCells>
  <phoneticPr fontId="77" type="noConversion"/>
  <pageMargins left="0.51181102362204722" right="0.35433070866141736" top="0.98425196850393704" bottom="0.98425196850393704" header="0.51181102362204722" footer="0.51181102362204722"/>
  <pageSetup paperSize="9" scale="39" orientation="landscape" r:id="rId1"/>
  <headerFooter alignWithMargins="0">
    <oddHeader>&amp;L&amp;G&amp;R&amp;D</oddHeader>
    <oddFooter>&amp;LCONFIDENTIAL&amp;C&amp;F / &amp;A&amp;RPage &amp;P / &amp;N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>
    <tabColor rgb="FFFF0000"/>
    <pageSetUpPr fitToPage="1"/>
  </sheetPr>
  <dimension ref="A1:AL313"/>
  <sheetViews>
    <sheetView topLeftCell="A76" zoomScale="70" zoomScaleNormal="70" workbookViewId="0">
      <selection activeCell="Q101" sqref="Q101"/>
    </sheetView>
  </sheetViews>
  <sheetFormatPr defaultColWidth="10.5703125" defaultRowHeight="18" customHeight="1"/>
  <cols>
    <col min="1" max="1" width="18.5703125" style="148" customWidth="1"/>
    <col min="2" max="3" width="4.5703125" style="151" customWidth="1"/>
    <col min="4" max="4" width="18.42578125" style="148" customWidth="1"/>
    <col min="5" max="6" width="10.5703125" style="148" customWidth="1"/>
    <col min="7" max="7" width="18.5703125" style="148" customWidth="1"/>
    <col min="8" max="9" width="4.5703125" style="148" customWidth="1"/>
    <col min="10" max="10" width="18.42578125" style="148" customWidth="1"/>
    <col min="11" max="12" width="10.5703125" style="148" customWidth="1"/>
    <col min="13" max="13" width="18.5703125" style="148" customWidth="1"/>
    <col min="14" max="15" width="4.5703125" style="148" customWidth="1"/>
    <col min="16" max="16" width="18.42578125" style="148" customWidth="1"/>
    <col min="17" max="17" width="10.5703125" style="148" customWidth="1"/>
    <col min="18" max="18" width="10.5703125" style="148"/>
    <col min="19" max="19" width="18.42578125" style="148" customWidth="1"/>
    <col min="20" max="16384" width="10.5703125" style="148"/>
  </cols>
  <sheetData>
    <row r="1" spans="1:38" s="86" customFormat="1" ht="33" customHeight="1" thickBot="1">
      <c r="A1" s="1420" t="s">
        <v>565</v>
      </c>
      <c r="B1" s="1421"/>
      <c r="C1" s="1411">
        <f>'Fan Selection'!B1</f>
        <v>6666</v>
      </c>
      <c r="D1" s="1412"/>
      <c r="E1" s="1412"/>
      <c r="F1" s="1412"/>
      <c r="G1" s="1412"/>
      <c r="H1" s="1412"/>
      <c r="I1" s="1412"/>
      <c r="J1" s="1412"/>
      <c r="K1" s="1412"/>
      <c r="L1" s="1412"/>
      <c r="M1" s="1412"/>
      <c r="N1" s="1412"/>
      <c r="O1" s="1412"/>
      <c r="P1" s="1412"/>
      <c r="Q1" s="1413"/>
    </row>
    <row r="2" spans="1:38" s="86" customFormat="1" ht="33" customHeight="1" thickBot="1">
      <c r="A2" s="1420" t="s">
        <v>564</v>
      </c>
      <c r="B2" s="1421"/>
      <c r="C2" s="1411">
        <f>'Fan Selection'!B2</f>
        <v>0</v>
      </c>
      <c r="D2" s="1412"/>
      <c r="E2" s="1412"/>
      <c r="F2" s="1412"/>
      <c r="G2" s="1412"/>
      <c r="H2" s="1412"/>
      <c r="I2" s="1412"/>
      <c r="J2" s="1412"/>
      <c r="K2" s="1412"/>
      <c r="L2" s="1412"/>
      <c r="M2" s="1412"/>
      <c r="N2" s="1412"/>
      <c r="O2" s="1412"/>
      <c r="P2" s="1414"/>
      <c r="Q2" s="599">
        <f>'Fan Selection'!P2</f>
        <v>0</v>
      </c>
    </row>
    <row r="3" spans="1:38" ht="18" customHeight="1" thickBot="1">
      <c r="B3" s="148"/>
      <c r="C3" s="148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</row>
    <row r="4" spans="1:38" ht="18" customHeight="1">
      <c r="A4" s="1425" t="s">
        <v>243</v>
      </c>
      <c r="B4" s="1426"/>
      <c r="C4" s="1426"/>
      <c r="D4" s="1426"/>
      <c r="E4" s="1426"/>
      <c r="F4" s="1426"/>
      <c r="G4" s="1426"/>
      <c r="H4" s="1426"/>
      <c r="I4" s="1426"/>
      <c r="J4" s="1426"/>
      <c r="K4" s="1426"/>
      <c r="L4" s="1426"/>
      <c r="M4" s="1426"/>
      <c r="N4" s="1426"/>
      <c r="O4" s="1426"/>
      <c r="P4" s="1426"/>
      <c r="Q4" s="1427"/>
      <c r="S4" s="152"/>
      <c r="T4" s="153"/>
      <c r="U4" s="153"/>
    </row>
    <row r="5" spans="1:38" ht="18" customHeight="1" thickBot="1">
      <c r="A5" s="1428"/>
      <c r="B5" s="1429"/>
      <c r="C5" s="1429"/>
      <c r="D5" s="1429"/>
      <c r="E5" s="1429"/>
      <c r="F5" s="1429"/>
      <c r="G5" s="1429"/>
      <c r="H5" s="1429"/>
      <c r="I5" s="1429"/>
      <c r="J5" s="1429"/>
      <c r="K5" s="1429"/>
      <c r="L5" s="1429"/>
      <c r="M5" s="1429"/>
      <c r="N5" s="1429"/>
      <c r="O5" s="1429"/>
      <c r="P5" s="1429"/>
      <c r="Q5" s="1430"/>
      <c r="S5" s="152"/>
      <c r="T5" s="153"/>
      <c r="U5" s="153"/>
    </row>
    <row r="6" spans="1:38" ht="18" customHeight="1">
      <c r="A6" s="160"/>
      <c r="B6" s="194"/>
      <c r="C6" s="194"/>
      <c r="D6" s="195"/>
      <c r="E6" s="196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7"/>
      <c r="S6" s="193" t="s">
        <v>990</v>
      </c>
      <c r="T6" s="769">
        <f>g</f>
        <v>9.8070000000000004</v>
      </c>
      <c r="U6" s="153" t="s">
        <v>700</v>
      </c>
    </row>
    <row r="7" spans="1:38" ht="18" customHeight="1">
      <c r="A7" s="197" t="str">
        <f>Sel_Fan_type</f>
        <v>XOE 166-45G</v>
      </c>
      <c r="B7" s="1235" t="str">
        <f>Sel_Impeller_type</f>
        <v>REG</v>
      </c>
      <c r="D7" s="148" t="str">
        <f>Mat_IMP&amp;" / "&amp;Mat_BLADE</f>
        <v>Steel / Steel</v>
      </c>
      <c r="F7" s="1209" t="str">
        <f>A7&amp;" "&amp;B7&amp;IF(G18&lt;&gt;1," (d2_act:"&amp;d_2&amp;")","")</f>
        <v>XOE 166-45G REG</v>
      </c>
      <c r="J7" s="165"/>
      <c r="K7" s="165"/>
      <c r="L7" s="165"/>
      <c r="M7" s="165"/>
      <c r="N7" s="165"/>
      <c r="O7" s="165"/>
      <c r="P7" s="165"/>
      <c r="Q7" s="167"/>
      <c r="S7" s="193" t="s">
        <v>240</v>
      </c>
      <c r="T7" s="153">
        <f>MAX(U21:U40)</f>
        <v>42515.344843366969</v>
      </c>
      <c r="U7" s="153">
        <f>$T$30*0.67</f>
        <v>592.91425549918176</v>
      </c>
    </row>
    <row r="8" spans="1:38" ht="18" customHeight="1">
      <c r="A8" s="160" t="s">
        <v>98</v>
      </c>
      <c r="B8" s="1439">
        <v>1</v>
      </c>
      <c r="C8" s="1439"/>
      <c r="D8" s="196"/>
      <c r="E8" s="196"/>
      <c r="F8" s="196"/>
      <c r="G8" s="196"/>
      <c r="H8" s="196"/>
      <c r="I8" s="196"/>
      <c r="J8" s="165"/>
      <c r="K8" s="165"/>
      <c r="L8" s="165"/>
      <c r="M8" s="165"/>
      <c r="N8" s="165"/>
      <c r="O8" s="165"/>
      <c r="P8" s="165"/>
      <c r="Q8" s="167"/>
      <c r="S8" s="193" t="s">
        <v>241</v>
      </c>
      <c r="T8" s="153">
        <f>MAX(U21:U40)</f>
        <v>42515.344843366969</v>
      </c>
      <c r="U8" s="153">
        <f>$U$7/2</f>
        <v>296.45712774959088</v>
      </c>
    </row>
    <row r="9" spans="1:38" ht="18" customHeight="1">
      <c r="A9" s="190" t="s">
        <v>988</v>
      </c>
      <c r="D9" s="200">
        <f>INDEX('House C Data'!$A$1:$KS$300,Sel_Fan_number,MATCH($A9,'House C Data'!$A$16:$KS$16,0))</f>
        <v>450</v>
      </c>
      <c r="E9" s="148" t="s">
        <v>203</v>
      </c>
      <c r="G9" s="691">
        <f>Inlet/1000</f>
        <v>0.45</v>
      </c>
      <c r="H9" s="148" t="s">
        <v>118</v>
      </c>
      <c r="J9" s="199"/>
      <c r="K9" s="199"/>
      <c r="L9" s="199"/>
      <c r="M9" s="199"/>
      <c r="N9" s="199"/>
      <c r="O9" s="199"/>
      <c r="P9" s="199"/>
      <c r="Q9" s="202"/>
      <c r="R9" s="150"/>
      <c r="S9" s="150"/>
      <c r="T9" s="150"/>
      <c r="U9" s="150"/>
      <c r="V9" s="150"/>
      <c r="W9" s="150"/>
      <c r="X9" s="150"/>
      <c r="Y9" s="150"/>
      <c r="Z9" s="150"/>
      <c r="AA9" s="150"/>
    </row>
    <row r="10" spans="1:38" ht="18" customHeight="1">
      <c r="A10" s="190" t="s">
        <v>213</v>
      </c>
      <c r="D10" s="200">
        <f>INDEX('Impeller C &amp; Run Data'!$A$1:$KOS$300,Sel_Fan_number,MATCH($A10,'Impeller C &amp; Run Data'!$A$16:$KO$16,0))</f>
        <v>1061.8314830731099</v>
      </c>
      <c r="E10" s="148" t="s">
        <v>203</v>
      </c>
      <c r="G10" s="691">
        <f>d2_org/1000</f>
        <v>1.0618314830731099</v>
      </c>
      <c r="H10" s="148" t="s">
        <v>118</v>
      </c>
      <c r="J10" s="199"/>
      <c r="K10" s="199"/>
      <c r="L10" s="199"/>
      <c r="M10" s="199"/>
      <c r="N10" s="199"/>
      <c r="O10" s="199"/>
      <c r="P10" s="199"/>
      <c r="Q10" s="202"/>
      <c r="R10" s="150"/>
      <c r="S10" s="155" t="s">
        <v>0</v>
      </c>
      <c r="T10" s="155" t="s">
        <v>5</v>
      </c>
      <c r="U10" s="155" t="s">
        <v>6</v>
      </c>
      <c r="V10" s="155" t="s">
        <v>166</v>
      </c>
      <c r="W10" s="155" t="s">
        <v>4</v>
      </c>
      <c r="X10" s="155" t="s">
        <v>111</v>
      </c>
      <c r="Y10" s="155"/>
      <c r="Z10" s="155" t="s">
        <v>117</v>
      </c>
      <c r="AA10" s="155" t="s">
        <v>101</v>
      </c>
    </row>
    <row r="11" spans="1:38" ht="18" customHeight="1">
      <c r="A11" s="190" t="s">
        <v>731</v>
      </c>
      <c r="D11" s="200">
        <f>INDEX('House C Data'!$A$1:$KS$300,Sel_Fan_number,MATCH($A11,'House C Data'!$A$16:$KS$16,0))</f>
        <v>5</v>
      </c>
      <c r="E11" s="148" t="s">
        <v>203</v>
      </c>
      <c r="G11" s="691">
        <f>House_P_T/1000</f>
        <v>5.0000000000000001E-3</v>
      </c>
      <c r="H11" s="148" t="s">
        <v>118</v>
      </c>
      <c r="J11" s="199"/>
      <c r="K11" s="199"/>
      <c r="L11" s="199"/>
      <c r="M11" s="199"/>
      <c r="N11" s="199"/>
      <c r="O11" s="199"/>
      <c r="P11" s="199"/>
      <c r="Q11" s="202"/>
      <c r="R11" s="788" t="s">
        <v>1165</v>
      </c>
      <c r="S11" s="156">
        <f>rpm_OP</f>
        <v>1672.3774886767021</v>
      </c>
      <c r="T11" s="154">
        <f>T21*($S$11/$S$21)^2</f>
        <v>714.19385389401737</v>
      </c>
      <c r="U11" s="154">
        <f>U21*($S$11/$S$21)</f>
        <v>4774.2507882755517</v>
      </c>
      <c r="V11" s="154">
        <f>V21*(S$11/S$21)^3</f>
        <v>14.274563137553155</v>
      </c>
      <c r="W11" s="154">
        <f t="shared" ref="W11:W31" si="0">T11*$T$6*U11/3600000</f>
        <v>9.2887016025981115</v>
      </c>
      <c r="X11" s="157">
        <f>X21</f>
        <v>0.65071704913768114</v>
      </c>
      <c r="Y11" s="150"/>
      <c r="Z11" s="154">
        <f t="shared" ref="Z11:Z20" si="1">0.5*rho_med_OP*(U11/(PI()*(Inlet_m)^2/4)/3600)^2/$T$6</f>
        <v>4.271658382199611</v>
      </c>
      <c r="AA11" s="150"/>
    </row>
    <row r="12" spans="1:38" ht="18" customHeight="1">
      <c r="A12" s="190" t="s">
        <v>777</v>
      </c>
      <c r="D12" s="200">
        <f>INDEX('House C Data'!$A$1:$KS$300,Sel_Fan_number,MATCH($A12,'House C Data'!$A$16:$KS$16,0))</f>
        <v>1664.3543045494741</v>
      </c>
      <c r="E12" s="148" t="s">
        <v>203</v>
      </c>
      <c r="G12" s="691">
        <f>House_X_Dim/1000</f>
        <v>1.6643543045494742</v>
      </c>
      <c r="H12" s="148" t="s">
        <v>118</v>
      </c>
      <c r="J12" s="199"/>
      <c r="K12" s="199"/>
      <c r="L12" s="199"/>
      <c r="M12" s="199"/>
      <c r="N12" s="199"/>
      <c r="O12" s="199"/>
      <c r="P12" s="199"/>
      <c r="Q12" s="202"/>
      <c r="R12" s="788"/>
      <c r="S12" s="156"/>
      <c r="T12" s="154">
        <f t="shared" ref="T12:T20" si="2">T22*($S$11/$S$21)^2</f>
        <v>734.36172744888722</v>
      </c>
      <c r="U12" s="154">
        <f t="shared" ref="U12:U20" si="3">U22*($S$11/$S$21)</f>
        <v>8230.0242143358737</v>
      </c>
      <c r="V12" s="154">
        <f t="shared" ref="V12:V20" si="4">V22*(S$11/S$21)^3</f>
        <v>19.03275085007088</v>
      </c>
      <c r="W12" s="154">
        <f t="shared" ref="W12:W20" si="5">T12*$T$6*U12/3600000</f>
        <v>16.464358814903989</v>
      </c>
      <c r="X12" s="157">
        <f t="shared" ref="X12:X20" si="6">X22</f>
        <v>0.86505408201897793</v>
      </c>
      <c r="Y12" s="150"/>
      <c r="Z12" s="154">
        <f t="shared" si="1"/>
        <v>12.693701533964179</v>
      </c>
      <c r="AA12" s="150"/>
    </row>
    <row r="13" spans="1:38" ht="18" customHeight="1">
      <c r="J13" s="199"/>
      <c r="K13" s="199"/>
      <c r="L13" s="199"/>
      <c r="M13" s="199"/>
      <c r="N13" s="199"/>
      <c r="O13" s="199"/>
      <c r="P13" s="199"/>
      <c r="Q13" s="202"/>
      <c r="R13" s="788"/>
      <c r="S13" s="156"/>
      <c r="T13" s="154">
        <f t="shared" si="2"/>
        <v>639.64653738523714</v>
      </c>
      <c r="U13" s="154">
        <f t="shared" si="3"/>
        <v>11837.731690067933</v>
      </c>
      <c r="V13" s="154">
        <f t="shared" si="4"/>
        <v>24.232285134372773</v>
      </c>
      <c r="W13" s="154">
        <f t="shared" si="5"/>
        <v>20.627292164407578</v>
      </c>
      <c r="X13" s="157">
        <f t="shared" si="6"/>
        <v>0.85123181945182624</v>
      </c>
      <c r="Y13" s="150"/>
      <c r="Z13" s="154">
        <f t="shared" si="1"/>
        <v>26.261712400271765</v>
      </c>
      <c r="AA13" s="150"/>
    </row>
    <row r="14" spans="1:38" ht="18" customHeight="1" thickBot="1">
      <c r="A14" s="1236" t="s">
        <v>1666</v>
      </c>
      <c r="J14" s="199"/>
      <c r="K14" s="199"/>
      <c r="L14" s="199"/>
      <c r="M14" s="199"/>
      <c r="N14" s="199"/>
      <c r="O14" s="199"/>
      <c r="P14" s="199"/>
      <c r="Q14" s="202"/>
      <c r="R14" s="788"/>
      <c r="S14" s="156"/>
      <c r="T14" s="154">
        <f t="shared" si="2"/>
        <v>508.255711960258</v>
      </c>
      <c r="U14" s="154">
        <f t="shared" si="3"/>
        <v>14176.890069302517</v>
      </c>
      <c r="V14" s="154">
        <f t="shared" si="4"/>
        <v>27.282769632308188</v>
      </c>
      <c r="W14" s="154">
        <f t="shared" si="5"/>
        <v>19.628943022759547</v>
      </c>
      <c r="X14" s="157">
        <f t="shared" si="6"/>
        <v>0.71946299027922023</v>
      </c>
      <c r="Y14" s="150"/>
      <c r="Z14" s="154">
        <f t="shared" si="1"/>
        <v>37.665869735483099</v>
      </c>
      <c r="AA14" s="150"/>
    </row>
    <row r="15" spans="1:38" s="158" customFormat="1" ht="18" customHeight="1" thickBot="1">
      <c r="A15" s="1240" t="str">
        <f>VLOOKUP($A$7,name_change!$A$1:$C$218,3,FALSE)</f>
        <v>GT 106-44</v>
      </c>
      <c r="J15" s="199"/>
      <c r="K15" s="199"/>
      <c r="L15" s="199"/>
      <c r="M15" s="199"/>
      <c r="N15" s="199"/>
      <c r="O15" s="199"/>
      <c r="P15" s="199"/>
      <c r="Q15" s="202"/>
      <c r="R15" s="788"/>
      <c r="S15" s="156"/>
      <c r="T15" s="154">
        <f t="shared" si="2"/>
        <v>360.33184869094299</v>
      </c>
      <c r="U15" s="154">
        <f t="shared" si="3"/>
        <v>15938.460009162362</v>
      </c>
      <c r="V15" s="154">
        <f t="shared" si="4"/>
        <v>27.106751763712655</v>
      </c>
      <c r="W15" s="154">
        <f t="shared" si="5"/>
        <v>15.64525627642402</v>
      </c>
      <c r="X15" s="157">
        <f t="shared" si="6"/>
        <v>0.57717193165756053</v>
      </c>
      <c r="Y15" s="150"/>
      <c r="Z15" s="154">
        <f t="shared" si="1"/>
        <v>47.607872128177043</v>
      </c>
      <c r="AA15" s="150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</row>
    <row r="16" spans="1:38" s="158" customFormat="1" ht="18" customHeight="1">
      <c r="J16" s="199"/>
      <c r="K16" s="199"/>
      <c r="L16" s="199"/>
      <c r="M16" s="199"/>
      <c r="N16" s="199"/>
      <c r="O16" s="199"/>
      <c r="P16" s="199"/>
      <c r="Q16" s="202"/>
      <c r="R16" s="788"/>
      <c r="S16" s="156"/>
      <c r="T16" s="154">
        <f t="shared" si="2"/>
        <v>230.2411958350778</v>
      </c>
      <c r="U16" s="154">
        <f t="shared" si="3"/>
        <v>17131.909385187471</v>
      </c>
      <c r="V16" s="154">
        <f t="shared" si="4"/>
        <v>25.874626683543898</v>
      </c>
      <c r="W16" s="154">
        <f t="shared" si="5"/>
        <v>10.745397243390915</v>
      </c>
      <c r="X16" s="157">
        <f t="shared" si="6"/>
        <v>0.41528704451704884</v>
      </c>
      <c r="Y16" s="150"/>
      <c r="Z16" s="154">
        <f t="shared" si="1"/>
        <v>55.004420542951479</v>
      </c>
      <c r="AA16" s="150"/>
      <c r="AB16" s="148"/>
      <c r="AC16" s="148"/>
      <c r="AD16" s="148"/>
      <c r="AE16" s="148"/>
      <c r="AF16" s="148"/>
      <c r="AG16" s="148"/>
      <c r="AH16" s="148"/>
      <c r="AI16" s="148"/>
      <c r="AJ16" s="148"/>
      <c r="AK16" s="148"/>
      <c r="AL16" s="148"/>
    </row>
    <row r="17" spans="1:38" s="158" customFormat="1" ht="18" customHeight="1">
      <c r="A17" s="701"/>
      <c r="B17" s="701"/>
      <c r="C17" s="701"/>
      <c r="D17" s="1438" t="s">
        <v>239</v>
      </c>
      <c r="E17" s="1438"/>
      <c r="F17" s="1438"/>
      <c r="G17" s="1438"/>
      <c r="H17" s="1438"/>
      <c r="I17" s="1438"/>
      <c r="J17" s="199"/>
      <c r="K17" s="199"/>
      <c r="L17" s="199"/>
      <c r="M17" s="199"/>
      <c r="N17" s="199"/>
      <c r="O17" s="199"/>
      <c r="P17" s="199"/>
      <c r="Q17" s="202"/>
      <c r="R17" s="788"/>
      <c r="S17" s="156"/>
      <c r="T17" s="154">
        <f t="shared" si="2"/>
        <v>154.69124433984632</v>
      </c>
      <c r="U17" s="154">
        <f t="shared" si="3"/>
        <v>17775.426409843509</v>
      </c>
      <c r="V17" s="154">
        <f t="shared" si="4"/>
        <v>25.843614349630325</v>
      </c>
      <c r="W17" s="154">
        <f t="shared" si="5"/>
        <v>7.4906487927524044</v>
      </c>
      <c r="X17" s="157">
        <f t="shared" si="6"/>
        <v>0.28984524731772093</v>
      </c>
      <c r="Y17" s="150"/>
      <c r="Z17" s="154">
        <f t="shared" si="1"/>
        <v>59.214233507890143</v>
      </c>
      <c r="AA17" s="150"/>
      <c r="AB17" s="148"/>
      <c r="AC17" s="148"/>
      <c r="AD17" s="148"/>
      <c r="AE17" s="148"/>
      <c r="AF17" s="148"/>
      <c r="AG17" s="148"/>
      <c r="AH17" s="148"/>
      <c r="AI17" s="148"/>
      <c r="AJ17" s="148"/>
      <c r="AK17" s="148"/>
      <c r="AL17" s="148"/>
    </row>
    <row r="18" spans="1:38" s="158" customFormat="1" ht="18" customHeight="1">
      <c r="A18" s="198" t="s">
        <v>242</v>
      </c>
      <c r="B18" s="199"/>
      <c r="C18" s="199"/>
      <c r="D18" s="200">
        <f>ROUND(d2_org*G18,0)</f>
        <v>1062</v>
      </c>
      <c r="E18" s="199" t="s">
        <v>203</v>
      </c>
      <c r="F18" s="201" t="s">
        <v>238</v>
      </c>
      <c r="G18" s="210">
        <v>1</v>
      </c>
      <c r="H18" s="199"/>
      <c r="I18" s="199"/>
      <c r="J18" s="199"/>
      <c r="K18" s="199"/>
      <c r="L18" s="199"/>
      <c r="M18" s="199"/>
      <c r="N18" s="199"/>
      <c r="O18" s="199"/>
      <c r="P18" s="199"/>
      <c r="Q18" s="202"/>
      <c r="R18" s="788"/>
      <c r="S18" s="156"/>
      <c r="T18" s="154">
        <f t="shared" si="2"/>
        <v>154.69124433984632</v>
      </c>
      <c r="U18" s="154">
        <f t="shared" si="3"/>
        <v>17775.426409843509</v>
      </c>
      <c r="V18" s="154">
        <f t="shared" si="4"/>
        <v>25.336876813363066</v>
      </c>
      <c r="W18" s="154">
        <f t="shared" si="5"/>
        <v>7.4906487927524044</v>
      </c>
      <c r="X18" s="157">
        <f t="shared" si="6"/>
        <v>0.29564215226407536</v>
      </c>
      <c r="Y18" s="150"/>
      <c r="Z18" s="154">
        <f t="shared" si="1"/>
        <v>59.214233507890143</v>
      </c>
      <c r="AA18" s="150"/>
      <c r="AB18" s="148"/>
      <c r="AC18" s="148"/>
      <c r="AD18" s="148"/>
      <c r="AE18" s="148"/>
      <c r="AF18" s="148"/>
      <c r="AG18" s="148"/>
      <c r="AH18" s="148"/>
      <c r="AI18" s="148"/>
      <c r="AJ18" s="148"/>
      <c r="AK18" s="148"/>
      <c r="AL18" s="148"/>
    </row>
    <row r="19" spans="1:38" s="158" customFormat="1" ht="18" customHeight="1">
      <c r="A19" s="198" t="s">
        <v>100</v>
      </c>
      <c r="B19" s="199"/>
      <c r="C19" s="199"/>
      <c r="D19" s="200">
        <f>IF(G19&lt;&gt;"",G19,Pin_in_SU)</f>
        <v>0</v>
      </c>
      <c r="E19" s="199" t="s">
        <v>101</v>
      </c>
      <c r="F19" s="201" t="s">
        <v>100</v>
      </c>
      <c r="G19" s="209"/>
      <c r="H19" s="199" t="s">
        <v>101</v>
      </c>
      <c r="I19" s="199"/>
      <c r="J19" s="199"/>
      <c r="K19" s="199"/>
      <c r="L19" s="199"/>
      <c r="M19" s="199"/>
      <c r="N19" s="199"/>
      <c r="O19" s="199"/>
      <c r="P19" s="199"/>
      <c r="Q19" s="202"/>
      <c r="R19" s="788"/>
      <c r="S19" s="156"/>
      <c r="T19" s="154">
        <f t="shared" si="2"/>
        <v>154.69124433984632</v>
      </c>
      <c r="U19" s="154">
        <f t="shared" si="3"/>
        <v>17775.426409843509</v>
      </c>
      <c r="V19" s="154">
        <f t="shared" si="4"/>
        <v>25.336876813363066</v>
      </c>
      <c r="W19" s="154">
        <f t="shared" si="5"/>
        <v>7.4906487927524044</v>
      </c>
      <c r="X19" s="157">
        <f t="shared" si="6"/>
        <v>0.29564215226407536</v>
      </c>
      <c r="Y19" s="150"/>
      <c r="Z19" s="154">
        <f t="shared" si="1"/>
        <v>59.214233507890143</v>
      </c>
      <c r="AA19" s="150"/>
    </row>
    <row r="20" spans="1:38" s="158" customFormat="1" ht="18" customHeight="1">
      <c r="A20" s="198" t="s">
        <v>102</v>
      </c>
      <c r="B20" s="199"/>
      <c r="C20" s="199"/>
      <c r="D20" s="200">
        <f>IF(AND(Pt_in_SU=0,Ps_in_SU=0),0,IF(G20&lt;&gt;"",G20,IF(Pt_in_SU=0,P_OP_stat+P_OP_dyn,Pt_in_SU)))</f>
        <v>713.77587437544605</v>
      </c>
      <c r="E20" s="199" t="s">
        <v>101</v>
      </c>
      <c r="F20" s="201" t="s">
        <v>102</v>
      </c>
      <c r="G20" s="209"/>
      <c r="H20" s="199" t="s">
        <v>101</v>
      </c>
      <c r="I20" s="199"/>
      <c r="J20" s="199"/>
      <c r="K20" s="199"/>
      <c r="L20" s="199"/>
      <c r="M20" s="199"/>
      <c r="N20" s="199"/>
      <c r="O20" s="199"/>
      <c r="P20" s="199"/>
      <c r="Q20" s="202"/>
      <c r="R20" s="788"/>
      <c r="S20" s="156"/>
      <c r="T20" s="154">
        <f t="shared" si="2"/>
        <v>154.69124433984632</v>
      </c>
      <c r="U20" s="154">
        <f t="shared" si="3"/>
        <v>17775.426409843509</v>
      </c>
      <c r="V20" s="154">
        <f t="shared" si="4"/>
        <v>25.336876813363066</v>
      </c>
      <c r="W20" s="154">
        <f t="shared" si="5"/>
        <v>7.4906487927524044</v>
      </c>
      <c r="X20" s="157">
        <f t="shared" si="6"/>
        <v>0.29564215226407536</v>
      </c>
      <c r="Y20" s="150"/>
      <c r="Z20" s="154">
        <f t="shared" si="1"/>
        <v>59.214233507890143</v>
      </c>
      <c r="AA20" s="150"/>
      <c r="AB20" s="1435" t="s">
        <v>1167</v>
      </c>
      <c r="AC20" s="1436"/>
      <c r="AD20" s="1436"/>
      <c r="AE20" s="1436"/>
      <c r="AF20" s="1436"/>
      <c r="AG20" s="1437"/>
    </row>
    <row r="21" spans="1:38" s="158" customFormat="1" ht="18" customHeight="1">
      <c r="A21" s="198" t="s">
        <v>116</v>
      </c>
      <c r="B21" s="199"/>
      <c r="C21" s="199"/>
      <c r="D21" s="200">
        <f>IF(AND(Pt_in_SU=0,Ps_in_SU=0),0,IF(G21&lt;&gt;"",G21,IF(Ps_in_SU=0,P_OP_tot-P_OP_dyn,Ps_in_SU)))</f>
        <v>695.03516367298926</v>
      </c>
      <c r="E21" s="199" t="s">
        <v>101</v>
      </c>
      <c r="F21" s="201"/>
      <c r="G21" s="209"/>
      <c r="H21" s="199" t="s">
        <v>101</v>
      </c>
      <c r="I21" s="199"/>
      <c r="J21" s="199"/>
      <c r="K21" s="199"/>
      <c r="L21" s="199"/>
      <c r="M21" s="199"/>
      <c r="N21" s="199"/>
      <c r="O21" s="199"/>
      <c r="P21" s="199"/>
      <c r="Q21" s="202"/>
      <c r="R21" s="198" t="s">
        <v>1164</v>
      </c>
      <c r="S21" s="179">
        <f>AB23</f>
        <v>4000</v>
      </c>
      <c r="T21" s="154">
        <f t="shared" ref="T21:T30" si="7">AC21*rho_med_OP/rho_std*($S$21/$AB$21)^2*$G$18^2</f>
        <v>4085.7093182644171</v>
      </c>
      <c r="U21" s="154">
        <f t="shared" ref="U21:U30" si="8">AD21*($S$21/$AB$21)*$G$18^3</f>
        <v>11419.074510631594</v>
      </c>
      <c r="V21" s="154">
        <f t="shared" ref="V21:V30" si="9">W21/(X21*$B$8)</f>
        <v>195.31691712408863</v>
      </c>
      <c r="W21" s="154">
        <f t="shared" si="0"/>
        <v>127.09604795765598</v>
      </c>
      <c r="X21" s="157">
        <f>AG21</f>
        <v>0.65071704913768114</v>
      </c>
      <c r="Y21" s="150"/>
      <c r="Z21" s="154"/>
      <c r="AA21" s="150"/>
      <c r="AB21" s="1202">
        <f>INDEX('Fan Hydraulic Data'!$A$1:$AN$300,Sel_Fan_number,2)</f>
        <v>2980</v>
      </c>
      <c r="AC21" s="1203">
        <f>INDEX('Fan Hydraulic Data'!$A$1:$AN$300,Sel_Fan_number,ROW($A3))</f>
        <v>2267.6708143697078</v>
      </c>
      <c r="AD21" s="1203">
        <f>INDEX('Fan Hydraulic Data'!$A$1:$AN$300,Sel_Fan_number,ROW($A13))</f>
        <v>8507.2105104205366</v>
      </c>
      <c r="AE21" s="1203">
        <f t="shared" ref="AE21:AE30" si="10">AF21/(AG21*$B$8)</f>
        <v>80.762300085463977</v>
      </c>
      <c r="AF21" s="1203">
        <f t="shared" ref="AF21" si="11">AC21*$T$6*AD21/3600000</f>
        <v>52.553405593185012</v>
      </c>
      <c r="AG21" s="1204">
        <f>INDEX('Fan Hydraulic Data'!$A$1:$AN$300,Sel_Fan_number,ROW($A23))</f>
        <v>0.65071704913768114</v>
      </c>
    </row>
    <row r="22" spans="1:38" s="158" customFormat="1" ht="18" customHeight="1">
      <c r="A22" s="198" t="s">
        <v>124</v>
      </c>
      <c r="B22" s="199"/>
      <c r="C22" s="199"/>
      <c r="D22" s="200">
        <f>0.5*($D$26*((273.14+T_std)/(273.14+$D$23)*(101325+$D$19*$T$6)/101325))*($D$24/(PI()*Inlet_m^2/4)/3600)^2/$T$6</f>
        <v>18.740710702456806</v>
      </c>
      <c r="E22" s="199" t="s">
        <v>101</v>
      </c>
      <c r="F22" s="201"/>
      <c r="G22" s="199"/>
      <c r="H22" s="199"/>
      <c r="I22" s="199"/>
      <c r="J22" s="199"/>
      <c r="K22" s="199"/>
      <c r="L22" s="199"/>
      <c r="M22" s="199"/>
      <c r="N22" s="199"/>
      <c r="O22" s="199"/>
      <c r="P22" s="199"/>
      <c r="Q22" s="202"/>
      <c r="R22" s="788"/>
      <c r="S22" s="156"/>
      <c r="T22" s="154">
        <f t="shared" si="7"/>
        <v>4201.0842524835207</v>
      </c>
      <c r="U22" s="154">
        <f t="shared" si="8"/>
        <v>19684.60893562499</v>
      </c>
      <c r="V22" s="154">
        <f t="shared" si="9"/>
        <v>260.42255616545157</v>
      </c>
      <c r="W22" s="154">
        <f t="shared" ref="W22:W30" si="12">T22*$T$6*U22/3600000</f>
        <v>225.27959526074045</v>
      </c>
      <c r="X22" s="157">
        <f t="shared" ref="X22:X30" si="13">AG22</f>
        <v>0.86505408201897793</v>
      </c>
      <c r="Y22" s="150"/>
      <c r="Z22" s="154"/>
      <c r="AA22" s="150"/>
      <c r="AB22" s="1205"/>
      <c r="AC22" s="1203">
        <f>INDEX('Fan Hydraulic Data'!$A$1:$AN$300,Sel_Fan_number,ROW($A4))</f>
        <v>2331.7067872346656</v>
      </c>
      <c r="AD22" s="1203">
        <f>INDEX('Fan Hydraulic Data'!$A$1:$AN$300,Sel_Fan_number,ROW($A14))</f>
        <v>14665.033657040618</v>
      </c>
      <c r="AE22" s="1203">
        <f t="shared" si="10"/>
        <v>107.68306678061866</v>
      </c>
      <c r="AF22" s="1203">
        <f t="shared" ref="AF22:AF30" si="14">AC22*$T$6*AD22/3600000</f>
        <v>93.151676482896377</v>
      </c>
      <c r="AG22" s="1204">
        <f>INDEX('Fan Hydraulic Data'!$A$1:$AN$300,Sel_Fan_number,ROW($A24))</f>
        <v>0.86505408201897793</v>
      </c>
    </row>
    <row r="23" spans="1:38" s="158" customFormat="1" ht="18" customHeight="1">
      <c r="A23" s="198" t="s">
        <v>114</v>
      </c>
      <c r="B23" s="199"/>
      <c r="C23" s="199"/>
      <c r="D23" s="200">
        <f>IF(G23&lt;&gt;"",G23,T_in_SU)</f>
        <v>20</v>
      </c>
      <c r="E23" s="199" t="s">
        <v>21</v>
      </c>
      <c r="F23" s="201" t="s">
        <v>114</v>
      </c>
      <c r="G23" s="209"/>
      <c r="H23" s="199" t="s">
        <v>21</v>
      </c>
      <c r="I23" s="199"/>
      <c r="J23" s="199"/>
      <c r="K23" s="199"/>
      <c r="L23" s="199"/>
      <c r="M23" s="199"/>
      <c r="N23" s="199"/>
      <c r="O23" s="199"/>
      <c r="P23" s="199"/>
      <c r="Q23" s="202"/>
      <c r="R23" s="788"/>
      <c r="S23" s="156"/>
      <c r="T23" s="154">
        <f t="shared" si="7"/>
        <v>3659.2443409324669</v>
      </c>
      <c r="U23" s="154">
        <f t="shared" si="8"/>
        <v>28313.53990404342</v>
      </c>
      <c r="V23" s="154">
        <f t="shared" si="9"/>
        <v>331.56708066716112</v>
      </c>
      <c r="W23" s="154">
        <f t="shared" si="12"/>
        <v>282.240449346638</v>
      </c>
      <c r="X23" s="157">
        <f t="shared" si="13"/>
        <v>0.85123181945182624</v>
      </c>
      <c r="Y23" s="150"/>
      <c r="Z23" s="154"/>
      <c r="AA23" s="150"/>
      <c r="AB23" s="1202">
        <f>IF(Desired_RPM_max&lt;&gt;0,1.1*Desired_RPM_max,INDEX('Impeller C &amp; Run Data'!$A$1:'Impeller C &amp; Run Data'!$AI$300,Sel_Fan_number,MATCH("revmax",'Impeller C &amp; Run Data'!$A$16:$AI$16,0)))</f>
        <v>4000</v>
      </c>
      <c r="AC23" s="1203">
        <f>INDEX('Fan Hydraulic Data'!$A$1:$AN$300,Sel_Fan_number,ROW($A5))</f>
        <v>2030.9720903260422</v>
      </c>
      <c r="AD23" s="1203">
        <f>INDEX('Fan Hydraulic Data'!$A$1:$AN$300,Sel_Fan_number,ROW($A15))</f>
        <v>21093.587228512348</v>
      </c>
      <c r="AE23" s="1203">
        <f t="shared" si="10"/>
        <v>137.10087411573184</v>
      </c>
      <c r="AF23" s="1203">
        <f t="shared" si="14"/>
        <v>116.70462652197021</v>
      </c>
      <c r="AG23" s="1204">
        <f>INDEX('Fan Hydraulic Data'!$A$1:$AN$300,Sel_Fan_number,ROW($A25))</f>
        <v>0.85123181945182624</v>
      </c>
    </row>
    <row r="24" spans="1:38" s="158" customFormat="1" ht="18" customHeight="1">
      <c r="A24" s="198" t="s">
        <v>23</v>
      </c>
      <c r="B24" s="199"/>
      <c r="C24" s="199"/>
      <c r="D24" s="200">
        <f>IF(G24&lt;&gt;"",G24,Q_in_SU)</f>
        <v>10000</v>
      </c>
      <c r="E24" s="199" t="s">
        <v>103</v>
      </c>
      <c r="F24" s="201" t="s">
        <v>23</v>
      </c>
      <c r="G24" s="209"/>
      <c r="H24" s="199" t="s">
        <v>103</v>
      </c>
      <c r="I24" s="199"/>
      <c r="J24" s="199"/>
      <c r="K24" s="199"/>
      <c r="L24" s="199"/>
      <c r="M24" s="199"/>
      <c r="N24" s="199"/>
      <c r="O24" s="199"/>
      <c r="P24" s="199"/>
      <c r="Q24" s="202"/>
      <c r="R24" s="788"/>
      <c r="S24" s="156"/>
      <c r="T24" s="154">
        <f t="shared" si="7"/>
        <v>2907.5930674773017</v>
      </c>
      <c r="U24" s="154">
        <f t="shared" si="8"/>
        <v>33908.349437351557</v>
      </c>
      <c r="V24" s="154">
        <f t="shared" si="9"/>
        <v>373.30644754866825</v>
      </c>
      <c r="W24" s="154">
        <f t="shared" si="12"/>
        <v>268.58017304387772</v>
      </c>
      <c r="X24" s="157">
        <f t="shared" si="13"/>
        <v>0.71946299027922023</v>
      </c>
      <c r="Y24" s="150"/>
      <c r="Z24" s="154"/>
      <c r="AA24" s="150"/>
      <c r="AB24" s="1202"/>
      <c r="AC24" s="1203">
        <f>INDEX('Fan Hydraulic Data'!$A$1:$AN$300,Sel_Fan_number,ROW($A6))</f>
        <v>1613.7868422765891</v>
      </c>
      <c r="AD24" s="1203">
        <f>INDEX('Fan Hydraulic Data'!$A$1:$AN$300,Sel_Fan_number,ROW($A16))</f>
        <v>25261.720330826909</v>
      </c>
      <c r="AE24" s="1203">
        <f t="shared" si="10"/>
        <v>154.35983623277116</v>
      </c>
      <c r="AF24" s="1203">
        <f t="shared" si="14"/>
        <v>111.05618935504026</v>
      </c>
      <c r="AG24" s="1204">
        <f>INDEX('Fan Hydraulic Data'!$A$1:$AN$300,Sel_Fan_number,ROW($A26))</f>
        <v>0.71946299027922023</v>
      </c>
    </row>
    <row r="25" spans="1:38" s="158" customFormat="1" ht="18" customHeight="1">
      <c r="A25" s="198" t="s">
        <v>91</v>
      </c>
      <c r="B25" s="199"/>
      <c r="C25" s="199"/>
      <c r="D25" s="200">
        <f>IF(G25&lt;&gt;"",G25,Sel_Fan_rev)</f>
        <v>1672.3774886767021</v>
      </c>
      <c r="E25" s="199" t="s">
        <v>105</v>
      </c>
      <c r="F25" s="201" t="s">
        <v>91</v>
      </c>
      <c r="G25" s="209"/>
      <c r="H25" s="199" t="s">
        <v>105</v>
      </c>
      <c r="I25" s="199"/>
      <c r="J25" s="199"/>
      <c r="K25" s="199"/>
      <c r="L25" s="199"/>
      <c r="M25" s="199"/>
      <c r="N25" s="199"/>
      <c r="O25" s="199"/>
      <c r="P25" s="199"/>
      <c r="Q25" s="202"/>
      <c r="R25" s="788"/>
      <c r="S25" s="156"/>
      <c r="T25" s="154">
        <f t="shared" si="7"/>
        <v>2061.3607689803757</v>
      </c>
      <c r="U25" s="154">
        <f t="shared" si="8"/>
        <v>38121.680343291264</v>
      </c>
      <c r="V25" s="154">
        <f t="shared" si="9"/>
        <v>370.89801885480591</v>
      </c>
      <c r="W25" s="154">
        <f t="shared" si="12"/>
        <v>214.07192599039064</v>
      </c>
      <c r="X25" s="157">
        <f t="shared" si="13"/>
        <v>0.57717193165756053</v>
      </c>
      <c r="Y25" s="150"/>
      <c r="Z25" s="154"/>
      <c r="AA25" s="150"/>
      <c r="AB25" s="1202">
        <f>INDEX('Fan Hydraulic Data'!$A$1:$AN$300,Sel_Fan_number,ROW($A34))</f>
        <v>1000</v>
      </c>
      <c r="AC25" s="1203">
        <f>INDEX('Fan Hydraulic Data'!$A$1:$AN$300,Sel_Fan_number,ROW($A7))</f>
        <v>1144.1067608033329</v>
      </c>
      <c r="AD25" s="1203">
        <f>INDEX('Fan Hydraulic Data'!$A$1:$AN$300,Sel_Fan_number,ROW($A17))</f>
        <v>28400.651855751988</v>
      </c>
      <c r="AE25" s="1203">
        <f t="shared" si="10"/>
        <v>153.36396632159205</v>
      </c>
      <c r="AF25" s="1203">
        <f t="shared" si="14"/>
        <v>88.517376688498331</v>
      </c>
      <c r="AG25" s="1204">
        <f>INDEX('Fan Hydraulic Data'!$A$1:$AN$300,Sel_Fan_number,ROW($A27))</f>
        <v>0.57717193165756053</v>
      </c>
    </row>
    <row r="26" spans="1:38" s="158" customFormat="1" ht="18" customHeight="1">
      <c r="A26" s="198" t="s">
        <v>218</v>
      </c>
      <c r="B26" s="199"/>
      <c r="C26" s="199"/>
      <c r="D26" s="203">
        <f>IF(G26&lt;&gt;0,G26,'Fan Selection'!$B$17)</f>
        <v>1.2050000000000001</v>
      </c>
      <c r="E26" s="199" t="s">
        <v>30</v>
      </c>
      <c r="F26" s="199" t="s">
        <v>567</v>
      </c>
      <c r="G26" s="209"/>
      <c r="H26" s="199" t="s">
        <v>30</v>
      </c>
      <c r="I26" s="199"/>
      <c r="J26" s="199"/>
      <c r="K26" s="199"/>
      <c r="L26" s="199"/>
      <c r="M26" s="199"/>
      <c r="N26" s="199"/>
      <c r="O26" s="199"/>
      <c r="P26" s="199"/>
      <c r="Q26" s="202"/>
      <c r="R26" s="788"/>
      <c r="S26" s="156"/>
      <c r="T26" s="154">
        <f t="shared" si="7"/>
        <v>1317.147430130804</v>
      </c>
      <c r="U26" s="154">
        <f t="shared" si="8"/>
        <v>40976.177929166915</v>
      </c>
      <c r="V26" s="154">
        <f t="shared" si="9"/>
        <v>354.03901799776929</v>
      </c>
      <c r="W26" s="154">
        <f t="shared" si="12"/>
        <v>147.02781742801187</v>
      </c>
      <c r="X26" s="157">
        <f t="shared" si="13"/>
        <v>0.41528704451704884</v>
      </c>
      <c r="Y26" s="150"/>
      <c r="Z26" s="154"/>
      <c r="AA26" s="150"/>
      <c r="AB26" s="1202"/>
      <c r="AC26" s="1203">
        <f>INDEX('Fan Hydraulic Data'!$A$1:$AN$300,Sel_Fan_number,ROW($A8))</f>
        <v>731.04975240834938</v>
      </c>
      <c r="AD26" s="1203">
        <f>INDEX('Fan Hydraulic Data'!$A$1:$AN$300,Sel_Fan_number,ROW($A18))</f>
        <v>30527.252557229349</v>
      </c>
      <c r="AE26" s="1203">
        <f t="shared" si="10"/>
        <v>146.3928769433378</v>
      </c>
      <c r="AF26" s="1203">
        <f t="shared" si="14"/>
        <v>60.795065204146781</v>
      </c>
      <c r="AG26" s="1204">
        <f>INDEX('Fan Hydraulic Data'!$A$1:$AN$300,Sel_Fan_number,ROW($A28))</f>
        <v>0.41528704451704884</v>
      </c>
    </row>
    <row r="27" spans="1:38" s="158" customFormat="1" ht="18" customHeight="1">
      <c r="A27" s="198" t="s">
        <v>109</v>
      </c>
      <c r="B27" s="199"/>
      <c r="C27" s="199"/>
      <c r="D27" s="204">
        <f>INDEX($X$11:$X$20,MATCH(D24,$U$11:$U$20,1))+(D24-INDEX($U$11:$U$20,MATCH(D24,$U$11:$U$20,1)))*(INDEX($X$11:$X$20,MATCH(D24,$U$11:$U$20,1)+1)-INDEX($X$11:$X$20,MATCH(D24,$U$11:$U$20,1)))/(INDEX($U$11:$U$20,MATCH(D24,$U$11:$U$20,1)+1)-INDEX($U$11:$U$20,MATCH(D24,$U$11:$U$20,1)))</f>
        <v>0.85827274783057184</v>
      </c>
      <c r="E27" s="199"/>
      <c r="F27" s="199"/>
      <c r="G27" s="199"/>
      <c r="H27" s="199"/>
      <c r="I27" s="199"/>
      <c r="J27" s="199"/>
      <c r="K27" s="199"/>
      <c r="L27" s="199"/>
      <c r="M27" s="199"/>
      <c r="N27" s="199"/>
      <c r="O27" s="199"/>
      <c r="P27" s="199"/>
      <c r="Q27" s="202"/>
      <c r="R27" s="788"/>
      <c r="S27" s="156"/>
      <c r="T27" s="154">
        <f t="shared" si="7"/>
        <v>884.94664999877875</v>
      </c>
      <c r="U27" s="154">
        <f t="shared" si="8"/>
        <v>42515.344843366969</v>
      </c>
      <c r="V27" s="154">
        <f t="shared" si="9"/>
        <v>353.61468042649284</v>
      </c>
      <c r="W27" s="154">
        <f t="shared" si="12"/>
        <v>102.49353450339368</v>
      </c>
      <c r="X27" s="157">
        <f t="shared" si="13"/>
        <v>0.28984524731772093</v>
      </c>
      <c r="Y27" s="150"/>
      <c r="Z27" s="154"/>
      <c r="AA27" s="150"/>
      <c r="AB27" s="1202"/>
      <c r="AC27" s="1203">
        <f>INDEX('Fan Hydraulic Data'!$A$1:$AN$300,Sel_Fan_number,ROW($A9))</f>
        <v>491.16751441557216</v>
      </c>
      <c r="AD27" s="1203">
        <f>INDEX('Fan Hydraulic Data'!$A$1:$AN$300,Sel_Fan_number,ROW($A19))</f>
        <v>31673.93190830839</v>
      </c>
      <c r="AE27" s="1203">
        <f t="shared" si="10"/>
        <v>146.21741606276706</v>
      </c>
      <c r="AF27" s="1203">
        <f t="shared" si="14"/>
        <v>42.380423120870823</v>
      </c>
      <c r="AG27" s="1204">
        <f>INDEX('Fan Hydraulic Data'!$A$1:$AN$300,Sel_Fan_number,ROW($A29))</f>
        <v>0.28984524731772093</v>
      </c>
    </row>
    <row r="28" spans="1:38" s="158" customFormat="1" ht="18" customHeight="1" thickBot="1">
      <c r="A28" s="198" t="s">
        <v>166</v>
      </c>
      <c r="B28" s="199"/>
      <c r="C28" s="199"/>
      <c r="D28" s="205">
        <f>P_OP_tot*$T$6*Q/3600000/($B$8*D27)</f>
        <v>22.655320809839917</v>
      </c>
      <c r="E28" s="199" t="s">
        <v>110</v>
      </c>
      <c r="F28" s="199"/>
      <c r="G28" s="199"/>
      <c r="H28" s="199"/>
      <c r="I28" s="199"/>
      <c r="J28" s="207"/>
      <c r="K28" s="207"/>
      <c r="L28" s="207"/>
      <c r="M28" s="207"/>
      <c r="N28" s="207"/>
      <c r="O28" s="207"/>
      <c r="P28" s="207"/>
      <c r="Q28" s="208"/>
      <c r="R28" s="788"/>
      <c r="S28" s="156"/>
      <c r="T28" s="154">
        <f t="shared" si="7"/>
        <v>884.94664999877875</v>
      </c>
      <c r="U28" s="154">
        <f t="shared" si="8"/>
        <v>42515.344843366969</v>
      </c>
      <c r="V28" s="154">
        <f t="shared" si="9"/>
        <v>346.68105924165968</v>
      </c>
      <c r="W28" s="154">
        <f t="shared" si="12"/>
        <v>102.49353450339368</v>
      </c>
      <c r="X28" s="157">
        <f t="shared" si="13"/>
        <v>0.29564215226407536</v>
      </c>
      <c r="Y28" s="150"/>
      <c r="Z28" s="154"/>
      <c r="AA28" s="150"/>
      <c r="AB28" s="1202"/>
      <c r="AC28" s="1203">
        <f>INDEX('Fan Hydraulic Data'!$A$1:$AN$300,Sel_Fan_number,ROW($A10))</f>
        <v>491.16751441557216</v>
      </c>
      <c r="AD28" s="1203">
        <f>INDEX('Fan Hydraulic Data'!$A$1:$AN$300,Sel_Fan_number,ROW($A20))</f>
        <v>31673.93190830839</v>
      </c>
      <c r="AE28" s="1203">
        <f t="shared" si="10"/>
        <v>143.3504079046736</v>
      </c>
      <c r="AF28" s="1203">
        <f t="shared" si="14"/>
        <v>42.380423120870823</v>
      </c>
      <c r="AG28" s="1204">
        <f>INDEX('Fan Hydraulic Data'!$A$1:$AN$300,Sel_Fan_number,ROW($A30))</f>
        <v>0.29564215226407536</v>
      </c>
    </row>
    <row r="29" spans="1:38" s="158" customFormat="1" ht="18" customHeight="1">
      <c r="A29" s="214"/>
      <c r="B29" s="206"/>
      <c r="C29" s="206"/>
      <c r="D29" s="206"/>
      <c r="E29" s="206"/>
      <c r="F29" s="214"/>
      <c r="G29" s="199"/>
      <c r="H29" s="199"/>
      <c r="I29" s="199"/>
      <c r="J29" s="199"/>
      <c r="K29" s="199"/>
      <c r="L29" s="199"/>
      <c r="M29" s="199"/>
      <c r="N29" s="199"/>
      <c r="O29" s="199"/>
      <c r="P29" s="199"/>
      <c r="Q29" s="199"/>
      <c r="R29" s="788"/>
      <c r="S29" s="156"/>
      <c r="T29" s="154">
        <f t="shared" si="7"/>
        <v>884.94664999877875</v>
      </c>
      <c r="U29" s="154">
        <f t="shared" si="8"/>
        <v>42515.344843366969</v>
      </c>
      <c r="V29" s="154">
        <f t="shared" si="9"/>
        <v>346.68105924165968</v>
      </c>
      <c r="W29" s="154">
        <f t="shared" si="12"/>
        <v>102.49353450339368</v>
      </c>
      <c r="X29" s="157">
        <f t="shared" si="13"/>
        <v>0.29564215226407536</v>
      </c>
      <c r="Y29" s="150"/>
      <c r="Z29" s="154"/>
      <c r="AA29" s="150"/>
      <c r="AB29" s="1202"/>
      <c r="AC29" s="1203">
        <f>INDEX('Fan Hydraulic Data'!$A$1:$AN$300,Sel_Fan_number,ROW($A11))</f>
        <v>491.16751441557216</v>
      </c>
      <c r="AD29" s="1203">
        <f>INDEX('Fan Hydraulic Data'!$A$1:$AN$300,Sel_Fan_number,ROW($A21))</f>
        <v>31673.93190830839</v>
      </c>
      <c r="AE29" s="1203">
        <f t="shared" si="10"/>
        <v>143.3504079046736</v>
      </c>
      <c r="AF29" s="1203">
        <f t="shared" si="14"/>
        <v>42.380423120870823</v>
      </c>
      <c r="AG29" s="1204">
        <f>INDEX('Fan Hydraulic Data'!$A$1:$AN$300,Sel_Fan_number,ROW($A31))</f>
        <v>0.29564215226407536</v>
      </c>
    </row>
    <row r="30" spans="1:38" s="158" customFormat="1" ht="18" customHeight="1" thickBot="1">
      <c r="A30" s="159"/>
      <c r="F30" s="159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788"/>
      <c r="S30" s="156"/>
      <c r="T30" s="154">
        <f t="shared" si="7"/>
        <v>884.94664999877875</v>
      </c>
      <c r="U30" s="154">
        <f t="shared" si="8"/>
        <v>42515.344843366969</v>
      </c>
      <c r="V30" s="154">
        <f t="shared" si="9"/>
        <v>346.68105924165968</v>
      </c>
      <c r="W30" s="154">
        <f t="shared" si="12"/>
        <v>102.49353450339368</v>
      </c>
      <c r="X30" s="157">
        <f t="shared" si="13"/>
        <v>0.29564215226407536</v>
      </c>
      <c r="Y30" s="150"/>
      <c r="Z30" s="154"/>
      <c r="AA30" s="150"/>
      <c r="AB30" s="1206"/>
      <c r="AC30" s="1207">
        <f>INDEX('Fan Hydraulic Data'!$A$1:$AN$300,Sel_Fan_number,ROW($A12))</f>
        <v>491.16751441557216</v>
      </c>
      <c r="AD30" s="1207">
        <f>INDEX('Fan Hydraulic Data'!$A$1:$AN$300,Sel_Fan_number,ROW($A22))</f>
        <v>31673.93190830839</v>
      </c>
      <c r="AE30" s="1207">
        <f t="shared" si="10"/>
        <v>143.3504079046736</v>
      </c>
      <c r="AF30" s="1207">
        <f t="shared" si="14"/>
        <v>42.380423120870823</v>
      </c>
      <c r="AG30" s="1208">
        <f>INDEX('Fan Hydraulic Data'!$A$1:$AN$300,Sel_Fan_number,ROW($A32))</f>
        <v>0.29564215226407536</v>
      </c>
    </row>
    <row r="31" spans="1:38" s="158" customFormat="1" ht="18" customHeight="1">
      <c r="A31" s="505" t="s">
        <v>220</v>
      </c>
      <c r="B31" s="506"/>
      <c r="C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507"/>
      <c r="R31" s="788" t="s">
        <v>1166</v>
      </c>
      <c r="S31" s="156">
        <f>AB25</f>
        <v>1000</v>
      </c>
      <c r="T31" s="154">
        <f>T21*(S$31/S$21)^2</f>
        <v>255.35683239152607</v>
      </c>
      <c r="U31" s="154">
        <f>U21*(S$31/S$21)</f>
        <v>2854.7686276578984</v>
      </c>
      <c r="V31" s="154">
        <f>V21*(S$31/S$21)^3</f>
        <v>3.0518268300638849</v>
      </c>
      <c r="W31" s="154">
        <f t="shared" si="0"/>
        <v>1.9858757493383747</v>
      </c>
      <c r="X31" s="157">
        <f>X21</f>
        <v>0.65071704913768114</v>
      </c>
      <c r="Y31" s="150"/>
      <c r="Z31" s="154"/>
      <c r="AA31" s="150"/>
    </row>
    <row r="32" spans="1:38" s="158" customFormat="1" ht="18" customHeight="1" thickBot="1">
      <c r="A32" s="509"/>
      <c r="B32" s="510"/>
      <c r="C32" s="510"/>
      <c r="D32" s="510"/>
      <c r="E32" s="510"/>
      <c r="F32" s="510"/>
      <c r="G32" s="510"/>
      <c r="H32" s="510"/>
      <c r="I32" s="510"/>
      <c r="J32" s="510"/>
      <c r="K32" s="510"/>
      <c r="L32" s="510"/>
      <c r="M32" s="510"/>
      <c r="N32" s="510"/>
      <c r="O32" s="510"/>
      <c r="P32" s="510"/>
      <c r="Q32" s="511"/>
      <c r="R32" s="150"/>
      <c r="S32" s="156"/>
      <c r="T32" s="154">
        <f t="shared" ref="T32:T40" si="15">T22*(S$31/S$21)^2</f>
        <v>262.56776578022004</v>
      </c>
      <c r="U32" s="154">
        <f t="shared" ref="U32:U40" si="16">U22*(S$31/S$21)</f>
        <v>4921.1522339062476</v>
      </c>
      <c r="V32" s="154">
        <f t="shared" ref="V32:V40" si="17">V22*(S$31/S$21)^3</f>
        <v>4.0691024400851807</v>
      </c>
      <c r="W32" s="154">
        <f t="shared" ref="W32:W40" si="18">T32*$T$6*U32/3600000</f>
        <v>3.5199936759490695</v>
      </c>
      <c r="X32" s="157">
        <f t="shared" ref="X32:X40" si="19">X22</f>
        <v>0.86505408201897793</v>
      </c>
      <c r="Y32" s="150"/>
      <c r="Z32" s="154"/>
      <c r="AA32" s="150"/>
    </row>
    <row r="33" spans="1:38" s="158" customFormat="1" ht="18" customHeight="1" thickBot="1">
      <c r="A33" s="161" t="s">
        <v>214</v>
      </c>
      <c r="B33" s="191"/>
      <c r="C33" s="192"/>
      <c r="D33" s="211" t="s">
        <v>17</v>
      </c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76"/>
      <c r="R33" s="150"/>
      <c r="S33" s="156"/>
      <c r="T33" s="154">
        <f t="shared" si="15"/>
        <v>228.70277130827918</v>
      </c>
      <c r="U33" s="154">
        <f t="shared" si="16"/>
        <v>7078.3849760108551</v>
      </c>
      <c r="V33" s="154">
        <f t="shared" si="17"/>
        <v>5.1807356354243925</v>
      </c>
      <c r="W33" s="154">
        <f t="shared" si="18"/>
        <v>4.4100070210412188</v>
      </c>
      <c r="X33" s="157">
        <f t="shared" si="19"/>
        <v>0.85123181945182624</v>
      </c>
      <c r="Y33" s="150"/>
      <c r="Z33" s="154"/>
      <c r="AA33" s="150"/>
    </row>
    <row r="34" spans="1:38" ht="18" customHeight="1">
      <c r="A34" s="163" t="s">
        <v>202</v>
      </c>
      <c r="B34" s="165"/>
      <c r="C34" s="165"/>
      <c r="D34" s="165"/>
      <c r="E34" s="167"/>
      <c r="F34" s="165"/>
      <c r="G34" s="163" t="s">
        <v>211</v>
      </c>
      <c r="H34" s="698" t="s">
        <v>246</v>
      </c>
      <c r="I34" s="508"/>
      <c r="J34" s="508"/>
      <c r="K34" s="508"/>
      <c r="L34" s="165"/>
      <c r="M34" s="165"/>
      <c r="N34" s="699" t="s">
        <v>249</v>
      </c>
      <c r="O34" s="699"/>
      <c r="P34" s="699"/>
      <c r="Q34" s="700"/>
      <c r="R34" s="150"/>
      <c r="S34" s="156"/>
      <c r="T34" s="154">
        <f t="shared" si="15"/>
        <v>181.72456671733136</v>
      </c>
      <c r="U34" s="154">
        <f t="shared" si="16"/>
        <v>8477.0873593378892</v>
      </c>
      <c r="V34" s="154">
        <f t="shared" si="17"/>
        <v>5.8329132429479413</v>
      </c>
      <c r="W34" s="154">
        <f t="shared" si="18"/>
        <v>4.1965652038105894</v>
      </c>
      <c r="X34" s="157">
        <f t="shared" si="19"/>
        <v>0.71946299027922023</v>
      </c>
      <c r="Y34" s="150"/>
      <c r="Z34" s="154"/>
      <c r="AA34" s="150"/>
      <c r="AB34" s="158"/>
      <c r="AC34" s="158"/>
      <c r="AD34" s="158"/>
      <c r="AE34" s="158"/>
      <c r="AF34" s="158"/>
      <c r="AG34" s="158"/>
      <c r="AH34" s="158"/>
      <c r="AI34" s="158"/>
      <c r="AJ34" s="158"/>
      <c r="AK34" s="158"/>
      <c r="AL34" s="158"/>
    </row>
    <row r="35" spans="1:38" ht="18" customHeight="1">
      <c r="A35" s="164"/>
      <c r="B35" s="165"/>
      <c r="C35" s="165"/>
      <c r="D35" s="165"/>
      <c r="E35" s="167"/>
      <c r="F35" s="165"/>
      <c r="G35" s="164"/>
      <c r="H35" s="165"/>
      <c r="I35" s="165"/>
      <c r="J35" s="165"/>
      <c r="K35" s="165"/>
      <c r="L35" s="165"/>
      <c r="M35" s="165"/>
      <c r="N35" s="165"/>
      <c r="O35" s="165"/>
      <c r="P35" s="165"/>
      <c r="Q35" s="167"/>
      <c r="R35" s="150"/>
      <c r="S35" s="156"/>
      <c r="T35" s="154">
        <f t="shared" si="15"/>
        <v>128.83504806127348</v>
      </c>
      <c r="U35" s="154">
        <f t="shared" si="16"/>
        <v>9530.420085822816</v>
      </c>
      <c r="V35" s="154">
        <f t="shared" si="17"/>
        <v>5.7952815446063424</v>
      </c>
      <c r="W35" s="154">
        <f t="shared" si="18"/>
        <v>3.3448738435998537</v>
      </c>
      <c r="X35" s="157">
        <f t="shared" si="19"/>
        <v>0.57717193165756053</v>
      </c>
      <c r="Y35" s="150"/>
      <c r="Z35" s="154"/>
      <c r="AA35" s="150"/>
      <c r="AB35" s="158"/>
      <c r="AC35" s="158"/>
      <c r="AD35" s="158"/>
      <c r="AE35" s="158"/>
      <c r="AF35" s="158"/>
      <c r="AG35" s="158"/>
      <c r="AH35" s="158"/>
      <c r="AI35" s="158"/>
      <c r="AJ35" s="158"/>
      <c r="AK35" s="158"/>
      <c r="AL35" s="158"/>
    </row>
    <row r="36" spans="1:38" ht="18" customHeight="1">
      <c r="A36" s="164" t="s">
        <v>199</v>
      </c>
      <c r="B36" s="165"/>
      <c r="C36" s="165"/>
      <c r="D36" s="166">
        <f>D24</f>
        <v>10000</v>
      </c>
      <c r="E36" s="167" t="s">
        <v>225</v>
      </c>
      <c r="F36" s="165"/>
      <c r="G36" s="164" t="s">
        <v>226</v>
      </c>
      <c r="H36" s="166">
        <v>0</v>
      </c>
      <c r="I36" s="168" t="s">
        <v>227</v>
      </c>
      <c r="J36" s="169">
        <f>rho_med_std*((101325+P_OP_in*$T$6)/101325)*(273.14+T_std)/(273.14+H36)</f>
        <v>1.2932331405140223</v>
      </c>
      <c r="K36" s="165" t="s">
        <v>228</v>
      </c>
      <c r="L36" s="165"/>
      <c r="M36" s="165" t="s">
        <v>226</v>
      </c>
      <c r="N36" s="166">
        <f>T_OP</f>
        <v>20</v>
      </c>
      <c r="O36" s="168" t="s">
        <v>227</v>
      </c>
      <c r="P36" s="169">
        <f>rho_med_std*((101325+P_OP_in*$T$6)/101325)*(273.14+T_std)/(273.14+T_OP)</f>
        <v>1.2050000000000001</v>
      </c>
      <c r="Q36" s="167" t="s">
        <v>228</v>
      </c>
      <c r="R36" s="150"/>
      <c r="S36" s="156"/>
      <c r="T36" s="154">
        <f t="shared" si="15"/>
        <v>82.321714383175248</v>
      </c>
      <c r="U36" s="154">
        <f t="shared" si="16"/>
        <v>10244.044482291729</v>
      </c>
      <c r="V36" s="154">
        <f t="shared" si="17"/>
        <v>5.5318596562151452</v>
      </c>
      <c r="W36" s="154">
        <f t="shared" si="18"/>
        <v>2.2973096473126855</v>
      </c>
      <c r="X36" s="157">
        <f t="shared" si="19"/>
        <v>0.41528704451704884</v>
      </c>
      <c r="Y36" s="150"/>
      <c r="Z36" s="154"/>
      <c r="AA36" s="150"/>
      <c r="AH36" s="158"/>
      <c r="AI36" s="158"/>
      <c r="AJ36" s="158"/>
      <c r="AK36" s="158"/>
      <c r="AL36" s="158"/>
    </row>
    <row r="37" spans="1:38" ht="18" customHeight="1">
      <c r="A37" s="164"/>
      <c r="B37" s="165"/>
      <c r="C37" s="165"/>
      <c r="D37" s="165"/>
      <c r="E37" s="167"/>
      <c r="F37" s="165"/>
      <c r="G37" s="164"/>
      <c r="H37" s="165"/>
      <c r="I37" s="165"/>
      <c r="J37" s="165"/>
      <c r="K37" s="165"/>
      <c r="L37" s="165"/>
      <c r="M37" s="165"/>
      <c r="N37" s="165"/>
      <c r="O37" s="165"/>
      <c r="P37" s="165"/>
      <c r="Q37" s="167"/>
      <c r="R37" s="150"/>
      <c r="S37" s="156"/>
      <c r="T37" s="154">
        <f t="shared" si="15"/>
        <v>55.309165624923672</v>
      </c>
      <c r="U37" s="154">
        <f t="shared" si="16"/>
        <v>10628.836210841742</v>
      </c>
      <c r="V37" s="154">
        <f t="shared" si="17"/>
        <v>5.5252293816639506</v>
      </c>
      <c r="W37" s="154">
        <f t="shared" si="18"/>
        <v>1.6014614766155262</v>
      </c>
      <c r="X37" s="157">
        <f t="shared" si="19"/>
        <v>0.28984524731772093</v>
      </c>
      <c r="Y37" s="150"/>
      <c r="Z37" s="154"/>
      <c r="AA37" s="150"/>
      <c r="AH37" s="158"/>
      <c r="AI37" s="158"/>
      <c r="AJ37" s="158"/>
      <c r="AK37" s="158"/>
      <c r="AL37" s="158"/>
    </row>
    <row r="38" spans="1:38" ht="18" customHeight="1">
      <c r="A38" s="164" t="s">
        <v>200</v>
      </c>
      <c r="B38" s="165"/>
      <c r="C38" s="165"/>
      <c r="D38" s="166">
        <f>D36/3600/(PI()/4*Inlet_m^2)</f>
        <v>17.465563027917181</v>
      </c>
      <c r="E38" s="167" t="s">
        <v>97</v>
      </c>
      <c r="F38" s="165"/>
      <c r="G38" s="164" t="s">
        <v>226</v>
      </c>
      <c r="H38" s="166">
        <f>T_std</f>
        <v>20</v>
      </c>
      <c r="I38" s="168" t="s">
        <v>227</v>
      </c>
      <c r="J38" s="169">
        <f>rho_med_std*((101325+P_OP_in*$T$6)/101325)*(273.14+T_std)/(273.14+H38)</f>
        <v>1.2050000000000001</v>
      </c>
      <c r="K38" s="165" t="s">
        <v>228</v>
      </c>
      <c r="L38" s="165"/>
      <c r="M38" s="165"/>
      <c r="N38" s="165"/>
      <c r="O38" s="168"/>
      <c r="P38" s="165"/>
      <c r="Q38" s="167"/>
      <c r="R38" s="150"/>
      <c r="S38" s="156"/>
      <c r="T38" s="154">
        <f t="shared" si="15"/>
        <v>55.309165624923672</v>
      </c>
      <c r="U38" s="154">
        <f t="shared" si="16"/>
        <v>10628.836210841742</v>
      </c>
      <c r="V38" s="154">
        <f t="shared" si="17"/>
        <v>5.4168915506509325</v>
      </c>
      <c r="W38" s="154">
        <f t="shared" si="18"/>
        <v>1.6014614766155262</v>
      </c>
      <c r="X38" s="157">
        <f t="shared" si="19"/>
        <v>0.29564215226407536</v>
      </c>
      <c r="Y38" s="150"/>
      <c r="Z38" s="154"/>
      <c r="AA38" s="150"/>
    </row>
    <row r="39" spans="1:38" ht="18" customHeight="1">
      <c r="A39" s="164"/>
      <c r="B39" s="165"/>
      <c r="C39" s="165"/>
      <c r="D39" s="165"/>
      <c r="E39" s="167"/>
      <c r="F39" s="165"/>
      <c r="G39" s="164"/>
      <c r="H39" s="165"/>
      <c r="I39" s="165"/>
      <c r="J39" s="165"/>
      <c r="K39" s="165"/>
      <c r="L39" s="165"/>
      <c r="M39" s="165"/>
      <c r="N39" s="165"/>
      <c r="O39" s="165"/>
      <c r="P39" s="165"/>
      <c r="Q39" s="167"/>
      <c r="R39" s="150"/>
      <c r="S39" s="156"/>
      <c r="T39" s="154">
        <f t="shared" si="15"/>
        <v>55.309165624923672</v>
      </c>
      <c r="U39" s="154">
        <f t="shared" si="16"/>
        <v>10628.836210841742</v>
      </c>
      <c r="V39" s="154">
        <f t="shared" si="17"/>
        <v>5.4168915506509325</v>
      </c>
      <c r="W39" s="154">
        <f t="shared" si="18"/>
        <v>1.6014614766155262</v>
      </c>
      <c r="X39" s="157">
        <f t="shared" si="19"/>
        <v>0.29564215226407536</v>
      </c>
      <c r="Y39" s="150"/>
      <c r="Z39" s="154"/>
      <c r="AA39" s="150"/>
    </row>
    <row r="40" spans="1:38" ht="18" customHeight="1">
      <c r="A40" s="164" t="s">
        <v>217</v>
      </c>
      <c r="B40" s="165"/>
      <c r="C40" s="165"/>
      <c r="D40" s="166">
        <f>Inlet</f>
        <v>450</v>
      </c>
      <c r="E40" s="167" t="s">
        <v>203</v>
      </c>
      <c r="F40" s="165"/>
      <c r="G40" s="164" t="s">
        <v>235</v>
      </c>
      <c r="H40" s="166">
        <f>T_std</f>
        <v>20</v>
      </c>
      <c r="I40" s="168" t="s">
        <v>227</v>
      </c>
      <c r="J40" s="166">
        <f>P_OP_stat*IF(Boss_Units="Pa",$T$6,1)*rho_std/rho_med_OP</f>
        <v>6816.2098501410055</v>
      </c>
      <c r="K40" s="165" t="str">
        <f>Boss_Units</f>
        <v>Pa</v>
      </c>
      <c r="L40" s="165"/>
      <c r="M40" s="165" t="s">
        <v>229</v>
      </c>
      <c r="N40" s="166">
        <f>T_OP</f>
        <v>20</v>
      </c>
      <c r="O40" s="168" t="s">
        <v>227</v>
      </c>
      <c r="P40" s="166">
        <f>P_OP_stat*IF(Boss_Units="Pa",$T$6,1)</f>
        <v>6816.2098501410055</v>
      </c>
      <c r="Q40" s="167" t="str">
        <f>Boss_Units</f>
        <v>Pa</v>
      </c>
      <c r="R40" s="150"/>
      <c r="S40" s="156"/>
      <c r="T40" s="154">
        <f t="shared" si="15"/>
        <v>55.309165624923672</v>
      </c>
      <c r="U40" s="154">
        <f t="shared" si="16"/>
        <v>10628.836210841742</v>
      </c>
      <c r="V40" s="154">
        <f t="shared" si="17"/>
        <v>5.4168915506509325</v>
      </c>
      <c r="W40" s="154">
        <f t="shared" si="18"/>
        <v>1.6014614766155262</v>
      </c>
      <c r="X40" s="157">
        <f t="shared" si="19"/>
        <v>0.29564215226407536</v>
      </c>
      <c r="Y40" s="150"/>
      <c r="Z40" s="154"/>
      <c r="AA40" s="150"/>
    </row>
    <row r="41" spans="1:38" ht="18" customHeight="1">
      <c r="A41" s="164"/>
      <c r="B41" s="165"/>
      <c r="C41" s="165"/>
      <c r="D41" s="165"/>
      <c r="E41" s="167"/>
      <c r="F41" s="165"/>
      <c r="G41" s="164"/>
      <c r="H41" s="165"/>
      <c r="I41" s="165"/>
      <c r="J41" s="165"/>
      <c r="K41" s="165"/>
      <c r="L41" s="165"/>
      <c r="M41" s="165"/>
      <c r="N41" s="165"/>
      <c r="O41" s="165"/>
      <c r="P41" s="165"/>
      <c r="Q41" s="167"/>
      <c r="R41" s="150"/>
      <c r="S41" s="156"/>
      <c r="T41" s="154"/>
      <c r="U41" s="154"/>
      <c r="V41" s="154"/>
      <c r="W41" s="154"/>
      <c r="X41" s="157"/>
      <c r="Y41" s="150"/>
      <c r="Z41" s="154"/>
      <c r="AA41" s="150"/>
    </row>
    <row r="42" spans="1:38" ht="18" customHeight="1">
      <c r="A42" s="163" t="s">
        <v>201</v>
      </c>
      <c r="B42" s="165"/>
      <c r="C42" s="165"/>
      <c r="D42" s="165"/>
      <c r="E42" s="167"/>
      <c r="F42" s="165"/>
      <c r="G42" s="164" t="s">
        <v>236</v>
      </c>
      <c r="H42" s="166">
        <f>T_std</f>
        <v>20</v>
      </c>
      <c r="I42" s="168" t="s">
        <v>227</v>
      </c>
      <c r="J42" s="166">
        <f>P_OP_dyn*IF(Boss_Units="Pa",$T$6,1)*rho_std/rho_med_OP</f>
        <v>183.79014985899391</v>
      </c>
      <c r="K42" s="165" t="str">
        <f>Boss_Units</f>
        <v>Pa</v>
      </c>
      <c r="L42" s="165"/>
      <c r="M42" s="165" t="s">
        <v>230</v>
      </c>
      <c r="N42" s="166">
        <f>T_OP</f>
        <v>20</v>
      </c>
      <c r="O42" s="168" t="s">
        <v>227</v>
      </c>
      <c r="P42" s="166">
        <f>P_OP_dyn*IF(Boss_Units="Pa",$T$6,1)</f>
        <v>183.79014985899391</v>
      </c>
      <c r="Q42" s="167" t="str">
        <f>Boss_Units</f>
        <v>Pa</v>
      </c>
      <c r="R42" s="150"/>
      <c r="S42" s="150"/>
      <c r="T42" s="154"/>
      <c r="U42" s="154"/>
      <c r="V42" s="154"/>
      <c r="W42" s="154"/>
      <c r="X42" s="157"/>
      <c r="Y42" s="150"/>
      <c r="Z42" s="154"/>
      <c r="AA42" s="150"/>
    </row>
    <row r="43" spans="1:38" ht="18" customHeight="1">
      <c r="A43" s="164"/>
      <c r="B43" s="165"/>
      <c r="C43" s="165"/>
      <c r="D43" s="165"/>
      <c r="E43" s="167"/>
      <c r="F43" s="165"/>
      <c r="G43" s="164"/>
      <c r="H43" s="165"/>
      <c r="I43" s="168"/>
      <c r="J43" s="165"/>
      <c r="K43" s="165"/>
      <c r="L43" s="165"/>
      <c r="M43" s="165"/>
      <c r="N43" s="165"/>
      <c r="O43" s="168"/>
      <c r="P43" s="165"/>
      <c r="Q43" s="167"/>
      <c r="R43" s="150"/>
      <c r="S43" s="158"/>
      <c r="T43" s="158"/>
      <c r="U43" s="158"/>
      <c r="V43" s="158"/>
      <c r="W43" s="158"/>
      <c r="X43" s="158"/>
      <c r="Y43" s="158"/>
      <c r="Z43" s="158"/>
      <c r="AA43" s="150"/>
    </row>
    <row r="44" spans="1:38" ht="18" customHeight="1">
      <c r="A44" s="164" t="s">
        <v>204</v>
      </c>
      <c r="B44" s="165"/>
      <c r="C44" s="165"/>
      <c r="D44" s="166">
        <f>$D$23</f>
        <v>20</v>
      </c>
      <c r="E44" s="170" t="s">
        <v>227</v>
      </c>
      <c r="F44" s="165"/>
      <c r="G44" s="164" t="s">
        <v>237</v>
      </c>
      <c r="H44" s="166">
        <f>T_std</f>
        <v>20</v>
      </c>
      <c r="I44" s="168" t="s">
        <v>227</v>
      </c>
      <c r="J44" s="166">
        <f>P_OP_tot*IF(Boss_Units="Pa",$T$6,1)*rho_std/rho_med_OP</f>
        <v>7000</v>
      </c>
      <c r="K44" s="165" t="str">
        <f>Boss_Units</f>
        <v>Pa</v>
      </c>
      <c r="L44" s="165"/>
      <c r="M44" s="165" t="s">
        <v>231</v>
      </c>
      <c r="N44" s="166">
        <f>T_OP</f>
        <v>20</v>
      </c>
      <c r="O44" s="168" t="s">
        <v>227</v>
      </c>
      <c r="P44" s="166">
        <f>P_OP_tot*IF(Boss_Units="Pa",$T$6,1)</f>
        <v>7000</v>
      </c>
      <c r="Q44" s="167" t="str">
        <f>Boss_Units</f>
        <v>Pa</v>
      </c>
      <c r="R44" s="199"/>
      <c r="S44" s="158"/>
      <c r="T44" s="158"/>
      <c r="U44" s="158"/>
      <c r="V44" s="158"/>
      <c r="W44" s="158"/>
      <c r="X44" s="158"/>
      <c r="Y44" s="158"/>
      <c r="Z44" s="158"/>
      <c r="AA44" s="150"/>
    </row>
    <row r="45" spans="1:38" ht="18" customHeight="1">
      <c r="A45" s="164"/>
      <c r="B45" s="165"/>
      <c r="C45" s="165"/>
      <c r="D45" s="165"/>
      <c r="E45" s="167"/>
      <c r="F45" s="165"/>
      <c r="G45" s="164"/>
      <c r="H45" s="165"/>
      <c r="I45" s="165"/>
      <c r="J45" s="165"/>
      <c r="K45" s="165"/>
      <c r="L45" s="165"/>
      <c r="M45" s="165"/>
      <c r="N45" s="165"/>
      <c r="O45" s="165"/>
      <c r="P45" s="165"/>
      <c r="Q45" s="167"/>
      <c r="R45" s="206"/>
      <c r="S45" s="158"/>
      <c r="T45" s="158"/>
      <c r="U45" s="158"/>
      <c r="V45" s="158"/>
      <c r="W45" s="158"/>
      <c r="X45" s="158"/>
      <c r="Y45" s="158"/>
      <c r="Z45" s="158"/>
      <c r="AA45" s="150"/>
    </row>
    <row r="46" spans="1:38" ht="18" customHeight="1">
      <c r="A46" s="164" t="s">
        <v>210</v>
      </c>
      <c r="B46" s="212">
        <v>20</v>
      </c>
      <c r="C46" s="168" t="s">
        <v>227</v>
      </c>
      <c r="D46" s="169">
        <f>$D$26*((101325+$D$19*$T$6)/101325)*(273.14+T_std)/(273.14+$B$46)</f>
        <v>1.2050000000000001</v>
      </c>
      <c r="E46" s="167" t="s">
        <v>228</v>
      </c>
      <c r="F46" s="165"/>
      <c r="G46" s="164" t="s">
        <v>232</v>
      </c>
      <c r="H46" s="165"/>
      <c r="I46" s="168"/>
      <c r="J46" s="171">
        <f>D58/1000</f>
        <v>22.655320809839921</v>
      </c>
      <c r="K46" s="165" t="s">
        <v>115</v>
      </c>
      <c r="L46" s="165"/>
      <c r="M46" s="165" t="s">
        <v>233</v>
      </c>
      <c r="N46" s="166">
        <f>T_OP</f>
        <v>20</v>
      </c>
      <c r="O46" s="168" t="s">
        <v>227</v>
      </c>
      <c r="P46" s="171">
        <f>P_OP_tot*$T$6*Q/3600/1000/Eff_OP</f>
        <v>22.655320809839921</v>
      </c>
      <c r="Q46" s="167" t="s">
        <v>115</v>
      </c>
    </row>
    <row r="47" spans="1:38" ht="18" customHeight="1">
      <c r="A47" s="164"/>
      <c r="B47" s="165"/>
      <c r="C47" s="165"/>
      <c r="D47" s="165"/>
      <c r="E47" s="167"/>
      <c r="F47" s="165"/>
      <c r="G47" s="164"/>
      <c r="H47" s="165"/>
      <c r="I47" s="165"/>
      <c r="J47" s="165"/>
      <c r="K47" s="165"/>
      <c r="L47" s="165"/>
      <c r="M47" s="165"/>
      <c r="N47" s="165"/>
      <c r="O47" s="165"/>
      <c r="P47" s="165"/>
      <c r="Q47" s="167"/>
    </row>
    <row r="48" spans="1:38" ht="18" customHeight="1">
      <c r="A48" s="164" t="s">
        <v>205</v>
      </c>
      <c r="B48" s="165"/>
      <c r="C48" s="165"/>
      <c r="D48" s="166">
        <f>$D$21*IF(Boss_Units="Pa",$T$6,1)</f>
        <v>6816.2098501410055</v>
      </c>
      <c r="E48" s="167" t="str">
        <f>Boss_Units</f>
        <v>Pa</v>
      </c>
      <c r="F48" s="165"/>
      <c r="G48" s="164" t="s">
        <v>212</v>
      </c>
      <c r="H48" s="165"/>
      <c r="I48" s="165"/>
      <c r="J48" s="172">
        <f>J44*IF(Boss_Units="Pa",1,$T$6)*$D$36/3600/$D$58</f>
        <v>0.85827274783057173</v>
      </c>
      <c r="K48" s="165"/>
      <c r="L48" s="165"/>
      <c r="M48" s="165"/>
      <c r="N48" s="165"/>
      <c r="O48" s="165"/>
      <c r="P48" s="165"/>
      <c r="Q48" s="167"/>
    </row>
    <row r="49" spans="1:17" ht="18" customHeight="1">
      <c r="A49" s="164"/>
      <c r="B49" s="165"/>
      <c r="C49" s="165"/>
      <c r="D49" s="165"/>
      <c r="E49" s="167"/>
      <c r="F49" s="165"/>
      <c r="G49" s="164"/>
      <c r="H49" s="165"/>
      <c r="I49" s="165"/>
      <c r="J49" s="165"/>
      <c r="K49" s="165"/>
      <c r="L49" s="165"/>
      <c r="M49" s="165"/>
      <c r="N49" s="165"/>
      <c r="O49" s="165"/>
      <c r="P49" s="165"/>
      <c r="Q49" s="167"/>
    </row>
    <row r="50" spans="1:17" ht="18" customHeight="1" thickBot="1">
      <c r="A50" s="163" t="s">
        <v>206</v>
      </c>
      <c r="B50" s="165"/>
      <c r="C50" s="165"/>
      <c r="D50" s="165"/>
      <c r="E50" s="167"/>
      <c r="F50" s="165"/>
      <c r="G50" s="173"/>
      <c r="H50" s="174"/>
      <c r="I50" s="174"/>
      <c r="J50" s="174"/>
      <c r="K50" s="174"/>
      <c r="L50" s="174"/>
      <c r="M50" s="174"/>
      <c r="N50" s="174"/>
      <c r="O50" s="174"/>
      <c r="P50" s="174"/>
      <c r="Q50" s="175"/>
    </row>
    <row r="51" spans="1:17" ht="18" customHeight="1">
      <c r="A51" s="164"/>
      <c r="B51" s="165"/>
      <c r="C51" s="165"/>
      <c r="D51" s="165"/>
      <c r="E51" s="167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7"/>
    </row>
    <row r="52" spans="1:17" ht="18" customHeight="1">
      <c r="A52" s="164" t="s">
        <v>207</v>
      </c>
      <c r="B52" s="165"/>
      <c r="C52" s="165"/>
      <c r="D52" s="166" t="str">
        <f>Final_Fan</f>
        <v>XOE 166-45G REG</v>
      </c>
      <c r="E52" s="170"/>
      <c r="F52" s="165"/>
      <c r="G52" s="196"/>
      <c r="H52" s="196"/>
      <c r="I52" s="196"/>
      <c r="J52" s="196"/>
      <c r="K52" s="196"/>
      <c r="L52" s="196"/>
      <c r="M52" s="196"/>
      <c r="N52" s="196"/>
      <c r="O52" s="196"/>
      <c r="P52" s="196"/>
      <c r="Q52" s="213"/>
    </row>
    <row r="53" spans="1:17" ht="18" customHeight="1" thickBot="1">
      <c r="A53" s="164"/>
      <c r="B53" s="165"/>
      <c r="C53" s="165"/>
      <c r="D53" s="165"/>
      <c r="E53" s="167"/>
      <c r="F53" s="165"/>
      <c r="G53" s="196"/>
      <c r="H53" s="196"/>
      <c r="I53" s="196"/>
      <c r="J53" s="196"/>
      <c r="K53" s="196"/>
      <c r="L53" s="196"/>
      <c r="M53" s="196"/>
      <c r="N53" s="196"/>
      <c r="O53" s="196"/>
      <c r="P53" s="196"/>
      <c r="Q53" s="213"/>
    </row>
    <row r="54" spans="1:17" ht="18" customHeight="1">
      <c r="A54" s="164" t="s">
        <v>208</v>
      </c>
      <c r="B54" s="165"/>
      <c r="C54" s="168"/>
      <c r="D54" s="166">
        <f>d_2</f>
        <v>1062</v>
      </c>
      <c r="E54" s="167" t="s">
        <v>203</v>
      </c>
      <c r="F54" s="165"/>
      <c r="G54" s="228" t="s">
        <v>195</v>
      </c>
      <c r="H54" s="229"/>
      <c r="I54" s="229"/>
      <c r="J54" s="230">
        <f>AC67</f>
        <v>90.958970280690906</v>
      </c>
      <c r="K54" s="231" t="s">
        <v>247</v>
      </c>
      <c r="L54" s="196"/>
      <c r="M54" s="196"/>
      <c r="N54" s="196"/>
      <c r="O54" s="196"/>
      <c r="P54" s="196"/>
      <c r="Q54" s="213"/>
    </row>
    <row r="55" spans="1:17" ht="18" customHeight="1">
      <c r="A55" s="164"/>
      <c r="B55" s="165"/>
      <c r="C55" s="165"/>
      <c r="D55" s="165"/>
      <c r="E55" s="167"/>
      <c r="F55" s="165"/>
      <c r="G55" s="232" t="s">
        <v>244</v>
      </c>
      <c r="H55" s="196"/>
      <c r="I55" s="196"/>
      <c r="J55" s="233">
        <f>AC69</f>
        <v>80.234902499399311</v>
      </c>
      <c r="K55" s="213" t="s">
        <v>248</v>
      </c>
      <c r="L55" s="196"/>
      <c r="M55" s="196"/>
      <c r="N55" s="196"/>
      <c r="O55" s="196"/>
      <c r="P55" s="196"/>
      <c r="Q55" s="213"/>
    </row>
    <row r="56" spans="1:17" ht="18" customHeight="1" thickBot="1">
      <c r="A56" s="164" t="s">
        <v>135</v>
      </c>
      <c r="B56" s="165"/>
      <c r="C56" s="165"/>
      <c r="D56" s="166">
        <f>$D$25</f>
        <v>1672.3774886767021</v>
      </c>
      <c r="E56" s="167" t="s">
        <v>234</v>
      </c>
      <c r="F56" s="165"/>
      <c r="G56" s="234" t="s">
        <v>194</v>
      </c>
      <c r="H56" s="188"/>
      <c r="I56" s="188"/>
      <c r="J56" s="235">
        <f>AC71</f>
        <v>69.920418331271733</v>
      </c>
      <c r="K56" s="189" t="s">
        <v>248</v>
      </c>
      <c r="L56" s="196"/>
      <c r="M56" s="196"/>
      <c r="N56" s="196"/>
      <c r="O56" s="196"/>
      <c r="P56" s="196"/>
      <c r="Q56" s="213"/>
    </row>
    <row r="57" spans="1:17" ht="18" customHeight="1">
      <c r="A57" s="164"/>
      <c r="B57" s="165"/>
      <c r="C57" s="165"/>
      <c r="D57" s="165"/>
      <c r="E57" s="167"/>
      <c r="F57" s="165"/>
      <c r="G57" s="196"/>
      <c r="H57" s="196"/>
      <c r="I57" s="196"/>
      <c r="J57" s="196"/>
      <c r="K57" s="196"/>
      <c r="L57" s="196"/>
      <c r="M57" s="196"/>
      <c r="N57" s="196"/>
      <c r="O57" s="196"/>
      <c r="P57" s="196"/>
      <c r="Q57" s="213"/>
    </row>
    <row r="58" spans="1:17" ht="18" customHeight="1">
      <c r="A58" s="164" t="s">
        <v>219</v>
      </c>
      <c r="B58" s="165"/>
      <c r="C58" s="165"/>
      <c r="D58" s="166">
        <f>P_OP_tot*rho_std/rho_med_OP*$T$6*Q/3600/Eff_OP</f>
        <v>22655.320809839923</v>
      </c>
      <c r="E58" s="167" t="s">
        <v>209</v>
      </c>
      <c r="F58" s="165"/>
      <c r="G58" s="196"/>
      <c r="H58" s="196"/>
      <c r="I58" s="196"/>
      <c r="J58" s="196"/>
      <c r="K58" s="196"/>
      <c r="L58" s="196"/>
      <c r="M58" s="196"/>
      <c r="N58" s="196"/>
      <c r="O58" s="196"/>
      <c r="P58" s="196"/>
      <c r="Q58" s="213"/>
    </row>
    <row r="59" spans="1:17" ht="18" customHeight="1" thickBot="1">
      <c r="A59" s="173"/>
      <c r="B59" s="174"/>
      <c r="C59" s="174"/>
      <c r="D59" s="174"/>
      <c r="E59" s="175"/>
      <c r="F59" s="174"/>
      <c r="G59" s="188"/>
      <c r="H59" s="188"/>
      <c r="I59" s="188"/>
      <c r="J59" s="188"/>
      <c r="K59" s="188"/>
      <c r="L59" s="188"/>
      <c r="M59" s="188"/>
      <c r="N59" s="188"/>
      <c r="O59" s="188"/>
      <c r="P59" s="188"/>
      <c r="Q59" s="189"/>
    </row>
    <row r="61" spans="1:17" ht="18" customHeight="1" thickBot="1">
      <c r="B61" s="148"/>
      <c r="C61" s="148"/>
    </row>
    <row r="62" spans="1:17" ht="18" customHeight="1">
      <c r="A62" s="1425" t="str">
        <f>Sel_Fan_type&amp;" Impeller Construction Data"</f>
        <v>XOE 166-45G Impeller Construction Data</v>
      </c>
      <c r="B62" s="1426"/>
      <c r="C62" s="1426"/>
      <c r="D62" s="1426"/>
      <c r="E62" s="1426"/>
      <c r="F62" s="1426"/>
      <c r="G62" s="1426"/>
      <c r="H62" s="1426"/>
      <c r="I62" s="1427"/>
    </row>
    <row r="63" spans="1:17" ht="18" customHeight="1" thickBot="1">
      <c r="A63" s="1428"/>
      <c r="B63" s="1429"/>
      <c r="C63" s="1429"/>
      <c r="D63" s="1429"/>
      <c r="E63" s="1429"/>
      <c r="F63" s="1429"/>
      <c r="G63" s="1429"/>
      <c r="H63" s="1429"/>
      <c r="I63" s="1430"/>
      <c r="K63" s="336"/>
      <c r="L63" s="336"/>
      <c r="M63" s="336"/>
      <c r="N63" s="336"/>
      <c r="O63" s="336"/>
      <c r="P63" s="336"/>
    </row>
    <row r="64" spans="1:17" ht="18" customHeight="1" thickBot="1">
      <c r="A64" s="162"/>
      <c r="B64" s="162"/>
      <c r="C64" s="162"/>
      <c r="D64" s="162"/>
      <c r="E64" s="162"/>
      <c r="F64" s="162"/>
      <c r="G64" s="162"/>
      <c r="H64" s="162"/>
      <c r="I64" s="176"/>
      <c r="K64" s="336"/>
      <c r="L64" s="336"/>
      <c r="M64" s="336"/>
      <c r="N64" s="336"/>
      <c r="O64" s="336"/>
      <c r="P64" s="336"/>
    </row>
    <row r="65" spans="1:29" ht="18" customHeight="1">
      <c r="A65" s="1431" t="str">
        <f>Mat_IMP</f>
        <v>Steel</v>
      </c>
      <c r="B65" s="1432"/>
      <c r="C65" s="1432"/>
      <c r="D65" s="1432"/>
      <c r="E65" s="1432"/>
      <c r="F65" s="1432"/>
      <c r="G65" s="300" t="str">
        <f>$B$7</f>
        <v>REG</v>
      </c>
      <c r="H65" s="236"/>
      <c r="I65" s="355">
        <f>-MATCH("Steel, REG",'Impeller C &amp; Run Data'!$A$14:$KO$14,0)+MATCH($A65&amp;", "&amp;$G65,'Impeller C &amp; Run Data'!$A$14:$KO$14,0)</f>
        <v>0</v>
      </c>
      <c r="K65" s="336"/>
      <c r="L65" s="336"/>
      <c r="M65" s="336"/>
      <c r="N65" s="336"/>
      <c r="O65" s="336"/>
      <c r="S65" s="1433" t="s">
        <v>245</v>
      </c>
      <c r="T65" s="1434"/>
      <c r="U65" s="216"/>
      <c r="V65" s="215"/>
      <c r="W65" s="217"/>
      <c r="X65" s="215"/>
      <c r="Y65" s="215"/>
      <c r="Z65" s="215"/>
      <c r="AA65" s="218"/>
      <c r="AB65" s="218"/>
      <c r="AC65" s="219"/>
    </row>
    <row r="66" spans="1:29" ht="18" customHeight="1">
      <c r="A66" s="296" t="s">
        <v>266</v>
      </c>
      <c r="B66" s="294"/>
      <c r="C66" s="294"/>
      <c r="D66" s="297">
        <f>$D$25</f>
        <v>1672.3774886767021</v>
      </c>
      <c r="E66" s="298" t="s">
        <v>135</v>
      </c>
      <c r="F66" s="294" t="s">
        <v>181</v>
      </c>
      <c r="G66" s="297">
        <f>INDEX('Impeller C &amp; Run Data'!$A$1:$KO$300,Sel_Fan_number,MATCH(F66,'Impeller C &amp; Run Data'!$A$16:$KO$16,0)+$I65)</f>
        <v>4000</v>
      </c>
      <c r="H66" s="294" t="s">
        <v>135</v>
      </c>
      <c r="I66" s="295"/>
      <c r="K66" s="336"/>
      <c r="L66" s="336"/>
      <c r="M66" s="336"/>
      <c r="N66" s="336"/>
      <c r="O66" s="336"/>
      <c r="S66" s="225" t="s">
        <v>183</v>
      </c>
      <c r="T66" s="226"/>
      <c r="U66" s="226"/>
      <c r="V66" s="226">
        <v>63</v>
      </c>
      <c r="W66" s="226">
        <v>125</v>
      </c>
      <c r="X66" s="226">
        <v>250</v>
      </c>
      <c r="Y66" s="227">
        <v>500</v>
      </c>
      <c r="Z66" s="226">
        <v>1000</v>
      </c>
      <c r="AA66" s="226">
        <v>2000</v>
      </c>
      <c r="AB66" s="226">
        <v>4000</v>
      </c>
      <c r="AC66" s="220" t="s">
        <v>184</v>
      </c>
    </row>
    <row r="67" spans="1:29" ht="18" customHeight="1">
      <c r="A67" s="178" t="s">
        <v>213</v>
      </c>
      <c r="B67" s="179"/>
      <c r="C67" s="179"/>
      <c r="D67" s="179">
        <f>IF($D66&gt;$G66,0,IF($G65=0,0,d_2))</f>
        <v>1062</v>
      </c>
      <c r="E67" s="179" t="s">
        <v>203</v>
      </c>
      <c r="F67" s="180" t="s">
        <v>223</v>
      </c>
      <c r="G67" s="179">
        <f>IF($D66&gt;$G66,0,INDEX('Impeller C &amp; Run Data'!$A$1:$KO$300,Sel_Fan_number,MATCH($F67,'Impeller C &amp; Run Data'!$A$16:$KO$16,0)))</f>
        <v>82.113490607440696</v>
      </c>
      <c r="H67" s="179" t="s">
        <v>203</v>
      </c>
      <c r="I67" s="181"/>
      <c r="K67" s="336"/>
      <c r="L67" s="336"/>
      <c r="M67" s="336"/>
      <c r="N67" s="336"/>
      <c r="O67" s="336"/>
      <c r="S67" s="135" t="s">
        <v>195</v>
      </c>
      <c r="T67" s="134"/>
      <c r="U67" s="136"/>
      <c r="V67" s="136">
        <f>SUM(V79:V83)</f>
        <v>81.338935792612261</v>
      </c>
      <c r="W67" s="136">
        <f t="shared" ref="W67:AA67" si="20">SUM(W79:W83)</f>
        <v>81.338935792612261</v>
      </c>
      <c r="X67" s="136">
        <f t="shared" si="20"/>
        <v>81.338935792612261</v>
      </c>
      <c r="Y67" s="136">
        <f t="shared" si="20"/>
        <v>86.338935792612261</v>
      </c>
      <c r="Z67" s="136">
        <f t="shared" si="20"/>
        <v>81.338935792612261</v>
      </c>
      <c r="AA67" s="136">
        <f t="shared" si="20"/>
        <v>81.338935792612261</v>
      </c>
      <c r="AB67" s="136">
        <f>SUM(AB79:AB83)</f>
        <v>81.338935792612261</v>
      </c>
      <c r="AC67" s="221">
        <f t="array" ref="AC67">10*LOG10(SUM(IF(ISNUMBER(V67:AB67),10^(V67:AB67/10))))</f>
        <v>90.958970280690906</v>
      </c>
    </row>
    <row r="68" spans="1:29" ht="18" customHeight="1">
      <c r="A68" s="183" t="s">
        <v>224</v>
      </c>
      <c r="B68" s="184"/>
      <c r="C68" s="184"/>
      <c r="D68" s="179">
        <f>IF($D66&gt;$G66,0,INDEX('Impeller C &amp; Run Data'!$A$1:$KO$300,Sel_Fan_number,MATCH($A68,'Impeller C &amp; Run Data'!$A$16:$KO$16,0)))</f>
        <v>340.45340501926489</v>
      </c>
      <c r="E68" s="184" t="s">
        <v>203</v>
      </c>
      <c r="F68" s="180" t="s">
        <v>566</v>
      </c>
      <c r="G68" s="179">
        <f>IF($D66&gt;$G66,0,INDEX('Impeller C &amp; Run Data'!$A$1:$KO$300,Sel_Fan_number,MATCH($F68,'Impeller C &amp; Run Data'!$A$16:$KO$16,0)))</f>
        <v>121.05772560645465</v>
      </c>
      <c r="H68" s="179" t="s">
        <v>203</v>
      </c>
      <c r="I68" s="181"/>
      <c r="K68" s="336"/>
      <c r="L68" s="336"/>
      <c r="M68" s="336"/>
      <c r="N68" s="336"/>
      <c r="O68" s="336"/>
      <c r="S68" s="137" t="s">
        <v>193</v>
      </c>
      <c r="T68" s="134"/>
      <c r="U68" s="134"/>
      <c r="V68" s="134">
        <f>V67+V85</f>
        <v>55.138935792612259</v>
      </c>
      <c r="W68" s="134">
        <f t="shared" ref="W68:AA68" si="21">W67+W85</f>
        <v>65.238935792612267</v>
      </c>
      <c r="X68" s="134">
        <f t="shared" si="21"/>
        <v>72.738935792612267</v>
      </c>
      <c r="Y68" s="134">
        <f t="shared" si="21"/>
        <v>83.138935792612259</v>
      </c>
      <c r="Z68" s="134">
        <f t="shared" si="21"/>
        <v>81.338935792612261</v>
      </c>
      <c r="AA68" s="134">
        <f t="shared" si="21"/>
        <v>82.538935792612264</v>
      </c>
      <c r="AB68" s="134">
        <f>AB67+AB85</f>
        <v>82.338935792612261</v>
      </c>
      <c r="AC68" s="222">
        <f t="array" ref="AC68">10*LOG10(SUM(IF(ISNUMBER(V68:AB68),10^(V68:AB68/10))))</f>
        <v>88.545264394473293</v>
      </c>
    </row>
    <row r="69" spans="1:29" ht="18" customHeight="1" thickBot="1">
      <c r="A69" s="183" t="s">
        <v>281</v>
      </c>
      <c r="B69" s="184"/>
      <c r="C69" s="184"/>
      <c r="D69" s="179">
        <f>IF($D66&gt;$G66,0,INDEX('Impeller C &amp; Run Data'!$A$1:$KO$300,Sel_Fan_number,MATCH($A69,'Impeller C &amp; Run Data'!$A$16:$KO$16,0)))</f>
        <v>269.53958135968043</v>
      </c>
      <c r="E69" s="184" t="s">
        <v>203</v>
      </c>
      <c r="F69" s="185"/>
      <c r="G69" s="182"/>
      <c r="H69" s="179"/>
      <c r="I69" s="181"/>
      <c r="K69" s="336"/>
      <c r="L69" s="336"/>
      <c r="M69" s="336"/>
      <c r="N69" s="336"/>
      <c r="O69" s="336"/>
      <c r="S69" s="138" t="s">
        <v>244</v>
      </c>
      <c r="T69" s="139"/>
      <c r="U69" s="140">
        <f>'Curves (Std. conditions)'!C65</f>
        <v>-8.3103618950739975</v>
      </c>
      <c r="V69" s="140">
        <f t="shared" ref="V69:AB69" si="22">V68+$U$69</f>
        <v>46.828573897538263</v>
      </c>
      <c r="W69" s="140">
        <f t="shared" si="22"/>
        <v>56.928573897538271</v>
      </c>
      <c r="X69" s="140">
        <f t="shared" si="22"/>
        <v>64.428573897538271</v>
      </c>
      <c r="Y69" s="140">
        <f t="shared" si="22"/>
        <v>74.828573897538263</v>
      </c>
      <c r="Z69" s="140">
        <f t="shared" si="22"/>
        <v>73.028573897538266</v>
      </c>
      <c r="AA69" s="140">
        <f t="shared" si="22"/>
        <v>74.228573897538269</v>
      </c>
      <c r="AB69" s="140">
        <f t="shared" si="22"/>
        <v>74.028573897538266</v>
      </c>
      <c r="AC69" s="223">
        <f t="array" ref="AC69">10*LOG10(SUM(IF(ISNUMBER(V69:AB69),10^(V69:AB69/10))))</f>
        <v>80.234902499399311</v>
      </c>
    </row>
    <row r="70" spans="1:29" ht="18" customHeight="1" thickTop="1">
      <c r="A70" s="183" t="s">
        <v>221</v>
      </c>
      <c r="B70" s="179"/>
      <c r="C70" s="179"/>
      <c r="D70" s="179">
        <f>IF($D66&gt;$G66,0,INDEX('Impeller C &amp; Run Data'!$A$1:$KO$300,Sel_Fan_number,MATCH($A70,'Impeller C &amp; Run Data'!$A$16:$KO$16,0)))</f>
        <v>6</v>
      </c>
      <c r="E70" s="179" t="s">
        <v>203</v>
      </c>
      <c r="F70" s="185" t="s">
        <v>222</v>
      </c>
      <c r="G70" s="179">
        <f>IF($D66&gt;$G66,0,INDEX('Impeller C &amp; Run Data'!$A$1:$KO$300,Sel_Fan_number,MATCH($F70,'Impeller C &amp; Run Data'!$A$16:$KO$16,0)))</f>
        <v>6</v>
      </c>
      <c r="H70" s="179" t="s">
        <v>203</v>
      </c>
      <c r="I70" s="181"/>
      <c r="K70" s="336"/>
      <c r="L70" s="336"/>
      <c r="M70" s="336"/>
      <c r="N70" s="336"/>
      <c r="O70" s="336"/>
      <c r="S70" s="137" t="s">
        <v>787</v>
      </c>
      <c r="T70" s="766"/>
      <c r="U70" s="134">
        <f>'Curves (Std. conditions)'!P55</f>
        <v>1</v>
      </c>
      <c r="V70" s="766"/>
      <c r="W70" s="766"/>
      <c r="X70" s="766"/>
      <c r="Y70" s="766"/>
      <c r="Z70" s="766"/>
      <c r="AA70" s="766"/>
      <c r="AB70" s="766"/>
      <c r="AC70" s="767"/>
    </row>
    <row r="71" spans="1:29" ht="18" customHeight="1" thickBot="1">
      <c r="A71" s="183" t="s">
        <v>706</v>
      </c>
      <c r="B71" s="179"/>
      <c r="C71" s="179"/>
      <c r="D71" s="179">
        <f>IF($D66&gt;$G66,0,INDEX('Impeller C &amp; Run Data'!$A$1:$KO$300,Sel_Fan_number,MATCH($A71,'Impeller C &amp; Run Data'!$A$16:$KO$16,0)))</f>
        <v>18.000000000000004</v>
      </c>
      <c r="E71" s="179" t="s">
        <v>203</v>
      </c>
      <c r="F71" s="185" t="s">
        <v>707</v>
      </c>
      <c r="G71" s="179">
        <f>IF($D66&gt;$G66,0,INDEX('Impeller C &amp; Run Data'!$A$1:$KO$300,Sel_Fan_number,MATCH($F71,'Impeller C &amp; Run Data'!$A$16:$KO$16,0)))</f>
        <v>665.68553221639513</v>
      </c>
      <c r="H71" s="179" t="s">
        <v>203</v>
      </c>
      <c r="I71" s="181"/>
      <c r="K71" s="336"/>
      <c r="L71" s="336"/>
      <c r="M71" s="336"/>
      <c r="N71" s="336"/>
      <c r="O71" s="336"/>
      <c r="S71" s="141" t="s">
        <v>194</v>
      </c>
      <c r="T71" s="142"/>
      <c r="U71" s="143">
        <f>'Curves (Ops. conditions)'!C66</f>
        <v>-13.375814485106119</v>
      </c>
      <c r="V71" s="143">
        <f t="shared" ref="V71:AB71" si="23">V68+$U$71-V86</f>
        <v>29.26312130750614</v>
      </c>
      <c r="W71" s="143">
        <f t="shared" si="23"/>
        <v>44.363121307506148</v>
      </c>
      <c r="X71" s="143">
        <f t="shared" si="23"/>
        <v>56.863121307506148</v>
      </c>
      <c r="Y71" s="143">
        <f t="shared" si="23"/>
        <v>67.26312130750614</v>
      </c>
      <c r="Z71" s="143">
        <f t="shared" si="23"/>
        <v>60.463121307506142</v>
      </c>
      <c r="AA71" s="143">
        <f t="shared" si="23"/>
        <v>61.663121307506145</v>
      </c>
      <c r="AB71" s="143">
        <f t="shared" si="23"/>
        <v>61.463121307506142</v>
      </c>
      <c r="AC71" s="224">
        <f t="array" ref="AC71">10*LOG10(SUM(IF(ISNUMBER(V71:AB71),10^(V71:AB71/10))))</f>
        <v>69.920418331271733</v>
      </c>
    </row>
    <row r="72" spans="1:29" ht="18" customHeight="1">
      <c r="A72" s="183" t="s">
        <v>394</v>
      </c>
      <c r="B72" s="179"/>
      <c r="C72" s="179"/>
      <c r="D72" s="179">
        <f>IF($D66&gt;$G66,0,INDEX('Impeller C &amp; Run Data'!$A$1:$KO$300,Sel_Fan_number,MATCH($A72,'Impeller C &amp; Run Data'!$A$16:$KO$16,0)))</f>
        <v>0</v>
      </c>
      <c r="E72" s="179" t="s">
        <v>203</v>
      </c>
      <c r="F72" s="185" t="s">
        <v>285</v>
      </c>
      <c r="G72" s="179">
        <f>IF($D66&gt;$G66,0,INDEX('Impeller C &amp; Run Data'!$A$1:$KO$300,Sel_Fan_number,MATCH($F72,'Impeller C &amp; Run Data'!$A$16:$KO$16,0)))</f>
        <v>0</v>
      </c>
      <c r="H72" s="179" t="s">
        <v>203</v>
      </c>
      <c r="I72" s="181"/>
      <c r="K72" s="336"/>
      <c r="L72" s="336"/>
      <c r="M72" s="336"/>
      <c r="N72" s="336"/>
      <c r="O72" s="336"/>
    </row>
    <row r="73" spans="1:29" ht="18" customHeight="1">
      <c r="A73" s="337" t="s">
        <v>286</v>
      </c>
      <c r="B73" s="338"/>
      <c r="C73" s="338"/>
      <c r="D73" s="338">
        <f>IF($D66&gt;$G66,0,INDEX('Impeller C &amp; Run Data'!$A$1:$KO$300,Sel_Fan_number,MATCH($A73,'Impeller C &amp; Run Data'!$A$16:$KO$16,0)))</f>
        <v>0</v>
      </c>
      <c r="E73" s="338" t="s">
        <v>203</v>
      </c>
      <c r="F73" s="339"/>
      <c r="G73" s="338"/>
      <c r="H73" s="338"/>
      <c r="I73" s="340"/>
      <c r="K73" s="336"/>
      <c r="L73" s="336"/>
      <c r="M73" s="336"/>
      <c r="N73" s="336"/>
      <c r="O73" s="336"/>
    </row>
    <row r="74" spans="1:29" ht="18" customHeight="1">
      <c r="A74" s="341" t="s">
        <v>778</v>
      </c>
      <c r="B74" s="342"/>
      <c r="C74" s="342"/>
      <c r="D74" s="692" t="str">
        <f>INDEX('Impeller C &amp; Run Data'!$A$1:$KO$300,Sel_Fan_number,MATCH($A74,'Impeller C &amp; Run Data'!$A$16:$KO$16,0)+$I65)</f>
        <v>Steel</v>
      </c>
      <c r="E74" s="344"/>
      <c r="F74" s="345" t="s">
        <v>705</v>
      </c>
      <c r="G74" s="342">
        <f>IF($D66&gt;$G66,0,INDEX('Impeller C &amp; Run Data'!$A$1:$KO$300,Sel_Fan_number,MATCH($F74,'Impeller C &amp; Run Data'!$A$16:$KO$16,0)))</f>
        <v>451.13078442860626</v>
      </c>
      <c r="H74" s="342" t="s">
        <v>203</v>
      </c>
      <c r="I74" s="347"/>
      <c r="K74" s="336"/>
      <c r="L74" s="336"/>
      <c r="M74" s="336"/>
      <c r="N74" s="336"/>
      <c r="O74" s="336"/>
    </row>
    <row r="75" spans="1:29" ht="18" customHeight="1">
      <c r="A75" s="178" t="s">
        <v>1610</v>
      </c>
      <c r="B75" s="179"/>
      <c r="C75" s="179"/>
      <c r="D75" s="179">
        <f>IF($D66&gt;$G66,0,INDEX('Impeller C &amp; Run Data'!$A$1:$KO$300,Sel_Fan_number,MATCH($A75,'Impeller C &amp; Run Data'!$A$16:$KO$16,0)))</f>
        <v>16</v>
      </c>
      <c r="E75" s="184"/>
      <c r="F75" s="185" t="s">
        <v>989</v>
      </c>
      <c r="G75" s="179">
        <f>IF($D66&gt;$G66,0,INDEX('Impeller C &amp; Run Data'!$A$1:$KO$300,Sel_Fan_number,MATCH($F75,'Impeller C &amp; Run Data'!$A$16:$KO$16,0)+$I65))</f>
        <v>23.024185684144811</v>
      </c>
      <c r="H75" s="184" t="s">
        <v>309</v>
      </c>
      <c r="I75" s="181"/>
      <c r="K75" s="336"/>
      <c r="L75" s="336"/>
      <c r="M75" s="336"/>
      <c r="N75" s="336"/>
      <c r="O75" s="336"/>
    </row>
    <row r="76" spans="1:29" ht="18" customHeight="1">
      <c r="A76" s="178" t="s">
        <v>1611</v>
      </c>
      <c r="B76" s="179"/>
      <c r="C76" s="179"/>
      <c r="D76" s="179">
        <f>IF($D66&gt;$G66,0,INDEX('Impeller C &amp; Run Data'!$A$1:$KO$300,Sel_Fan_number,MATCH($A76,'Impeller C &amp; Run Data'!$A$16:$KO$16,0)+$I65))</f>
        <v>4</v>
      </c>
      <c r="E76" s="184" t="s">
        <v>203</v>
      </c>
      <c r="F76" s="185" t="s">
        <v>287</v>
      </c>
      <c r="G76" s="179">
        <f>IF(D74=A65,IF(D76&lt;MAX(D70,G70),MAX(D70,G70),D76),D76)</f>
        <v>6</v>
      </c>
      <c r="H76" s="184" t="s">
        <v>203</v>
      </c>
      <c r="I76" s="181"/>
      <c r="K76" s="336"/>
      <c r="L76" s="336"/>
      <c r="M76" s="336"/>
      <c r="N76" s="336"/>
      <c r="O76" s="336"/>
      <c r="R76" s="336"/>
    </row>
    <row r="77" spans="1:29" ht="18" customHeight="1">
      <c r="A77" s="341" t="s">
        <v>1597</v>
      </c>
      <c r="B77" s="342"/>
      <c r="C77" s="342"/>
      <c r="D77" s="342">
        <f>IF($D66&gt;$G66,0,INDEX('Impeller C &amp; Run Data'!$A$1:$KO$300,Sel_Fan_number,MATCH($A77,'Impeller C &amp; Run Data'!$A$16:$KO$16,0)+$I65))</f>
        <v>0</v>
      </c>
      <c r="E77" s="342"/>
      <c r="F77" s="697"/>
      <c r="G77" s="342"/>
      <c r="H77" s="342"/>
      <c r="I77" s="347"/>
      <c r="K77" s="336"/>
      <c r="L77" s="336"/>
      <c r="M77" s="336"/>
      <c r="N77" s="336"/>
      <c r="O77" s="336"/>
      <c r="S77" s="336"/>
      <c r="T77" s="336"/>
      <c r="AA77" s="177"/>
      <c r="AB77" s="177"/>
      <c r="AC77" s="177"/>
    </row>
    <row r="78" spans="1:29" ht="18" customHeight="1">
      <c r="A78" s="178" t="s">
        <v>1598</v>
      </c>
      <c r="B78" s="179"/>
      <c r="C78" s="179"/>
      <c r="D78" s="179">
        <f>IF($D66&gt;$G66,0,INDEX('Impeller C &amp; Run Data'!$A$1:$KO$300,Sel_Fan_number,MATCH($A78,'Impeller C &amp; Run Data'!$A$16:$KO$16,0)+$I65))</f>
        <v>0</v>
      </c>
      <c r="E78" s="184" t="s">
        <v>203</v>
      </c>
      <c r="F78" s="693" t="s">
        <v>1599</v>
      </c>
      <c r="G78" s="179">
        <f>IF($D66&gt;$G66,0,INDEX('Impeller C &amp; Run Data'!$A$1:$KO$300,Sel_Fan_number,MATCH($F78,'Impeller C &amp; Run Data'!$A$16:$KO$16,0)+$I65))</f>
        <v>0</v>
      </c>
      <c r="H78" s="179" t="s">
        <v>203</v>
      </c>
      <c r="I78" s="181"/>
      <c r="K78" s="336"/>
      <c r="L78" s="336"/>
      <c r="M78" s="336"/>
      <c r="N78" s="336"/>
      <c r="O78" s="336"/>
      <c r="S78" s="477"/>
      <c r="T78" s="478"/>
      <c r="U78" s="479"/>
      <c r="V78" s="464"/>
      <c r="W78" s="464"/>
      <c r="X78" s="464"/>
      <c r="Y78" s="464"/>
      <c r="Z78" s="464"/>
      <c r="AA78" s="480"/>
      <c r="AB78" s="478"/>
      <c r="AC78" s="177"/>
    </row>
    <row r="79" spans="1:29" ht="18" customHeight="1">
      <c r="A79" s="178" t="s">
        <v>358</v>
      </c>
      <c r="B79" s="179"/>
      <c r="C79" s="179"/>
      <c r="D79" s="179">
        <f>IF(D77&lt;1,0,D67-G78)</f>
        <v>0</v>
      </c>
      <c r="E79" s="184" t="s">
        <v>203</v>
      </c>
      <c r="F79" s="185" t="s">
        <v>282</v>
      </c>
      <c r="G79" s="179">
        <f>IF(D77&lt;1,0,G67/(D77+1))</f>
        <v>0</v>
      </c>
      <c r="H79" s="179" t="s">
        <v>203</v>
      </c>
      <c r="I79" s="181"/>
      <c r="K79" s="336"/>
      <c r="L79" s="336"/>
      <c r="M79" s="336"/>
      <c r="N79" s="336"/>
      <c r="O79" s="336"/>
      <c r="S79" s="477" t="s">
        <v>185</v>
      </c>
      <c r="T79" s="478"/>
      <c r="U79" s="479">
        <v>3</v>
      </c>
      <c r="V79" s="464">
        <f t="shared" ref="V79:AB79" si="24">INDEX($S$79:$AB$81,$U$79,COLUMN(D1))</f>
        <v>0</v>
      </c>
      <c r="W79" s="464" t="str">
        <f>INDEX($S$79:$AB$81,$U$79,COLUMN(A1))</f>
        <v>delta Lw*</v>
      </c>
      <c r="X79" s="464">
        <f>INDEX($S$79:$AB$81,$U$79,COLUMN(B1))</f>
        <v>0</v>
      </c>
      <c r="Y79" s="464">
        <f>INDEX($S$79:$AB$81,$U$79,COLUMN(C1))</f>
        <v>0</v>
      </c>
      <c r="Z79" s="464">
        <f t="shared" si="24"/>
        <v>0</v>
      </c>
      <c r="AA79" s="480">
        <f t="shared" si="24"/>
        <v>0</v>
      </c>
      <c r="AB79" s="478">
        <f t="shared" si="24"/>
        <v>0</v>
      </c>
      <c r="AC79" s="177"/>
    </row>
    <row r="80" spans="1:29" ht="18" customHeight="1">
      <c r="A80" s="353" t="s">
        <v>359</v>
      </c>
      <c r="B80" s="354"/>
      <c r="C80" s="354"/>
      <c r="D80" s="354">
        <f>IF(D77&lt;2,0,D79)</f>
        <v>0</v>
      </c>
      <c r="E80" s="694" t="s">
        <v>203</v>
      </c>
      <c r="F80" s="695" t="s">
        <v>283</v>
      </c>
      <c r="G80" s="354">
        <f>IF(D77&lt;2,0,2*G79)</f>
        <v>0</v>
      </c>
      <c r="H80" s="354" t="s">
        <v>203</v>
      </c>
      <c r="I80" s="696"/>
      <c r="K80" s="336"/>
      <c r="L80" s="336"/>
      <c r="M80" s="336"/>
      <c r="N80" s="336"/>
      <c r="O80" s="336"/>
      <c r="S80" s="481" t="s">
        <v>186</v>
      </c>
      <c r="T80" s="482"/>
      <c r="U80" s="483">
        <f>rpm_OP*blades/60</f>
        <v>445.96733031378722</v>
      </c>
      <c r="V80" s="463">
        <f>IF($U$80&lt;=(V66/2+W66/2),5,0)</f>
        <v>0</v>
      </c>
      <c r="W80" s="463">
        <f>IF(AND($U$80&gt;(V66/2+W66/2),$U$80&lt;=(X66/2+W66/2)),5,0)</f>
        <v>0</v>
      </c>
      <c r="X80" s="463">
        <f>IF(AND($U$80&gt;(W66/2+X66/2),$U$80&lt;=(Y66/2+X66/2)),5,0)</f>
        <v>0</v>
      </c>
      <c r="Y80" s="463">
        <f>IF(AND($U$80&gt;(X66/2+Y66/2),$U$80&lt;=(Z66/2+Y66/2)),5,0)</f>
        <v>5</v>
      </c>
      <c r="Z80" s="463">
        <f>IF(AND($U$80&gt;(Y66/2+Z66/2),$U$80&lt;=(AA66/2+Z66/2)),5,0)</f>
        <v>0</v>
      </c>
      <c r="AA80" s="463">
        <f>IF(AND($U$80&gt;(Z66/2+AA66/2),$U$80&lt;=(AB66/2+AA66/2)),5,0)</f>
        <v>0</v>
      </c>
      <c r="AB80" s="482">
        <f>IF($U$80&gt;(AA66/2+AB66/2),5,0)</f>
        <v>0</v>
      </c>
      <c r="AC80" s="177"/>
    </row>
    <row r="81" spans="1:29" ht="18" customHeight="1">
      <c r="A81" s="341" t="s">
        <v>1594</v>
      </c>
      <c r="B81" s="342"/>
      <c r="C81" s="342"/>
      <c r="D81" s="342">
        <f>IF($D66&gt;$G66,0,INDEX('Impeller C &amp; Run Data'!$A$1:$KO$300,Sel_Fan_number,MATCH($A81,'Impeller C &amp; Run Data'!$A$16:$KO$16,0)+$I65))</f>
        <v>0</v>
      </c>
      <c r="E81" s="342"/>
      <c r="F81" s="345"/>
      <c r="G81" s="346"/>
      <c r="H81" s="342"/>
      <c r="I81" s="347"/>
      <c r="K81" s="336"/>
      <c r="L81" s="336"/>
      <c r="M81" s="336"/>
      <c r="N81" s="336"/>
      <c r="O81" s="336"/>
      <c r="S81" s="481" t="s">
        <v>187</v>
      </c>
      <c r="T81" s="482"/>
      <c r="U81" s="483"/>
      <c r="V81" s="463">
        <v>0</v>
      </c>
      <c r="W81" s="463">
        <v>0</v>
      </c>
      <c r="X81" s="463">
        <v>0</v>
      </c>
      <c r="Y81" s="463">
        <v>0</v>
      </c>
      <c r="Z81" s="463">
        <v>0</v>
      </c>
      <c r="AA81" s="463">
        <v>0</v>
      </c>
      <c r="AB81" s="482">
        <v>0</v>
      </c>
      <c r="AC81" s="177"/>
    </row>
    <row r="82" spans="1:29" ht="18" customHeight="1">
      <c r="A82" s="178" t="s">
        <v>1595</v>
      </c>
      <c r="B82" s="179"/>
      <c r="C82" s="179"/>
      <c r="D82" s="179">
        <f>IF($D66&gt;$G66,0,INDEX('Impeller C &amp; Run Data'!$A$1:$KO$300,Sel_Fan_number,MATCH($A82,'Impeller C &amp; Run Data'!$A$16:$KO$16,0)+$I65))</f>
        <v>0</v>
      </c>
      <c r="E82" s="184" t="s">
        <v>203</v>
      </c>
      <c r="F82" s="693" t="s">
        <v>1596</v>
      </c>
      <c r="G82" s="179">
        <f>IF($D66&gt;$G66,0,INDEX('Impeller C &amp; Run Data'!$A$1:$KO$300,Sel_Fan_number,MATCH($F82,'Impeller C &amp; Run Data'!$A$16:$KO$16,0)+$I65))</f>
        <v>0</v>
      </c>
      <c r="H82" s="184" t="s">
        <v>203</v>
      </c>
      <c r="I82" s="181"/>
      <c r="K82" s="336"/>
      <c r="L82" s="336"/>
      <c r="M82" s="336"/>
      <c r="N82" s="336"/>
      <c r="O82" s="336"/>
      <c r="S82" s="481" t="s">
        <v>188</v>
      </c>
      <c r="T82" s="482"/>
      <c r="U82" s="483"/>
      <c r="V82" s="484">
        <f t="shared" ref="V82:AB82" si="25">10*LOG(Q/3600)</f>
        <v>4.4369749923271273</v>
      </c>
      <c r="W82" s="484">
        <f t="shared" si="25"/>
        <v>4.4369749923271273</v>
      </c>
      <c r="X82" s="484">
        <f t="shared" si="25"/>
        <v>4.4369749923271273</v>
      </c>
      <c r="Y82" s="484">
        <f t="shared" si="25"/>
        <v>4.4369749923271273</v>
      </c>
      <c r="Z82" s="484">
        <f t="shared" si="25"/>
        <v>4.4369749923271273</v>
      </c>
      <c r="AA82" s="484">
        <f t="shared" si="25"/>
        <v>4.4369749923271273</v>
      </c>
      <c r="AB82" s="485">
        <f t="shared" si="25"/>
        <v>4.4369749923271273</v>
      </c>
      <c r="AC82" s="177"/>
    </row>
    <row r="83" spans="1:29" ht="18" customHeight="1">
      <c r="A83" s="178" t="s">
        <v>360</v>
      </c>
      <c r="B83" s="179"/>
      <c r="C83" s="179"/>
      <c r="D83" s="179">
        <f>IF(D81&lt;1,0,2*(D69/2+G83*(D68/2-D69/2)/(G68/2)))</f>
        <v>0</v>
      </c>
      <c r="E83" s="184" t="s">
        <v>203</v>
      </c>
      <c r="F83" s="185" t="s">
        <v>282</v>
      </c>
      <c r="G83" s="179">
        <f>IF(D81&lt;1,0,G68/(D81+1))</f>
        <v>0</v>
      </c>
      <c r="H83" s="184" t="s">
        <v>203</v>
      </c>
      <c r="I83" s="181"/>
      <c r="K83" s="336"/>
      <c r="L83" s="336"/>
      <c r="M83" s="336"/>
      <c r="N83" s="336"/>
      <c r="O83" s="336"/>
      <c r="S83" s="486" t="s">
        <v>189</v>
      </c>
      <c r="T83" s="487"/>
      <c r="U83" s="488"/>
      <c r="V83" s="489">
        <f t="shared" ref="V83:AB83" si="26">20*LOG(P_OP_tot*$T$6)</f>
        <v>76.901960800285138</v>
      </c>
      <c r="W83" s="489">
        <f t="shared" si="26"/>
        <v>76.901960800285138</v>
      </c>
      <c r="X83" s="489">
        <f t="shared" si="26"/>
        <v>76.901960800285138</v>
      </c>
      <c r="Y83" s="489">
        <f t="shared" si="26"/>
        <v>76.901960800285138</v>
      </c>
      <c r="Z83" s="489">
        <f t="shared" si="26"/>
        <v>76.901960800285138</v>
      </c>
      <c r="AA83" s="489">
        <f t="shared" si="26"/>
        <v>76.901960800285138</v>
      </c>
      <c r="AB83" s="490">
        <f t="shared" si="26"/>
        <v>76.901960800285138</v>
      </c>
      <c r="AC83" s="177"/>
    </row>
    <row r="84" spans="1:29" ht="18" customHeight="1" thickBot="1">
      <c r="A84" s="348" t="s">
        <v>1612</v>
      </c>
      <c r="B84" s="349"/>
      <c r="C84" s="349"/>
      <c r="D84" s="349">
        <f>IF(D81&lt;2,0,2*(D69/2+G84*(D68/2-D69/2)/(G68/2)))</f>
        <v>0</v>
      </c>
      <c r="E84" s="350" t="s">
        <v>203</v>
      </c>
      <c r="F84" s="351" t="s">
        <v>283</v>
      </c>
      <c r="G84" s="349">
        <f>IF(D81&lt;2,0,2*G83)</f>
        <v>0</v>
      </c>
      <c r="H84" s="350" t="s">
        <v>203</v>
      </c>
      <c r="I84" s="352"/>
      <c r="K84" s="336"/>
      <c r="L84" s="336"/>
      <c r="M84" s="336"/>
      <c r="N84" s="336"/>
      <c r="O84" s="33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177"/>
    </row>
    <row r="85" spans="1:29" ht="18" customHeight="1">
      <c r="A85" s="1431" t="s">
        <v>71</v>
      </c>
      <c r="B85" s="1432"/>
      <c r="C85" s="1432"/>
      <c r="D85" s="1432"/>
      <c r="E85" s="1432"/>
      <c r="F85" s="1432"/>
      <c r="G85" s="300" t="str">
        <f>$B$7</f>
        <v>REG</v>
      </c>
      <c r="H85" s="236"/>
      <c r="I85" s="355">
        <f>-MATCH("Steel, REG",'Impeller C &amp; Run Data'!$A$14:$KO$14,0)+MATCH($A85&amp;", "&amp;$G85,'Impeller C &amp; Run Data'!$A$14:$KO$14,0)</f>
        <v>0</v>
      </c>
      <c r="K85" s="336"/>
      <c r="L85" s="336"/>
      <c r="M85" s="336"/>
      <c r="N85" s="336"/>
      <c r="O85" s="336"/>
      <c r="S85" s="494" t="s">
        <v>364</v>
      </c>
      <c r="T85" s="493"/>
      <c r="U85" s="493"/>
      <c r="V85" s="495">
        <f>'Curves (Std. conditions)'!D120</f>
        <v>-26.2</v>
      </c>
      <c r="W85" s="495">
        <f>'Curves (Std. conditions)'!E120</f>
        <v>-16.100000000000001</v>
      </c>
      <c r="X85" s="495">
        <f>'Curves (Std. conditions)'!F120</f>
        <v>-8.6</v>
      </c>
      <c r="Y85" s="495">
        <f>'Curves (Std. conditions)'!G120</f>
        <v>-3.2</v>
      </c>
      <c r="Z85" s="495">
        <f>'Curves (Std. conditions)'!H120</f>
        <v>0</v>
      </c>
      <c r="AA85" s="495">
        <f>'Curves (Std. conditions)'!I120</f>
        <v>1.2</v>
      </c>
      <c r="AB85" s="496">
        <f>'Curves (Std. conditions)'!J120</f>
        <v>1</v>
      </c>
      <c r="AC85" s="177"/>
    </row>
    <row r="86" spans="1:29" ht="18" customHeight="1">
      <c r="A86" s="296" t="s">
        <v>266</v>
      </c>
      <c r="B86" s="294"/>
      <c r="C86" s="294"/>
      <c r="D86" s="297">
        <f>$D$25</f>
        <v>1672.3774886767021</v>
      </c>
      <c r="E86" s="298" t="s">
        <v>135</v>
      </c>
      <c r="F86" s="294" t="s">
        <v>181</v>
      </c>
      <c r="G86" s="299">
        <f>INDEX('Impeller C &amp; Run Data'!$A$1:$KO$300,Sel_Fan_number,MATCH(F86,'Impeller C &amp; Run Data'!$A$16:$KO$16,0)+$I85)</f>
        <v>4000</v>
      </c>
      <c r="H86" s="294" t="s">
        <v>135</v>
      </c>
      <c r="I86" s="295"/>
      <c r="K86" s="336"/>
      <c r="L86" s="336"/>
      <c r="M86" s="336"/>
      <c r="N86" s="336"/>
      <c r="O86" s="336"/>
      <c r="S86" s="494" t="s">
        <v>365</v>
      </c>
      <c r="T86" s="493"/>
      <c r="U86" s="493"/>
      <c r="V86" s="495">
        <f>'Curves (Std. conditions)'!D121</f>
        <v>12.5</v>
      </c>
      <c r="W86" s="495">
        <f>'Curves (Std. conditions)'!E121</f>
        <v>7.5</v>
      </c>
      <c r="X86" s="495">
        <f>'Curves (Std. conditions)'!F121</f>
        <v>2.5</v>
      </c>
      <c r="Y86" s="495">
        <f>'Curves (Std. conditions)'!G121</f>
        <v>2.5</v>
      </c>
      <c r="Z86" s="495">
        <f>'Curves (Std. conditions)'!H121</f>
        <v>7.5</v>
      </c>
      <c r="AA86" s="495">
        <f>'Curves (Std. conditions)'!I121</f>
        <v>7.5</v>
      </c>
      <c r="AB86" s="496">
        <f>'Curves (Std. conditions)'!J121</f>
        <v>7.5</v>
      </c>
      <c r="AC86" s="177"/>
    </row>
    <row r="87" spans="1:29" ht="18" customHeight="1">
      <c r="A87" s="178" t="s">
        <v>213</v>
      </c>
      <c r="B87" s="179"/>
      <c r="C87" s="179"/>
      <c r="D87" s="179">
        <f>IF($D86&gt;$G86,0,IF($G85=0,0,d_2))</f>
        <v>1062</v>
      </c>
      <c r="E87" s="179" t="s">
        <v>203</v>
      </c>
      <c r="F87" s="180" t="s">
        <v>223</v>
      </c>
      <c r="G87" s="179">
        <f>IF($D86&gt;$G86,0,INDEX('Impeller C &amp; Run Data'!$A$1:$KO$300,Sel_Fan_number,MATCH($F87,'Impeller C &amp; Run Data'!$A$16:$KO$16,0)))</f>
        <v>82.113490607440696</v>
      </c>
      <c r="H87" s="179" t="s">
        <v>203</v>
      </c>
      <c r="I87" s="181"/>
      <c r="K87" s="336"/>
      <c r="L87" s="336"/>
      <c r="M87" s="336"/>
      <c r="N87" s="336"/>
      <c r="O87" s="336"/>
      <c r="S87" s="477" t="s">
        <v>190</v>
      </c>
      <c r="T87" s="478"/>
      <c r="U87" s="479">
        <v>1</v>
      </c>
      <c r="V87" s="477">
        <f>'Curves (Std. conditions)'!D122</f>
        <v>27</v>
      </c>
      <c r="W87" s="464">
        <f>'Curves (Std. conditions)'!E122</f>
        <v>26</v>
      </c>
      <c r="X87" s="464">
        <f>'Curves (Std. conditions)'!F122</f>
        <v>23</v>
      </c>
      <c r="Y87" s="464">
        <f>'Curves (Std. conditions)'!G122</f>
        <v>21</v>
      </c>
      <c r="Z87" s="464">
        <f>'Curves (Std. conditions)'!H122</f>
        <v>18</v>
      </c>
      <c r="AA87" s="464">
        <f>'Curves (Std. conditions)'!I122</f>
        <v>15</v>
      </c>
      <c r="AB87" s="478">
        <f>'Curves (Std. conditions)'!J122</f>
        <v>10</v>
      </c>
      <c r="AC87" s="177"/>
    </row>
    <row r="88" spans="1:29" ht="18" customHeight="1">
      <c r="A88" s="183" t="s">
        <v>224</v>
      </c>
      <c r="B88" s="184"/>
      <c r="C88" s="184"/>
      <c r="D88" s="179">
        <f>IF($D86&gt;$G86,0,INDEX('Impeller C &amp; Run Data'!$A$1:$KO$300,Sel_Fan_number,MATCH($A88,'Impeller C &amp; Run Data'!$A$16:$KO$16,0)))</f>
        <v>340.45340501926489</v>
      </c>
      <c r="E88" s="184" t="s">
        <v>203</v>
      </c>
      <c r="F88" s="180" t="s">
        <v>566</v>
      </c>
      <c r="G88" s="179">
        <f>IF($D86&gt;$G86,0,INDEX('Impeller C &amp; Run Data'!$A$1:$KO$300,Sel_Fan_number,MATCH($F88,'Impeller C &amp; Run Data'!$A$16:$KO$16,0)))</f>
        <v>121.05772560645465</v>
      </c>
      <c r="H88" s="179" t="s">
        <v>203</v>
      </c>
      <c r="I88" s="181"/>
      <c r="K88" s="336"/>
      <c r="L88" s="336"/>
      <c r="M88" s="336"/>
      <c r="N88" s="336"/>
      <c r="O88" s="336"/>
      <c r="S88" s="481" t="s">
        <v>191</v>
      </c>
      <c r="T88" s="482"/>
      <c r="U88" s="483">
        <v>2</v>
      </c>
      <c r="V88" s="481">
        <f>'Curves (Std. conditions)'!D123</f>
        <v>15.7</v>
      </c>
      <c r="W88" s="463">
        <f>'Curves (Std. conditions)'!E123</f>
        <v>15</v>
      </c>
      <c r="X88" s="463">
        <f>'Curves (Std. conditions)'!F123</f>
        <v>16.7</v>
      </c>
      <c r="Y88" s="463">
        <f>'Curves (Std. conditions)'!G123</f>
        <v>19.5</v>
      </c>
      <c r="Z88" s="463">
        <f>'Curves (Std. conditions)'!H123</f>
        <v>18.3</v>
      </c>
      <c r="AA88" s="463">
        <f>'Curves (Std. conditions)'!I123</f>
        <v>14.5</v>
      </c>
      <c r="AB88" s="482">
        <f>'Curves (Std. conditions)'!J123</f>
        <v>10.4</v>
      </c>
      <c r="AC88" s="177"/>
    </row>
    <row r="89" spans="1:29" ht="18" customHeight="1">
      <c r="A89" s="183" t="s">
        <v>281</v>
      </c>
      <c r="B89" s="184"/>
      <c r="C89" s="184"/>
      <c r="D89" s="179">
        <f>IF($D86&gt;$G86,0,INDEX('Impeller C &amp; Run Data'!$A$1:$KO$300,Sel_Fan_number,MATCH($A89,'Impeller C &amp; Run Data'!$A$16:$KO$16,0)))</f>
        <v>269.53958135968043</v>
      </c>
      <c r="E89" s="184" t="s">
        <v>203</v>
      </c>
      <c r="F89" s="185"/>
      <c r="G89" s="182"/>
      <c r="H89" s="179"/>
      <c r="I89" s="181"/>
      <c r="K89" s="336"/>
      <c r="L89" s="336"/>
      <c r="M89" s="336"/>
      <c r="N89" s="336"/>
      <c r="O89" s="336"/>
      <c r="S89" s="486" t="s">
        <v>192</v>
      </c>
      <c r="T89" s="487"/>
      <c r="U89" s="488">
        <v>3</v>
      </c>
      <c r="V89" s="486">
        <f>'Curves (Std. conditions)'!D124</f>
        <v>18.5</v>
      </c>
      <c r="W89" s="491">
        <f>'Curves (Std. conditions)'!E124</f>
        <v>18</v>
      </c>
      <c r="X89" s="491">
        <f>'Curves (Std. conditions)'!F124</f>
        <v>20.3</v>
      </c>
      <c r="Y89" s="491">
        <f>'Curves (Std. conditions)'!G124</f>
        <v>21.8</v>
      </c>
      <c r="Z89" s="491">
        <f>'Curves (Std. conditions)'!H124</f>
        <v>20.399999999999999</v>
      </c>
      <c r="AA89" s="491">
        <f>'Curves (Std. conditions)'!I124</f>
        <v>17.3</v>
      </c>
      <c r="AB89" s="487">
        <f>'Curves (Std. conditions)'!J124</f>
        <v>12.9</v>
      </c>
      <c r="AC89" s="177"/>
    </row>
    <row r="90" spans="1:29" ht="18" customHeight="1">
      <c r="A90" s="183" t="s">
        <v>221</v>
      </c>
      <c r="B90" s="179"/>
      <c r="C90" s="179"/>
      <c r="D90" s="179">
        <f>IF($D86&gt;$G86,0,INDEX('Impeller C &amp; Run Data'!$A$1:$KO$300,Sel_Fan_number,MATCH($A90,'Impeller C &amp; Run Data'!$A$16:$KO$16,0)))</f>
        <v>6</v>
      </c>
      <c r="E90" s="179" t="s">
        <v>203</v>
      </c>
      <c r="F90" s="185" t="s">
        <v>222</v>
      </c>
      <c r="G90" s="179">
        <f>IF($D86&gt;$G86,0,INDEX('Impeller C &amp; Run Data'!$A$1:$KO$300,Sel_Fan_number,MATCH($F90,'Impeller C &amp; Run Data'!$A$16:$KO$16,0)))</f>
        <v>6</v>
      </c>
      <c r="H90" s="179" t="s">
        <v>203</v>
      </c>
      <c r="I90" s="181"/>
      <c r="K90" s="336"/>
      <c r="L90" s="336"/>
      <c r="M90" s="336"/>
      <c r="N90" s="336"/>
      <c r="O90" s="336"/>
      <c r="T90" s="336"/>
      <c r="AA90" s="152"/>
    </row>
    <row r="91" spans="1:29" ht="18" customHeight="1">
      <c r="A91" s="183" t="s">
        <v>706</v>
      </c>
      <c r="B91" s="179"/>
      <c r="C91" s="179"/>
      <c r="D91" s="179">
        <f>IF($D86&gt;$G86,0,INDEX('Impeller C &amp; Run Data'!$A$1:$KO$300,Sel_Fan_number,MATCH($A91,'Impeller C &amp; Run Data'!$A$16:$KO$16,0)))</f>
        <v>18.000000000000004</v>
      </c>
      <c r="E91" s="179" t="s">
        <v>203</v>
      </c>
      <c r="F91" s="185" t="s">
        <v>707</v>
      </c>
      <c r="G91" s="179">
        <f>IF($D86&gt;$G86,0,INDEX('Impeller C &amp; Run Data'!$A$1:$KO$300,Sel_Fan_number,MATCH($F91,'Impeller C &amp; Run Data'!$A$16:$KO$16,0)))</f>
        <v>665.68553221639513</v>
      </c>
      <c r="H91" s="179" t="s">
        <v>203</v>
      </c>
      <c r="I91" s="181"/>
      <c r="K91" s="336"/>
      <c r="L91" s="336"/>
      <c r="M91" s="336"/>
      <c r="N91" s="336"/>
      <c r="O91" s="336"/>
      <c r="T91" s="336"/>
      <c r="AA91" s="152"/>
    </row>
    <row r="92" spans="1:29" ht="18" customHeight="1">
      <c r="A92" s="183" t="s">
        <v>394</v>
      </c>
      <c r="B92" s="179"/>
      <c r="C92" s="179"/>
      <c r="D92" s="179">
        <f>IF($D86&gt;$G86,0,INDEX('Impeller C &amp; Run Data'!$A$1:$KO$300,Sel_Fan_number,MATCH($A92,'Impeller C &amp; Run Data'!$A$16:$KO$16,0)))</f>
        <v>0</v>
      </c>
      <c r="E92" s="179" t="s">
        <v>203</v>
      </c>
      <c r="F92" s="185" t="s">
        <v>285</v>
      </c>
      <c r="G92" s="179">
        <f>IF($D86&gt;$G86,0,INDEX('Impeller C &amp; Run Data'!$A$1:$KO$300,Sel_Fan_number,MATCH($F92,'Impeller C &amp; Run Data'!$A$16:$KO$16,0)))</f>
        <v>0</v>
      </c>
      <c r="H92" s="179" t="s">
        <v>203</v>
      </c>
      <c r="I92" s="181"/>
      <c r="K92" s="336"/>
      <c r="L92" s="336"/>
      <c r="M92" s="336"/>
      <c r="N92" s="336"/>
      <c r="O92" s="336"/>
      <c r="T92" s="336"/>
      <c r="AA92" s="152"/>
    </row>
    <row r="93" spans="1:29" ht="18" customHeight="1">
      <c r="A93" s="337" t="s">
        <v>286</v>
      </c>
      <c r="B93" s="338"/>
      <c r="C93" s="338"/>
      <c r="D93" s="338">
        <f>IF($D86&gt;$G86,0,INDEX('Impeller C &amp; Run Data'!$A$1:$KO$300,Sel_Fan_number,MATCH($A93,'Impeller C &amp; Run Data'!$A$16:$KO$16,0)))</f>
        <v>0</v>
      </c>
      <c r="E93" s="338" t="s">
        <v>203</v>
      </c>
      <c r="F93" s="339"/>
      <c r="G93" s="338"/>
      <c r="H93" s="338"/>
      <c r="I93" s="340"/>
      <c r="K93" s="336"/>
      <c r="L93" s="336"/>
      <c r="M93" s="336"/>
      <c r="N93" s="336"/>
      <c r="O93" s="336"/>
      <c r="T93" s="336"/>
      <c r="AA93" s="152"/>
    </row>
    <row r="94" spans="1:29" ht="18" customHeight="1">
      <c r="A94" s="341" t="s">
        <v>778</v>
      </c>
      <c r="B94" s="342"/>
      <c r="C94" s="342"/>
      <c r="D94" s="692" t="str">
        <f>INDEX('Impeller C &amp; Run Data'!$A$1:$KO$300,Sel_Fan_number,MATCH($A94,'Impeller C &amp; Run Data'!$A$16:$KO$16,0)+$I85)</f>
        <v>Steel</v>
      </c>
      <c r="E94" s="344"/>
      <c r="F94" s="345" t="s">
        <v>705</v>
      </c>
      <c r="G94" s="342">
        <f>IF($D86&gt;$G86,0,INDEX('Impeller C &amp; Run Data'!$A$1:$KO$300,Sel_Fan_number,MATCH($F94,'Impeller C &amp; Run Data'!$A$16:$KO$16,0)))</f>
        <v>451.13078442860626</v>
      </c>
      <c r="H94" s="342" t="s">
        <v>203</v>
      </c>
      <c r="I94" s="347"/>
      <c r="K94" s="336"/>
      <c r="L94" s="336"/>
      <c r="M94" s="336"/>
      <c r="N94" s="336"/>
      <c r="O94" s="336"/>
      <c r="P94" s="336"/>
      <c r="T94" s="336"/>
      <c r="AA94" s="152"/>
    </row>
    <row r="95" spans="1:29" ht="18" customHeight="1">
      <c r="A95" s="178" t="s">
        <v>1610</v>
      </c>
      <c r="B95" s="179"/>
      <c r="C95" s="179"/>
      <c r="D95" s="179">
        <f>IF($D86&gt;$G86,0,INDEX('Impeller C &amp; Run Data'!$A$1:$KO$300,Sel_Fan_number,MATCH($A95,'Impeller C &amp; Run Data'!$A$16:$KO$16,0)))</f>
        <v>16</v>
      </c>
      <c r="E95" s="184"/>
      <c r="F95" s="185" t="s">
        <v>989</v>
      </c>
      <c r="G95" s="179">
        <f>IF($D86&gt;$G86,0,INDEX('Impeller C &amp; Run Data'!$A$1:$KO$300,Sel_Fan_number,MATCH($F95,'Impeller C &amp; Run Data'!$A$16:$KO$16,0)+$I85))</f>
        <v>23.024185684144811</v>
      </c>
      <c r="H95" s="184" t="s">
        <v>309</v>
      </c>
      <c r="I95" s="181"/>
      <c r="K95" s="336"/>
      <c r="L95" s="336"/>
      <c r="M95" s="336"/>
      <c r="N95" s="336"/>
      <c r="O95" s="336"/>
      <c r="P95" s="336"/>
      <c r="Q95" s="336"/>
      <c r="T95" s="336"/>
      <c r="AA95" s="152"/>
    </row>
    <row r="96" spans="1:29" ht="18" customHeight="1">
      <c r="A96" s="178" t="s">
        <v>1611</v>
      </c>
      <c r="B96" s="179"/>
      <c r="C96" s="179"/>
      <c r="D96" s="179">
        <f>IF($D86&gt;$G86,0,INDEX('Impeller C &amp; Run Data'!$A$1:$KO$300,Sel_Fan_number,MATCH($A96,'Impeller C &amp; Run Data'!$A$16:$KO$16,0)+$I85))</f>
        <v>4</v>
      </c>
      <c r="E96" s="184" t="s">
        <v>203</v>
      </c>
      <c r="F96" s="185" t="s">
        <v>287</v>
      </c>
      <c r="G96" s="179">
        <f>IF(D94=A85,IF(D96&lt;MAX(D90,G90),MAX(D90,G90),D96),D96)</f>
        <v>6</v>
      </c>
      <c r="H96" s="184" t="s">
        <v>203</v>
      </c>
      <c r="I96" s="181"/>
      <c r="K96" s="336"/>
      <c r="L96" s="336"/>
      <c r="M96" s="336"/>
      <c r="N96" s="336"/>
      <c r="O96" s="336"/>
      <c r="T96" s="336"/>
      <c r="AA96" s="152"/>
    </row>
    <row r="97" spans="1:27" ht="18" customHeight="1">
      <c r="A97" s="341" t="s">
        <v>1597</v>
      </c>
      <c r="B97" s="342"/>
      <c r="C97" s="342"/>
      <c r="D97" s="342">
        <f>IF($D86&gt;$G86,0,INDEX('Impeller C &amp; Run Data'!$A$1:$KO$300,Sel_Fan_number,MATCH($A97,'Impeller C &amp; Run Data'!$A$16:$KO$16,0)+$I85))</f>
        <v>0</v>
      </c>
      <c r="E97" s="342"/>
      <c r="F97" s="697"/>
      <c r="G97" s="342"/>
      <c r="H97" s="342"/>
      <c r="I97" s="347"/>
      <c r="K97" s="336"/>
      <c r="L97" s="336"/>
      <c r="M97" s="336"/>
      <c r="N97" s="336"/>
      <c r="O97" s="336"/>
      <c r="T97" s="336"/>
      <c r="AA97" s="152"/>
    </row>
    <row r="98" spans="1:27" ht="18" customHeight="1">
      <c r="A98" s="178" t="s">
        <v>1598</v>
      </c>
      <c r="B98" s="179"/>
      <c r="C98" s="179"/>
      <c r="D98" s="179">
        <f>IF($D86&gt;$G86,0,INDEX('Impeller C &amp; Run Data'!$A$1:$KO$300,Sel_Fan_number,MATCH($A98,'Impeller C &amp; Run Data'!$A$16:$KO$16,0)+$I85))</f>
        <v>0</v>
      </c>
      <c r="E98" s="184" t="s">
        <v>203</v>
      </c>
      <c r="F98" s="693" t="s">
        <v>1599</v>
      </c>
      <c r="G98" s="179">
        <f>IF($D86&gt;$G86,0,INDEX('Impeller C &amp; Run Data'!$A$1:$KO$300,Sel_Fan_number,MATCH($F98,'Impeller C &amp; Run Data'!$A$16:$KO$16,0)+$I85))</f>
        <v>0</v>
      </c>
      <c r="H98" s="179" t="s">
        <v>203</v>
      </c>
      <c r="I98" s="181"/>
      <c r="K98" s="336"/>
      <c r="L98" s="336"/>
      <c r="M98" s="336"/>
      <c r="N98" s="336"/>
      <c r="O98" s="336"/>
      <c r="P98" s="336"/>
      <c r="T98" s="336"/>
      <c r="AA98" s="177"/>
    </row>
    <row r="99" spans="1:27" ht="18" customHeight="1">
      <c r="A99" s="178" t="s">
        <v>358</v>
      </c>
      <c r="B99" s="179"/>
      <c r="C99" s="179"/>
      <c r="D99" s="179">
        <f>IF(D97&lt;1,0,D87-G98)</f>
        <v>0</v>
      </c>
      <c r="E99" s="184" t="s">
        <v>203</v>
      </c>
      <c r="F99" s="185" t="s">
        <v>282</v>
      </c>
      <c r="G99" s="179">
        <f>IF(D97&lt;1,0,G87/(D97+1))</f>
        <v>0</v>
      </c>
      <c r="H99" s="179" t="s">
        <v>203</v>
      </c>
      <c r="I99" s="181"/>
      <c r="K99" s="336"/>
      <c r="L99" s="336"/>
      <c r="M99" s="336"/>
      <c r="N99" s="336"/>
      <c r="O99" s="336"/>
      <c r="P99" s="336"/>
      <c r="T99" s="336"/>
      <c r="AA99" s="177"/>
    </row>
    <row r="100" spans="1:27" ht="18" customHeight="1">
      <c r="A100" s="353" t="s">
        <v>359</v>
      </c>
      <c r="B100" s="354"/>
      <c r="C100" s="354"/>
      <c r="D100" s="354">
        <f>IF(D97&lt;2,0,D99)</f>
        <v>0</v>
      </c>
      <c r="E100" s="694" t="s">
        <v>203</v>
      </c>
      <c r="F100" s="695" t="s">
        <v>283</v>
      </c>
      <c r="G100" s="354">
        <f>IF(D97&lt;2,0,2*G99)</f>
        <v>0</v>
      </c>
      <c r="H100" s="354" t="s">
        <v>203</v>
      </c>
      <c r="I100" s="696"/>
      <c r="K100" s="336"/>
      <c r="L100" s="336"/>
      <c r="M100" s="336"/>
      <c r="N100" s="336"/>
      <c r="O100" s="336"/>
      <c r="P100" s="336"/>
      <c r="T100" s="336"/>
    </row>
    <row r="101" spans="1:27" ht="18" customHeight="1">
      <c r="A101" s="341" t="s">
        <v>1594</v>
      </c>
      <c r="B101" s="342"/>
      <c r="C101" s="342"/>
      <c r="D101" s="342">
        <f>IF($D86&gt;$G86,0,INDEX('Impeller C &amp; Run Data'!$A$1:$KO$300,Sel_Fan_number,MATCH($A101,'Impeller C &amp; Run Data'!$A$16:$KO$16,0)+$I85))</f>
        <v>0</v>
      </c>
      <c r="E101" s="342"/>
      <c r="F101" s="345"/>
      <c r="G101" s="346"/>
      <c r="H101" s="342"/>
      <c r="I101" s="347"/>
      <c r="K101" s="336"/>
      <c r="L101" s="336"/>
      <c r="M101" s="336"/>
      <c r="N101" s="336"/>
      <c r="O101" s="336"/>
      <c r="P101" s="336"/>
      <c r="T101" s="336"/>
    </row>
    <row r="102" spans="1:27" ht="18" customHeight="1">
      <c r="A102" s="178" t="s">
        <v>1595</v>
      </c>
      <c r="B102" s="179"/>
      <c r="C102" s="179"/>
      <c r="D102" s="179">
        <f>IF($D86&gt;$G86,0,INDEX('Impeller C &amp; Run Data'!$A$1:$KO$300,Sel_Fan_number,MATCH($A102,'Impeller C &amp; Run Data'!$A$16:$KO$16,0)+$I85))</f>
        <v>0</v>
      </c>
      <c r="E102" s="184" t="s">
        <v>203</v>
      </c>
      <c r="F102" s="693" t="s">
        <v>1596</v>
      </c>
      <c r="G102" s="179">
        <f>IF($D86&gt;$G86,0,INDEX('Impeller C &amp; Run Data'!$A$1:$KO$300,Sel_Fan_number,MATCH($F102,'Impeller C &amp; Run Data'!$A$16:$KO$16,0)+$I85))</f>
        <v>0</v>
      </c>
      <c r="H102" s="184" t="s">
        <v>203</v>
      </c>
      <c r="I102" s="181"/>
      <c r="K102" s="336"/>
      <c r="L102" s="336"/>
      <c r="M102" s="336"/>
      <c r="N102" s="336"/>
      <c r="O102" s="336"/>
      <c r="P102" s="336"/>
      <c r="T102" s="336"/>
      <c r="U102" s="186"/>
      <c r="V102" s="186"/>
      <c r="W102" s="187"/>
    </row>
    <row r="103" spans="1:27" ht="18" customHeight="1">
      <c r="A103" s="178" t="s">
        <v>360</v>
      </c>
      <c r="B103" s="179"/>
      <c r="C103" s="179"/>
      <c r="D103" s="179">
        <f>IF(D101&lt;1,0,2*(D89/2+G103*(D88/2-D89/2)/(G88/2)))</f>
        <v>0</v>
      </c>
      <c r="E103" s="184" t="s">
        <v>203</v>
      </c>
      <c r="F103" s="185" t="s">
        <v>282</v>
      </c>
      <c r="G103" s="179">
        <f>IF(D101&lt;1,0,G88/(D101+1))</f>
        <v>0</v>
      </c>
      <c r="H103" s="184" t="s">
        <v>203</v>
      </c>
      <c r="I103" s="181"/>
      <c r="K103" s="336"/>
      <c r="L103" s="336"/>
      <c r="M103" s="336"/>
      <c r="N103" s="336"/>
      <c r="O103" s="336"/>
      <c r="P103" s="336"/>
      <c r="T103" s="336"/>
      <c r="U103" s="186"/>
      <c r="V103" s="186"/>
      <c r="W103" s="187"/>
    </row>
    <row r="104" spans="1:27" ht="18" customHeight="1" thickBot="1">
      <c r="A104" s="348" t="s">
        <v>1612</v>
      </c>
      <c r="B104" s="349"/>
      <c r="C104" s="349"/>
      <c r="D104" s="349">
        <f>IF(D101&lt;2,0,2*(D89/2+G104*(D88/2-D89/2)/(G88/2)))</f>
        <v>0</v>
      </c>
      <c r="E104" s="350" t="s">
        <v>203</v>
      </c>
      <c r="F104" s="351" t="s">
        <v>283</v>
      </c>
      <c r="G104" s="349">
        <f>IF(D101&lt;2,0,2*G103)</f>
        <v>0</v>
      </c>
      <c r="H104" s="350" t="s">
        <v>203</v>
      </c>
      <c r="I104" s="352"/>
      <c r="K104" s="336"/>
      <c r="L104" s="336"/>
      <c r="M104" s="336"/>
      <c r="N104" s="336"/>
      <c r="O104" s="336"/>
      <c r="P104" s="336"/>
      <c r="T104" s="336"/>
      <c r="U104" s="186"/>
      <c r="V104" s="186"/>
      <c r="W104" s="187"/>
    </row>
    <row r="105" spans="1:27" ht="18" customHeight="1">
      <c r="A105" s="1431" t="s">
        <v>1584</v>
      </c>
      <c r="B105" s="1432"/>
      <c r="C105" s="1432"/>
      <c r="D105" s="1432"/>
      <c r="E105" s="1432"/>
      <c r="F105" s="1432"/>
      <c r="G105" s="300" t="str">
        <f>$B$7</f>
        <v>REG</v>
      </c>
      <c r="H105" s="236"/>
      <c r="I105" s="355">
        <f>-MATCH("Steel, REG",'Impeller C &amp; Run Data'!$A$14:$KO$14,0)+MATCH($A105&amp;", "&amp;$G105,'Impeller C &amp; Run Data'!$A$14:$KO$14,0)</f>
        <v>38</v>
      </c>
      <c r="K105" s="336"/>
      <c r="L105" s="336"/>
      <c r="M105" s="336"/>
      <c r="N105" s="336"/>
      <c r="O105" s="336"/>
      <c r="P105" s="336"/>
      <c r="T105" s="336"/>
      <c r="U105" s="186"/>
      <c r="V105" s="186"/>
      <c r="W105" s="187"/>
    </row>
    <row r="106" spans="1:27" ht="18" customHeight="1">
      <c r="A106" s="296" t="s">
        <v>266</v>
      </c>
      <c r="B106" s="294"/>
      <c r="C106" s="294"/>
      <c r="D106" s="297">
        <f>$D$25</f>
        <v>1672.3774886767021</v>
      </c>
      <c r="E106" s="298" t="s">
        <v>135</v>
      </c>
      <c r="F106" s="294" t="s">
        <v>181</v>
      </c>
      <c r="G106" s="299">
        <f>INDEX('Impeller C &amp; Run Data'!$A$1:$KO$300,Sel_Fan_number,MATCH(F106,'Impeller C &amp; Run Data'!$A$16:$KO$16,0)+$I105)</f>
        <v>3927.5928963222591</v>
      </c>
      <c r="H106" s="294" t="s">
        <v>135</v>
      </c>
      <c r="I106" s="295"/>
      <c r="K106" s="336"/>
      <c r="L106" s="336"/>
      <c r="M106" s="336"/>
      <c r="N106" s="336"/>
      <c r="O106" s="336"/>
      <c r="P106" s="336"/>
      <c r="T106" s="336"/>
      <c r="U106" s="186"/>
      <c r="V106" s="186"/>
      <c r="W106" s="187"/>
    </row>
    <row r="107" spans="1:27" ht="18" customHeight="1">
      <c r="A107" s="178" t="s">
        <v>213</v>
      </c>
      <c r="B107" s="179"/>
      <c r="C107" s="179"/>
      <c r="D107" s="179">
        <f>IF($D106&gt;$G106,0,IF($G105=0,0,d_2))</f>
        <v>1062</v>
      </c>
      <c r="E107" s="179" t="s">
        <v>203</v>
      </c>
      <c r="F107" s="180" t="s">
        <v>223</v>
      </c>
      <c r="G107" s="179">
        <f>IF($D106&gt;$G106,0,INDEX('Impeller C &amp; Run Data'!$A$1:$KO$300,Sel_Fan_number,MATCH($F107,'Impeller C &amp; Run Data'!$A$16:$KO$16,0)))</f>
        <v>82.113490607440696</v>
      </c>
      <c r="H107" s="179" t="s">
        <v>203</v>
      </c>
      <c r="I107" s="181"/>
      <c r="K107" s="336"/>
      <c r="L107" s="336"/>
      <c r="M107" s="336"/>
      <c r="N107" s="336"/>
      <c r="O107" s="336"/>
      <c r="P107" s="336"/>
      <c r="Q107" s="336"/>
      <c r="T107" s="336"/>
    </row>
    <row r="108" spans="1:27" ht="18" customHeight="1">
      <c r="A108" s="183" t="s">
        <v>224</v>
      </c>
      <c r="B108" s="184"/>
      <c r="C108" s="184"/>
      <c r="D108" s="179">
        <f>IF($D106&gt;$G106,0,INDEX('Impeller C &amp; Run Data'!$A$1:$KO$300,Sel_Fan_number,MATCH($A108,'Impeller C &amp; Run Data'!$A$16:$KO$16,0)))</f>
        <v>340.45340501926489</v>
      </c>
      <c r="E108" s="184" t="s">
        <v>203</v>
      </c>
      <c r="F108" s="180" t="s">
        <v>566</v>
      </c>
      <c r="G108" s="179">
        <f>IF($D106&gt;$G106,0,INDEX('Impeller C &amp; Run Data'!$A$1:$KO$300,Sel_Fan_number,MATCH($F108,'Impeller C &amp; Run Data'!$A$16:$KO$16,0)))</f>
        <v>121.05772560645465</v>
      </c>
      <c r="H108" s="179" t="s">
        <v>203</v>
      </c>
      <c r="I108" s="181"/>
      <c r="T108" s="336"/>
      <c r="U108" s="186"/>
      <c r="V108" s="186"/>
      <c r="W108" s="187"/>
    </row>
    <row r="109" spans="1:27" ht="18" customHeight="1">
      <c r="A109" s="183" t="s">
        <v>281</v>
      </c>
      <c r="B109" s="184"/>
      <c r="C109" s="184"/>
      <c r="D109" s="179">
        <f>IF($D106&gt;$G106,0,INDEX('Impeller C &amp; Run Data'!$A$1:$KO$300,Sel_Fan_number,MATCH($A109,'Impeller C &amp; Run Data'!$A$16:$KO$16,0)))</f>
        <v>269.53958135968043</v>
      </c>
      <c r="E109" s="184" t="s">
        <v>203</v>
      </c>
      <c r="F109" s="185"/>
      <c r="G109" s="182"/>
      <c r="H109" s="179"/>
      <c r="I109" s="181"/>
      <c r="T109" s="336"/>
      <c r="U109" s="186"/>
      <c r="V109" s="186"/>
      <c r="W109" s="187"/>
    </row>
    <row r="110" spans="1:27" ht="18" customHeight="1">
      <c r="A110" s="183" t="s">
        <v>221</v>
      </c>
      <c r="B110" s="179"/>
      <c r="C110" s="179"/>
      <c r="D110" s="179">
        <f>IF($D106&gt;$G106,0,INDEX('Impeller C &amp; Run Data'!$A$1:$KO$300,Sel_Fan_number,MATCH($A110,'Impeller C &amp; Run Data'!$A$16:$KO$16,0)))</f>
        <v>6</v>
      </c>
      <c r="E110" s="179" t="s">
        <v>203</v>
      </c>
      <c r="F110" s="185" t="s">
        <v>222</v>
      </c>
      <c r="G110" s="179">
        <f>IF($D106&gt;$G106,0,INDEX('Impeller C &amp; Run Data'!$A$1:$KO$300,Sel_Fan_number,MATCH($F110,'Impeller C &amp; Run Data'!$A$16:$KO$16,0)))</f>
        <v>6</v>
      </c>
      <c r="H110" s="179" t="s">
        <v>203</v>
      </c>
      <c r="I110" s="181"/>
      <c r="U110" s="336"/>
      <c r="V110" s="186"/>
      <c r="W110" s="186"/>
      <c r="X110" s="187"/>
    </row>
    <row r="111" spans="1:27" ht="18" customHeight="1">
      <c r="A111" s="183" t="s">
        <v>706</v>
      </c>
      <c r="B111" s="179"/>
      <c r="C111" s="179"/>
      <c r="D111" s="179">
        <f>IF($D106&gt;$G106,0,INDEX('Impeller C &amp; Run Data'!$A$1:$KO$300,Sel_Fan_number,MATCH($A111,'Impeller C &amp; Run Data'!$A$16:$KO$16,0)))</f>
        <v>18.000000000000004</v>
      </c>
      <c r="E111" s="179" t="s">
        <v>203</v>
      </c>
      <c r="F111" s="185" t="s">
        <v>707</v>
      </c>
      <c r="G111" s="179">
        <f>IF($D106&gt;$G106,0,INDEX('Impeller C &amp; Run Data'!$A$1:$KO$300,Sel_Fan_number,MATCH($F111,'Impeller C &amp; Run Data'!$A$16:$KO$16,0)))</f>
        <v>665.68553221639513</v>
      </c>
      <c r="H111" s="179" t="s">
        <v>203</v>
      </c>
      <c r="I111" s="181"/>
      <c r="M111" s="336"/>
      <c r="N111" s="336"/>
      <c r="O111" s="336"/>
      <c r="P111" s="336"/>
      <c r="Q111" s="336"/>
      <c r="U111" s="336"/>
      <c r="V111" s="186"/>
      <c r="W111" s="186"/>
      <c r="X111" s="187"/>
    </row>
    <row r="112" spans="1:27" ht="18" customHeight="1">
      <c r="A112" s="183" t="s">
        <v>284</v>
      </c>
      <c r="B112" s="179"/>
      <c r="C112" s="179"/>
      <c r="D112" s="179">
        <f>IF($D106&gt;$G106,0,INDEX('Impeller C &amp; Run Data'!$A$1:$KO$300,Sel_Fan_number,MATCH($A112,'Impeller C &amp; Run Data'!$A$16:$KO$16,0)))</f>
        <v>0</v>
      </c>
      <c r="E112" s="179" t="s">
        <v>203</v>
      </c>
      <c r="F112" s="185" t="s">
        <v>285</v>
      </c>
      <c r="G112" s="179">
        <f>IF($D106&gt;$G106,0,INDEX('Impeller C &amp; Run Data'!$A$1:$KO$300,Sel_Fan_number,MATCH($F112,'Impeller C &amp; Run Data'!$A$16:$KO$16,0)))</f>
        <v>0</v>
      </c>
      <c r="H112" s="179" t="s">
        <v>203</v>
      </c>
      <c r="I112" s="181"/>
      <c r="U112" s="336"/>
      <c r="V112" s="186"/>
      <c r="W112" s="186"/>
      <c r="X112" s="187"/>
    </row>
    <row r="113" spans="1:24" ht="18" customHeight="1">
      <c r="A113" s="337" t="s">
        <v>286</v>
      </c>
      <c r="B113" s="338"/>
      <c r="C113" s="338"/>
      <c r="D113" s="338">
        <f>IF($D106&gt;$G106,0,INDEX('Impeller C &amp; Run Data'!$A$1:$KO$300,Sel_Fan_number,MATCH($A113,'Impeller C &amp; Run Data'!$A$16:$KO$16,0)))</f>
        <v>0</v>
      </c>
      <c r="E113" s="338" t="s">
        <v>203</v>
      </c>
      <c r="F113" s="339"/>
      <c r="G113" s="338"/>
      <c r="H113" s="338"/>
      <c r="I113" s="340"/>
      <c r="M113" s="190"/>
      <c r="U113" s="336"/>
    </row>
    <row r="114" spans="1:24" ht="18" customHeight="1">
      <c r="A114" s="341" t="s">
        <v>778</v>
      </c>
      <c r="B114" s="342"/>
      <c r="C114" s="342"/>
      <c r="D114" s="343" t="str">
        <f>INDEX('Impeller C &amp; Run Data'!$A$1:$KO$300,Sel_Fan_number,MATCH($A114,'Impeller C &amp; Run Data'!$A$16:$KO$16,0)+$I105)</f>
        <v>AISI304</v>
      </c>
      <c r="E114" s="344"/>
      <c r="F114" s="345" t="s">
        <v>705</v>
      </c>
      <c r="G114" s="346">
        <f>IF($D106&gt;$G106,0,INDEX('Impeller C &amp; Run Data'!$A$1:$KO$300,Sel_Fan_number,MATCH($F114,'Impeller C &amp; Run Data'!$A$16:$KO$16,0)))</f>
        <v>451.13078442860626</v>
      </c>
      <c r="H114" s="342" t="s">
        <v>203</v>
      </c>
      <c r="I114" s="347"/>
      <c r="M114" s="190"/>
      <c r="U114" s="336"/>
      <c r="V114" s="186"/>
      <c r="W114" s="186"/>
      <c r="X114" s="187"/>
    </row>
    <row r="115" spans="1:24" ht="18" customHeight="1">
      <c r="A115" s="178" t="s">
        <v>1610</v>
      </c>
      <c r="B115" s="179"/>
      <c r="C115" s="179"/>
      <c r="D115" s="179">
        <f>IF($D106&gt;$G106,0,INDEX('Impeller C &amp; Run Data'!$A$1:$KO$300,Sel_Fan_number,MATCH($A115,'Impeller C &amp; Run Data'!$A$16:$KO$16,0)))</f>
        <v>16</v>
      </c>
      <c r="E115" s="184"/>
      <c r="F115" s="185" t="s">
        <v>989</v>
      </c>
      <c r="G115" s="179">
        <f>IF($D106&gt;$G106,0,INDEX('Impeller C &amp; Run Data'!$A$1:$KO$300,Sel_Fan_number,MATCH($F115,'Impeller C &amp; Run Data'!$A$16:$KO$16,0)+$I105))</f>
        <v>23.024185684144811</v>
      </c>
      <c r="H115" s="184" t="s">
        <v>309</v>
      </c>
      <c r="I115" s="181"/>
      <c r="M115" s="190"/>
      <c r="U115" s="336"/>
      <c r="V115" s="186"/>
      <c r="W115" s="186"/>
      <c r="X115" s="187"/>
    </row>
    <row r="116" spans="1:24" ht="18" customHeight="1">
      <c r="A116" s="178" t="s">
        <v>1611</v>
      </c>
      <c r="B116" s="179"/>
      <c r="C116" s="179"/>
      <c r="D116" s="179">
        <f>IF($D106&gt;$G106,0,INDEX('Impeller C &amp; Run Data'!$A$1:$KO$300,Sel_Fan_number,MATCH($A116,'Impeller C &amp; Run Data'!$A$16:$KO$16,0)+$I105))</f>
        <v>4</v>
      </c>
      <c r="E116" s="184"/>
      <c r="F116" s="185" t="s">
        <v>287</v>
      </c>
      <c r="G116" s="179">
        <f>IF(D114=A105,IF(D116&lt;MAX(D110,G110),MAX(D110,G110),D116),D116)</f>
        <v>6</v>
      </c>
      <c r="H116" s="184" t="s">
        <v>203</v>
      </c>
      <c r="I116" s="181"/>
      <c r="M116" s="190"/>
      <c r="U116" s="336"/>
      <c r="V116" s="186"/>
      <c r="W116" s="186"/>
      <c r="X116" s="187"/>
    </row>
    <row r="117" spans="1:24" ht="18" customHeight="1">
      <c r="A117" s="341" t="s">
        <v>1597</v>
      </c>
      <c r="B117" s="342"/>
      <c r="C117" s="342"/>
      <c r="D117" s="342">
        <f>IF($D106&gt;$G106,0,INDEX('Impeller C &amp; Run Data'!$A$1:$KO$300,Sel_Fan_number,MATCH($A117,'Impeller C &amp; Run Data'!$A$16:$KO$16,0)+$I105))</f>
        <v>0</v>
      </c>
      <c r="E117" s="342"/>
      <c r="F117" s="697"/>
      <c r="G117" s="342"/>
      <c r="H117" s="342"/>
      <c r="I117" s="347"/>
      <c r="U117" s="336"/>
      <c r="V117" s="186"/>
      <c r="W117" s="186"/>
      <c r="X117" s="187"/>
    </row>
    <row r="118" spans="1:24" ht="18" customHeight="1">
      <c r="A118" s="178" t="s">
        <v>1598</v>
      </c>
      <c r="B118" s="179"/>
      <c r="C118" s="179"/>
      <c r="D118" s="179">
        <f>IF($D106&gt;$G106,0,INDEX('Impeller C &amp; Run Data'!$A$1:$KO$300,Sel_Fan_number,MATCH($A118,'Impeller C &amp; Run Data'!$A$16:$KO$16,0)+$I105))</f>
        <v>0</v>
      </c>
      <c r="E118" s="184" t="s">
        <v>203</v>
      </c>
      <c r="F118" s="185" t="s">
        <v>1599</v>
      </c>
      <c r="G118" s="179">
        <f>IF($D106&gt;$G106,0,INDEX('Impeller C &amp; Run Data'!$A$1:$KO$300,Sel_Fan_number,MATCH($F118,'Impeller C &amp; Run Data'!$A$16:$KO$16,0)+$I105))</f>
        <v>0</v>
      </c>
      <c r="H118" s="179" t="s">
        <v>203</v>
      </c>
      <c r="I118" s="181"/>
      <c r="R118" s="336"/>
      <c r="U118" s="336"/>
      <c r="V118" s="186"/>
      <c r="W118" s="186"/>
      <c r="X118" s="187"/>
    </row>
    <row r="119" spans="1:24" ht="18" customHeight="1">
      <c r="A119" s="178" t="s">
        <v>358</v>
      </c>
      <c r="B119" s="179"/>
      <c r="C119" s="179"/>
      <c r="D119" s="179">
        <f>IF(D117&lt;1,0,D107-G118)</f>
        <v>0</v>
      </c>
      <c r="E119" s="184" t="s">
        <v>203</v>
      </c>
      <c r="F119" s="185" t="s">
        <v>282</v>
      </c>
      <c r="G119" s="179">
        <f>IF(D117&lt;1,0,G107/(D117+1))</f>
        <v>0</v>
      </c>
      <c r="H119" s="179" t="s">
        <v>203</v>
      </c>
      <c r="I119" s="181"/>
      <c r="U119" s="336"/>
    </row>
    <row r="120" spans="1:24" ht="18" customHeight="1">
      <c r="A120" s="178" t="s">
        <v>359</v>
      </c>
      <c r="B120" s="179"/>
      <c r="C120" s="179"/>
      <c r="D120" s="179">
        <f>IF(D117&lt;2,0,D119)</f>
        <v>0</v>
      </c>
      <c r="E120" s="184" t="s">
        <v>203</v>
      </c>
      <c r="F120" s="185" t="s">
        <v>283</v>
      </c>
      <c r="G120" s="179">
        <f>IF(D117&lt;2,0,2*G119)</f>
        <v>0</v>
      </c>
      <c r="H120" s="179" t="s">
        <v>203</v>
      </c>
      <c r="I120" s="181"/>
      <c r="U120" s="336"/>
    </row>
    <row r="121" spans="1:24" ht="18" customHeight="1">
      <c r="A121" s="341" t="s">
        <v>1594</v>
      </c>
      <c r="B121" s="342"/>
      <c r="C121" s="342"/>
      <c r="D121" s="342">
        <f>IF($D106&gt;$G106,0,INDEX('Impeller C &amp; Run Data'!$A$1:$KO$300,Sel_Fan_number,MATCH($A121,'Impeller C &amp; Run Data'!$A$16:$KO$16,0)+$I105))</f>
        <v>0</v>
      </c>
      <c r="E121" s="342"/>
      <c r="F121" s="345"/>
      <c r="G121" s="346"/>
      <c r="H121" s="342"/>
      <c r="I121" s="347"/>
      <c r="U121" s="336"/>
    </row>
    <row r="122" spans="1:24" ht="18" customHeight="1">
      <c r="A122" s="178" t="s">
        <v>1595</v>
      </c>
      <c r="B122" s="179"/>
      <c r="C122" s="179"/>
      <c r="D122" s="179">
        <f>IF($D106&gt;$G106,0,INDEX('Impeller C &amp; Run Data'!$A$1:$KO$300,Sel_Fan_number,MATCH($A122,'Impeller C &amp; Run Data'!$A$16:$KO$16,0)+$I105))</f>
        <v>0</v>
      </c>
      <c r="E122" s="184" t="s">
        <v>203</v>
      </c>
      <c r="F122" s="185" t="s">
        <v>1596</v>
      </c>
      <c r="G122" s="179">
        <f>IF($D106&gt;$G106,0,INDEX('Impeller C &amp; Run Data'!$A$1:$KO$300,Sel_Fan_number,MATCH($F122,'Impeller C &amp; Run Data'!$A$16:$KO$16,0)+$I105))</f>
        <v>0</v>
      </c>
      <c r="H122" s="184" t="s">
        <v>203</v>
      </c>
      <c r="I122" s="181"/>
      <c r="R122" s="336"/>
      <c r="U122" s="336"/>
    </row>
    <row r="123" spans="1:24" ht="18" customHeight="1">
      <c r="A123" s="178" t="s">
        <v>360</v>
      </c>
      <c r="B123" s="179"/>
      <c r="C123" s="179"/>
      <c r="D123" s="179">
        <f>IF(D121&lt;1,0,2*(D109/2+G123*(D108/2-D109/2)/(G108/2)))</f>
        <v>0</v>
      </c>
      <c r="E123" s="184" t="s">
        <v>203</v>
      </c>
      <c r="F123" s="185" t="s">
        <v>282</v>
      </c>
      <c r="G123" s="179">
        <f>IF(D121&lt;1,0,G108/(D121+1))</f>
        <v>0</v>
      </c>
      <c r="H123" s="184" t="s">
        <v>203</v>
      </c>
      <c r="I123" s="181"/>
      <c r="S123" s="336"/>
      <c r="T123" s="336"/>
      <c r="U123" s="336"/>
    </row>
    <row r="124" spans="1:24" ht="18" customHeight="1" thickBot="1">
      <c r="A124" s="178" t="s">
        <v>1612</v>
      </c>
      <c r="B124" s="179"/>
      <c r="C124" s="179"/>
      <c r="D124" s="179">
        <f>IF(D121&lt;2,0,2*(D109/2+G124*(D108/2-D109/2)/(G108/2)))</f>
        <v>0</v>
      </c>
      <c r="E124" s="184" t="s">
        <v>203</v>
      </c>
      <c r="F124" s="185" t="s">
        <v>283</v>
      </c>
      <c r="G124" s="179">
        <f>IF(D121&lt;2,0,2*G123)</f>
        <v>0</v>
      </c>
      <c r="H124" s="184" t="s">
        <v>203</v>
      </c>
      <c r="I124" s="181"/>
    </row>
    <row r="125" spans="1:24" ht="18" customHeight="1">
      <c r="A125" s="1431" t="s">
        <v>1588</v>
      </c>
      <c r="B125" s="1432"/>
      <c r="C125" s="1432"/>
      <c r="D125" s="1432"/>
      <c r="E125" s="1432"/>
      <c r="F125" s="1432"/>
      <c r="G125" s="300" t="str">
        <f>$B$7</f>
        <v>REG</v>
      </c>
      <c r="H125" s="236"/>
      <c r="I125" s="355">
        <f>-MATCH("Steel, REG",'Impeller C &amp; Run Data'!$A$14:$KO$14,0)+MATCH($A125&amp;", "&amp;$G125,'Impeller C &amp; Run Data'!$A$14:$KO$14,0)</f>
        <v>76</v>
      </c>
    </row>
    <row r="126" spans="1:24" ht="18" customHeight="1">
      <c r="A126" s="296" t="s">
        <v>266</v>
      </c>
      <c r="B126" s="294"/>
      <c r="C126" s="294"/>
      <c r="D126" s="297">
        <f>$D$25</f>
        <v>1672.3774886767021</v>
      </c>
      <c r="E126" s="298" t="s">
        <v>135</v>
      </c>
      <c r="F126" s="294" t="s">
        <v>181</v>
      </c>
      <c r="G126" s="299">
        <f>INDEX('Impeller C &amp; Run Data'!$A$1:$KO$300,Sel_Fan_number,MATCH(F126,'Impeller C &amp; Run Data'!$A$16:$KO$16,0)+$I125)</f>
        <v>4000</v>
      </c>
      <c r="H126" s="294" t="s">
        <v>135</v>
      </c>
      <c r="I126" s="295"/>
    </row>
    <row r="127" spans="1:24" ht="18" customHeight="1">
      <c r="A127" s="178" t="s">
        <v>213</v>
      </c>
      <c r="B127" s="179"/>
      <c r="C127" s="179"/>
      <c r="D127" s="179">
        <f>IF($D126&gt;$G126,0,IF($G125=0,0,d_2))</f>
        <v>1062</v>
      </c>
      <c r="E127" s="179" t="s">
        <v>203</v>
      </c>
      <c r="F127" s="180" t="s">
        <v>223</v>
      </c>
      <c r="G127" s="179">
        <f>IF($D126&gt;$G126,0,INDEX('Impeller C &amp; Run Data'!$A$1:$KO$300,Sel_Fan_number,MATCH($F127,'Impeller C &amp; Run Data'!$A$16:$KO$16,0)))</f>
        <v>82.113490607440696</v>
      </c>
      <c r="H127" s="179" t="s">
        <v>203</v>
      </c>
      <c r="I127" s="181"/>
    </row>
    <row r="128" spans="1:24" ht="18" customHeight="1">
      <c r="A128" s="183" t="s">
        <v>224</v>
      </c>
      <c r="B128" s="184"/>
      <c r="C128" s="184"/>
      <c r="D128" s="179">
        <f>IF($D126&gt;$G126,0,INDEX('Impeller C &amp; Run Data'!$A$1:$KO$300,Sel_Fan_number,MATCH($A128,'Impeller C &amp; Run Data'!$A$16:$KO$16,0)))</f>
        <v>340.45340501926489</v>
      </c>
      <c r="E128" s="184" t="s">
        <v>203</v>
      </c>
      <c r="F128" s="180" t="s">
        <v>566</v>
      </c>
      <c r="G128" s="179">
        <f>IF($D126&gt;$G126,0,INDEX('Impeller C &amp; Run Data'!$A$1:$KO$300,Sel_Fan_number,MATCH($F128,'Impeller C &amp; Run Data'!$A$16:$KO$16,0)))</f>
        <v>121.05772560645465</v>
      </c>
      <c r="H128" s="179" t="s">
        <v>203</v>
      </c>
      <c r="I128" s="181"/>
      <c r="M128" s="190"/>
    </row>
    <row r="129" spans="1:13" ht="18" customHeight="1">
      <c r="A129" s="183" t="s">
        <v>281</v>
      </c>
      <c r="B129" s="184"/>
      <c r="C129" s="184"/>
      <c r="D129" s="179">
        <f>IF($D126&gt;$G126,0,INDEX('Impeller C &amp; Run Data'!$A$1:$KO$300,Sel_Fan_number,MATCH($A129,'Impeller C &amp; Run Data'!$A$16:$KO$16,0)))</f>
        <v>269.53958135968043</v>
      </c>
      <c r="E129" s="184" t="s">
        <v>203</v>
      </c>
      <c r="F129" s="185"/>
      <c r="G129" s="182"/>
      <c r="H129" s="179"/>
      <c r="I129" s="181"/>
      <c r="M129" s="190"/>
    </row>
    <row r="130" spans="1:13" ht="18" customHeight="1">
      <c r="A130" s="183" t="s">
        <v>221</v>
      </c>
      <c r="B130" s="179"/>
      <c r="C130" s="179"/>
      <c r="D130" s="179">
        <f>IF($D126&gt;$G126,0,INDEX('Impeller C &amp; Run Data'!$A$1:$KO$300,Sel_Fan_number,MATCH($A130,'Impeller C &amp; Run Data'!$A$16:$KO$16,0)))</f>
        <v>6</v>
      </c>
      <c r="E130" s="179" t="s">
        <v>203</v>
      </c>
      <c r="F130" s="185" t="s">
        <v>222</v>
      </c>
      <c r="G130" s="179">
        <f>IF($D126&gt;$G126,0,INDEX('Impeller C &amp; Run Data'!$A$1:$KO$300,Sel_Fan_number,MATCH($F130,'Impeller C &amp; Run Data'!$A$16:$KO$16,0)))</f>
        <v>6</v>
      </c>
      <c r="H130" s="179" t="s">
        <v>203</v>
      </c>
      <c r="I130" s="181"/>
    </row>
    <row r="131" spans="1:13" ht="18" customHeight="1">
      <c r="A131" s="183" t="s">
        <v>706</v>
      </c>
      <c r="B131" s="179"/>
      <c r="C131" s="179"/>
      <c r="D131" s="179">
        <f>IF($D126&gt;$G126,0,INDEX('Impeller C &amp; Run Data'!$A$1:$KO$300,Sel_Fan_number,MATCH($A131,'Impeller C &amp; Run Data'!$A$16:$KO$16,0)))</f>
        <v>18.000000000000004</v>
      </c>
      <c r="E131" s="179" t="s">
        <v>203</v>
      </c>
      <c r="F131" s="185" t="s">
        <v>707</v>
      </c>
      <c r="G131" s="179">
        <f>IF($D126&gt;$G126,0,INDEX('Impeller C &amp; Run Data'!$A$1:$KO$300,Sel_Fan_number,MATCH($F131,'Impeller C &amp; Run Data'!$A$16:$KO$16,0)))</f>
        <v>665.68553221639513</v>
      </c>
      <c r="H131" s="179" t="s">
        <v>203</v>
      </c>
      <c r="I131" s="181"/>
    </row>
    <row r="132" spans="1:13" ht="18" customHeight="1">
      <c r="A132" s="183" t="s">
        <v>284</v>
      </c>
      <c r="B132" s="179"/>
      <c r="C132" s="179"/>
      <c r="D132" s="179">
        <f>IF($D126&gt;$G126,0,INDEX('Impeller C &amp; Run Data'!$A$1:$KO$300,Sel_Fan_number,MATCH($A132,'Impeller C &amp; Run Data'!$A$16:$KO$16,0)))</f>
        <v>0</v>
      </c>
      <c r="E132" s="179" t="s">
        <v>203</v>
      </c>
      <c r="F132" s="185" t="s">
        <v>285</v>
      </c>
      <c r="G132" s="179">
        <f>IF($D126&gt;$G126,0,INDEX('Impeller C &amp; Run Data'!$A$1:$KO$300,Sel_Fan_number,MATCH($F132,'Impeller C &amp; Run Data'!$A$16:$KO$16,0)))</f>
        <v>0</v>
      </c>
      <c r="H132" s="179" t="s">
        <v>203</v>
      </c>
      <c r="I132" s="181"/>
    </row>
    <row r="133" spans="1:13" ht="18" customHeight="1">
      <c r="A133" s="337" t="s">
        <v>286</v>
      </c>
      <c r="B133" s="338"/>
      <c r="C133" s="338"/>
      <c r="D133" s="338">
        <f>IF($D126&gt;$G126,0,INDEX('Impeller C &amp; Run Data'!$A$1:$KO$300,Sel_Fan_number,MATCH($A133,'Impeller C &amp; Run Data'!$A$16:$KO$16,0)))</f>
        <v>0</v>
      </c>
      <c r="E133" s="338" t="s">
        <v>203</v>
      </c>
      <c r="F133" s="339"/>
      <c r="G133" s="338"/>
      <c r="H133" s="338"/>
      <c r="I133" s="340"/>
    </row>
    <row r="134" spans="1:13" ht="18" customHeight="1">
      <c r="A134" s="341" t="s">
        <v>778</v>
      </c>
      <c r="B134" s="342"/>
      <c r="C134" s="342"/>
      <c r="D134" s="343" t="str">
        <f>INDEX('Impeller C &amp; Run Data'!$A$1:$KO$300,Sel_Fan_number,MATCH($A134,'Impeller C &amp; Run Data'!$A$16:$KO$16,0)+$I125)</f>
        <v>AISI304L</v>
      </c>
      <c r="E134" s="344"/>
      <c r="F134" s="345" t="s">
        <v>705</v>
      </c>
      <c r="G134" s="346">
        <f>IF($D126&gt;$G126,0,INDEX('Impeller C &amp; Run Data'!$A$1:$KO$300,Sel_Fan_number,MATCH($F134,'Impeller C &amp; Run Data'!$A$16:$KO$16,0)))</f>
        <v>451.13078442860626</v>
      </c>
      <c r="H134" s="342" t="s">
        <v>203</v>
      </c>
      <c r="I134" s="347"/>
    </row>
    <row r="135" spans="1:13" ht="18" customHeight="1">
      <c r="A135" s="178" t="s">
        <v>1610</v>
      </c>
      <c r="B135" s="179"/>
      <c r="C135" s="179"/>
      <c r="D135" s="179">
        <f>IF($D126&gt;$G126,0,INDEX('Impeller C &amp; Run Data'!$A$1:$KO$300,Sel_Fan_number,MATCH($A135,'Impeller C &amp; Run Data'!$A$16:$KO$16,0)))</f>
        <v>16</v>
      </c>
      <c r="E135" s="184"/>
      <c r="F135" s="185" t="s">
        <v>989</v>
      </c>
      <c r="G135" s="179">
        <f>IF($D126&gt;$G126,0,INDEX('Impeller C &amp; Run Data'!$A$1:$KO$300,Sel_Fan_number,MATCH($F135,'Impeller C &amp; Run Data'!$A$16:$KO$16,0)+$I125))</f>
        <v>23.024185684144811</v>
      </c>
      <c r="H135" s="184" t="s">
        <v>309</v>
      </c>
      <c r="I135" s="181"/>
    </row>
    <row r="136" spans="1:13" ht="18" customHeight="1">
      <c r="A136" s="178" t="s">
        <v>1611</v>
      </c>
      <c r="B136" s="179"/>
      <c r="C136" s="179"/>
      <c r="D136" s="179">
        <f>IF($D126&gt;$G126,0,INDEX('Impeller C &amp; Run Data'!$A$1:$KO$300,Sel_Fan_number,MATCH($A136,'Impeller C &amp; Run Data'!$A$16:$KO$16,0)+$I125))</f>
        <v>4</v>
      </c>
      <c r="E136" s="184"/>
      <c r="F136" s="185" t="s">
        <v>287</v>
      </c>
      <c r="G136" s="179">
        <f>IF(D134=A125,IF(D136&lt;MAX(D130,G130),MAX(D130,G130),D136),D136)</f>
        <v>6</v>
      </c>
      <c r="H136" s="184" t="s">
        <v>203</v>
      </c>
      <c r="I136" s="181"/>
    </row>
    <row r="137" spans="1:13" ht="18" customHeight="1">
      <c r="A137" s="341" t="s">
        <v>1597</v>
      </c>
      <c r="B137" s="342"/>
      <c r="C137" s="342"/>
      <c r="D137" s="342">
        <f>IF($D126&gt;$G126,0,INDEX('Impeller C &amp; Run Data'!$A$1:$KO$300,Sel_Fan_number,MATCH($A137,'Impeller C &amp; Run Data'!$A$16:$KO$16,0)+$I125))</f>
        <v>0</v>
      </c>
      <c r="E137" s="342"/>
      <c r="F137" s="697"/>
      <c r="G137" s="342"/>
      <c r="H137" s="342"/>
      <c r="I137" s="347"/>
    </row>
    <row r="138" spans="1:13" ht="18" customHeight="1">
      <c r="A138" s="178" t="s">
        <v>1598</v>
      </c>
      <c r="B138" s="179"/>
      <c r="C138" s="179"/>
      <c r="D138" s="179">
        <f>IF($D126&gt;$G126,0,INDEX('Impeller C &amp; Run Data'!$A$1:$KO$300,Sel_Fan_number,MATCH($A138,'Impeller C &amp; Run Data'!$A$16:$KO$16,0)+$I125))</f>
        <v>0</v>
      </c>
      <c r="E138" s="184" t="s">
        <v>203</v>
      </c>
      <c r="F138" s="185" t="s">
        <v>1599</v>
      </c>
      <c r="G138" s="179">
        <f>IF($D126&gt;$G126,0,INDEX('Impeller C &amp; Run Data'!$A$1:$KO$300,Sel_Fan_number,MATCH($F138,'Impeller C &amp; Run Data'!$A$16:$KO$16,0)+$I125))</f>
        <v>0</v>
      </c>
      <c r="H138" s="179" t="s">
        <v>203</v>
      </c>
      <c r="I138" s="181"/>
    </row>
    <row r="139" spans="1:13" ht="18" customHeight="1">
      <c r="A139" s="178" t="s">
        <v>358</v>
      </c>
      <c r="B139" s="179"/>
      <c r="C139" s="179"/>
      <c r="D139" s="179">
        <f>IF(D137&lt;1,0,D127-G138)</f>
        <v>0</v>
      </c>
      <c r="E139" s="184" t="s">
        <v>203</v>
      </c>
      <c r="F139" s="185" t="s">
        <v>282</v>
      </c>
      <c r="G139" s="179">
        <f>IF(D137&lt;1,0,G127/(D137+1))</f>
        <v>0</v>
      </c>
      <c r="H139" s="179" t="s">
        <v>203</v>
      </c>
      <c r="I139" s="181"/>
    </row>
    <row r="140" spans="1:13" ht="18" customHeight="1">
      <c r="A140" s="178" t="s">
        <v>359</v>
      </c>
      <c r="B140" s="179"/>
      <c r="C140" s="179"/>
      <c r="D140" s="179">
        <f>IF(D137&lt;2,0,D139)</f>
        <v>0</v>
      </c>
      <c r="E140" s="184" t="s">
        <v>203</v>
      </c>
      <c r="F140" s="185" t="s">
        <v>283</v>
      </c>
      <c r="G140" s="179">
        <f>IF(D137&lt;2,0,2*G139)</f>
        <v>0</v>
      </c>
      <c r="H140" s="179" t="s">
        <v>203</v>
      </c>
      <c r="I140" s="181"/>
    </row>
    <row r="141" spans="1:13" ht="18" customHeight="1">
      <c r="A141" s="341" t="s">
        <v>1594</v>
      </c>
      <c r="B141" s="342"/>
      <c r="C141" s="342"/>
      <c r="D141" s="342">
        <f>IF($D126&gt;$G126,0,INDEX('Impeller C &amp; Run Data'!$A$1:$KO$300,Sel_Fan_number,MATCH($A141,'Impeller C &amp; Run Data'!$A$16:$KO$16,0)+$I125))</f>
        <v>0</v>
      </c>
      <c r="E141" s="342"/>
      <c r="F141" s="345"/>
      <c r="G141" s="346"/>
      <c r="H141" s="342"/>
      <c r="I141" s="347"/>
    </row>
    <row r="142" spans="1:13" ht="18" customHeight="1">
      <c r="A142" s="178" t="s">
        <v>1595</v>
      </c>
      <c r="B142" s="179"/>
      <c r="C142" s="179"/>
      <c r="D142" s="179">
        <f>IF($D126&gt;$G126,0,INDEX('Impeller C &amp; Run Data'!$A$1:$KO$300,Sel_Fan_number,MATCH($A142,'Impeller C &amp; Run Data'!$A$16:$KO$16,0)+$I125))</f>
        <v>0</v>
      </c>
      <c r="E142" s="184" t="s">
        <v>203</v>
      </c>
      <c r="F142" s="185" t="s">
        <v>1596</v>
      </c>
      <c r="G142" s="179">
        <f>IF($D126&gt;$G126,0,INDEX('Impeller C &amp; Run Data'!$A$1:$KO$300,Sel_Fan_number,MATCH($F142,'Impeller C &amp; Run Data'!$A$16:$KO$16,0)+$I125))</f>
        <v>0</v>
      </c>
      <c r="H142" s="184" t="s">
        <v>203</v>
      </c>
      <c r="I142" s="181"/>
    </row>
    <row r="143" spans="1:13" ht="18" customHeight="1">
      <c r="A143" s="178" t="s">
        <v>360</v>
      </c>
      <c r="B143" s="179"/>
      <c r="C143" s="179"/>
      <c r="D143" s="179">
        <f>IF(D141&lt;1,0,2*(D129/2+G143*(D128/2-D129/2)/(G128/2)))</f>
        <v>0</v>
      </c>
      <c r="E143" s="184" t="s">
        <v>203</v>
      </c>
      <c r="F143" s="185" t="s">
        <v>282</v>
      </c>
      <c r="G143" s="179">
        <f>IF(D141&lt;1,0,G128/(D141+1))</f>
        <v>0</v>
      </c>
      <c r="H143" s="184" t="s">
        <v>203</v>
      </c>
      <c r="I143" s="181"/>
    </row>
    <row r="144" spans="1:13" ht="18" customHeight="1" thickBot="1">
      <c r="A144" s="178" t="s">
        <v>1612</v>
      </c>
      <c r="B144" s="179"/>
      <c r="C144" s="179"/>
      <c r="D144" s="179">
        <f>IF(D141&lt;2,0,2*(D129/2+G144*(D128/2-D129/2)/(G128/2)))</f>
        <v>0</v>
      </c>
      <c r="E144" s="184" t="s">
        <v>203</v>
      </c>
      <c r="F144" s="185" t="s">
        <v>283</v>
      </c>
      <c r="G144" s="179">
        <f>IF(D141&lt;2,0,2*G143)</f>
        <v>0</v>
      </c>
      <c r="H144" s="184" t="s">
        <v>203</v>
      </c>
      <c r="I144" s="181"/>
    </row>
    <row r="145" spans="1:9" ht="18" customHeight="1">
      <c r="A145" s="1431" t="s">
        <v>1589</v>
      </c>
      <c r="B145" s="1432"/>
      <c r="C145" s="1432"/>
      <c r="D145" s="1432"/>
      <c r="E145" s="1432"/>
      <c r="F145" s="1432"/>
      <c r="G145" s="300" t="str">
        <f>$B$7</f>
        <v>REG</v>
      </c>
      <c r="H145" s="236"/>
      <c r="I145" s="355">
        <f>-MATCH("Steel, REG",'Impeller C &amp; Run Data'!$A$14:$KO$14,0)+MATCH($A145&amp;", "&amp;$G145,'Impeller C &amp; Run Data'!$A$14:$KO$14,0)</f>
        <v>114</v>
      </c>
    </row>
    <row r="146" spans="1:9" ht="18" customHeight="1">
      <c r="A146" s="296" t="s">
        <v>266</v>
      </c>
      <c r="B146" s="294"/>
      <c r="C146" s="294"/>
      <c r="D146" s="297">
        <f>$D$25</f>
        <v>1672.3774886767021</v>
      </c>
      <c r="E146" s="298" t="s">
        <v>135</v>
      </c>
      <c r="F146" s="294" t="s">
        <v>181</v>
      </c>
      <c r="G146" s="299">
        <f>INDEX('Impeller C &amp; Run Data'!$A$1:$KO$300,Sel_Fan_number,MATCH(F146,'Impeller C &amp; Run Data'!$A$16:$KO$16,0)+$I145)</f>
        <v>4000</v>
      </c>
      <c r="H146" s="294" t="s">
        <v>135</v>
      </c>
      <c r="I146" s="295"/>
    </row>
    <row r="147" spans="1:9" ht="18" customHeight="1">
      <c r="A147" s="178" t="s">
        <v>213</v>
      </c>
      <c r="B147" s="179"/>
      <c r="C147" s="179"/>
      <c r="D147" s="179">
        <f>IF($D146&gt;$G146,0,IF($G145=0,0,d_2))</f>
        <v>1062</v>
      </c>
      <c r="E147" s="179" t="s">
        <v>203</v>
      </c>
      <c r="F147" s="180" t="s">
        <v>223</v>
      </c>
      <c r="G147" s="179">
        <f>IF($D146&gt;$G146,0,INDEX('Impeller C &amp; Run Data'!$A$1:$KO$300,Sel_Fan_number,MATCH($F147,'Impeller C &amp; Run Data'!$A$16:$KO$16,0)))</f>
        <v>82.113490607440696</v>
      </c>
      <c r="H147" s="179" t="s">
        <v>203</v>
      </c>
      <c r="I147" s="181"/>
    </row>
    <row r="148" spans="1:9" ht="18" customHeight="1">
      <c r="A148" s="183" t="s">
        <v>224</v>
      </c>
      <c r="B148" s="184"/>
      <c r="C148" s="184"/>
      <c r="D148" s="179">
        <f>IF($D146&gt;$G146,0,INDEX('Impeller C &amp; Run Data'!$A$1:$KO$300,Sel_Fan_number,MATCH($A148,'Impeller C &amp; Run Data'!$A$16:$KO$16,0)))</f>
        <v>340.45340501926489</v>
      </c>
      <c r="E148" s="184" t="s">
        <v>203</v>
      </c>
      <c r="F148" s="180" t="s">
        <v>566</v>
      </c>
      <c r="G148" s="179">
        <f>IF($D146&gt;$G146,0,INDEX('Impeller C &amp; Run Data'!$A$1:$KO$300,Sel_Fan_number,MATCH($F148,'Impeller C &amp; Run Data'!$A$16:$KO$16,0)))</f>
        <v>121.05772560645465</v>
      </c>
      <c r="H148" s="179" t="s">
        <v>203</v>
      </c>
      <c r="I148" s="181"/>
    </row>
    <row r="149" spans="1:9" ht="18" customHeight="1">
      <c r="A149" s="183" t="s">
        <v>281</v>
      </c>
      <c r="B149" s="184"/>
      <c r="C149" s="184"/>
      <c r="D149" s="179">
        <f>IF($D146&gt;$G146,0,INDEX('Impeller C &amp; Run Data'!$A$1:$KO$300,Sel_Fan_number,MATCH($A149,'Impeller C &amp; Run Data'!$A$16:$KO$16,0)))</f>
        <v>269.53958135968043</v>
      </c>
      <c r="E149" s="184" t="s">
        <v>203</v>
      </c>
      <c r="F149" s="185"/>
      <c r="G149" s="182"/>
      <c r="H149" s="179"/>
      <c r="I149" s="181"/>
    </row>
    <row r="150" spans="1:9" ht="18" customHeight="1">
      <c r="A150" s="183" t="s">
        <v>221</v>
      </c>
      <c r="B150" s="179"/>
      <c r="C150" s="179"/>
      <c r="D150" s="179">
        <f>IF($D146&gt;$G146,0,INDEX('Impeller C &amp; Run Data'!$A$1:$KO$300,Sel_Fan_number,MATCH($A150,'Impeller C &amp; Run Data'!$A$16:$KO$16,0)))</f>
        <v>6</v>
      </c>
      <c r="E150" s="179" t="s">
        <v>203</v>
      </c>
      <c r="F150" s="185" t="s">
        <v>222</v>
      </c>
      <c r="G150" s="179">
        <f>IF($D146&gt;$G146,0,INDEX('Impeller C &amp; Run Data'!$A$1:$KO$300,Sel_Fan_number,MATCH($F150,'Impeller C &amp; Run Data'!$A$16:$KO$16,0)))</f>
        <v>6</v>
      </c>
      <c r="H150" s="179" t="s">
        <v>203</v>
      </c>
      <c r="I150" s="181"/>
    </row>
    <row r="151" spans="1:9" ht="18" customHeight="1">
      <c r="A151" s="183" t="s">
        <v>706</v>
      </c>
      <c r="B151" s="179"/>
      <c r="C151" s="179"/>
      <c r="D151" s="179">
        <f>IF($D146&gt;$G146,0,INDEX('Impeller C &amp; Run Data'!$A$1:$KO$300,Sel_Fan_number,MATCH($A151,'Impeller C &amp; Run Data'!$A$16:$KO$16,0)))</f>
        <v>18.000000000000004</v>
      </c>
      <c r="E151" s="179" t="s">
        <v>203</v>
      </c>
      <c r="F151" s="185" t="s">
        <v>707</v>
      </c>
      <c r="G151" s="179">
        <f>IF($D146&gt;$G146,0,INDEX('Impeller C &amp; Run Data'!$A$1:$KO$300,Sel_Fan_number,MATCH($F151,'Impeller C &amp; Run Data'!$A$16:$KO$16,0)))</f>
        <v>665.68553221639513</v>
      </c>
      <c r="H151" s="179" t="s">
        <v>203</v>
      </c>
      <c r="I151" s="181"/>
    </row>
    <row r="152" spans="1:9" ht="18" customHeight="1">
      <c r="A152" s="183" t="s">
        <v>284</v>
      </c>
      <c r="B152" s="179"/>
      <c r="C152" s="179"/>
      <c r="D152" s="179">
        <f>IF($D146&gt;$G146,0,INDEX('Impeller C &amp; Run Data'!$A$1:$KO$300,Sel_Fan_number,MATCH($A152,'Impeller C &amp; Run Data'!$A$16:$KO$16,0)))</f>
        <v>0</v>
      </c>
      <c r="E152" s="179" t="s">
        <v>203</v>
      </c>
      <c r="F152" s="185" t="s">
        <v>285</v>
      </c>
      <c r="G152" s="179">
        <f>IF($D146&gt;$G146,0,INDEX('Impeller C &amp; Run Data'!$A$1:$KO$300,Sel_Fan_number,MATCH($F152,'Impeller C &amp; Run Data'!$A$16:$KO$16,0)))</f>
        <v>0</v>
      </c>
      <c r="H152" s="179" t="s">
        <v>203</v>
      </c>
      <c r="I152" s="181"/>
    </row>
    <row r="153" spans="1:9" ht="18" customHeight="1">
      <c r="A153" s="337" t="s">
        <v>286</v>
      </c>
      <c r="B153" s="338"/>
      <c r="C153" s="338"/>
      <c r="D153" s="338">
        <f>IF($D146&gt;$G146,0,INDEX('Impeller C &amp; Run Data'!$A$1:$KO$300,Sel_Fan_number,MATCH($A153,'Impeller C &amp; Run Data'!$A$16:$KO$16,0)))</f>
        <v>0</v>
      </c>
      <c r="E153" s="338" t="s">
        <v>203</v>
      </c>
      <c r="F153" s="339"/>
      <c r="G153" s="338"/>
      <c r="H153" s="338"/>
      <c r="I153" s="340"/>
    </row>
    <row r="154" spans="1:9" ht="18" customHeight="1">
      <c r="A154" s="341" t="s">
        <v>778</v>
      </c>
      <c r="B154" s="342"/>
      <c r="C154" s="342"/>
      <c r="D154" s="343" t="str">
        <f>INDEX('Impeller C &amp; Run Data'!$A$1:$KO$300,Sel_Fan_number,MATCH($A154,'Impeller C &amp; Run Data'!$A$16:$KO$16,0)+$I145)</f>
        <v>AISI316L</v>
      </c>
      <c r="E154" s="344"/>
      <c r="F154" s="345" t="s">
        <v>705</v>
      </c>
      <c r="G154" s="346">
        <f>IF($D146&gt;$G146,0,INDEX('Impeller C &amp; Run Data'!$A$1:$KO$300,Sel_Fan_number,MATCH($F154,'Impeller C &amp; Run Data'!$A$16:$KO$16,0)))</f>
        <v>451.13078442860626</v>
      </c>
      <c r="H154" s="342" t="s">
        <v>203</v>
      </c>
      <c r="I154" s="347"/>
    </row>
    <row r="155" spans="1:9" ht="18" customHeight="1">
      <c r="A155" s="178" t="s">
        <v>1610</v>
      </c>
      <c r="B155" s="179"/>
      <c r="C155" s="179"/>
      <c r="D155" s="179">
        <f>IF($D146&gt;$G146,0,INDEX('Impeller C &amp; Run Data'!$A$1:$KO$300,Sel_Fan_number,MATCH($A155,'Impeller C &amp; Run Data'!$A$16:$KO$16,0)))</f>
        <v>16</v>
      </c>
      <c r="E155" s="184"/>
      <c r="F155" s="185" t="s">
        <v>989</v>
      </c>
      <c r="G155" s="179">
        <f>IF($D146&gt;$G146,0,INDEX('Impeller C &amp; Run Data'!$A$1:$KO$300,Sel_Fan_number,MATCH($F155,'Impeller C &amp; Run Data'!$A$16:$KO$16,0)+$I145))</f>
        <v>23.024185684144811</v>
      </c>
      <c r="H155" s="184" t="s">
        <v>309</v>
      </c>
      <c r="I155" s="181"/>
    </row>
    <row r="156" spans="1:9" ht="18" customHeight="1">
      <c r="A156" s="178" t="s">
        <v>1611</v>
      </c>
      <c r="B156" s="179"/>
      <c r="C156" s="179"/>
      <c r="D156" s="179">
        <f>IF($D146&gt;$G146,0,INDEX('Impeller C &amp; Run Data'!$A$1:$KO$300,Sel_Fan_number,MATCH($A156,'Impeller C &amp; Run Data'!$A$16:$KO$16,0)+$I145))</f>
        <v>4</v>
      </c>
      <c r="E156" s="184"/>
      <c r="F156" s="185" t="s">
        <v>287</v>
      </c>
      <c r="G156" s="179">
        <f>IF(D154=A145,IF(D156&lt;MAX(D150,G150),MAX(D150,G150),D156),D156)</f>
        <v>6</v>
      </c>
      <c r="H156" s="184" t="s">
        <v>203</v>
      </c>
      <c r="I156" s="181"/>
    </row>
    <row r="157" spans="1:9" ht="18" customHeight="1">
      <c r="A157" s="341" t="s">
        <v>1597</v>
      </c>
      <c r="B157" s="342"/>
      <c r="C157" s="342"/>
      <c r="D157" s="342">
        <f>IF($D146&gt;$G146,0,INDEX('Impeller C &amp; Run Data'!$A$1:$KO$300,Sel_Fan_number,MATCH($A157,'Impeller C &amp; Run Data'!$A$16:$KO$16,0)+$I145))</f>
        <v>0</v>
      </c>
      <c r="E157" s="342"/>
      <c r="F157" s="697"/>
      <c r="G157" s="342"/>
      <c r="H157" s="342"/>
      <c r="I157" s="347"/>
    </row>
    <row r="158" spans="1:9" ht="18" customHeight="1">
      <c r="A158" s="178" t="s">
        <v>1598</v>
      </c>
      <c r="B158" s="179"/>
      <c r="C158" s="179"/>
      <c r="D158" s="179">
        <f>IF($D146&gt;$G146,0,INDEX('Impeller C &amp; Run Data'!$A$1:$KO$300,Sel_Fan_number,MATCH($A158,'Impeller C &amp; Run Data'!$A$16:$KO$16,0)+$I145))</f>
        <v>0</v>
      </c>
      <c r="E158" s="184" t="s">
        <v>203</v>
      </c>
      <c r="F158" s="185" t="s">
        <v>1599</v>
      </c>
      <c r="G158" s="179">
        <f>IF($D146&gt;$G146,0,INDEX('Impeller C &amp; Run Data'!$A$1:$KO$300,Sel_Fan_number,MATCH($F158,'Impeller C &amp; Run Data'!$A$16:$KO$16,0)+$I145))</f>
        <v>0</v>
      </c>
      <c r="H158" s="179" t="s">
        <v>203</v>
      </c>
      <c r="I158" s="181"/>
    </row>
    <row r="159" spans="1:9" ht="18" customHeight="1">
      <c r="A159" s="178" t="s">
        <v>358</v>
      </c>
      <c r="B159" s="179"/>
      <c r="C159" s="179"/>
      <c r="D159" s="179">
        <f>IF(D157&lt;1,0,D147-G158)</f>
        <v>0</v>
      </c>
      <c r="E159" s="184" t="s">
        <v>203</v>
      </c>
      <c r="F159" s="185" t="s">
        <v>282</v>
      </c>
      <c r="G159" s="179">
        <f>IF(D157&lt;1,0,G147/(D157+1))</f>
        <v>0</v>
      </c>
      <c r="H159" s="179" t="s">
        <v>203</v>
      </c>
      <c r="I159" s="181"/>
    </row>
    <row r="160" spans="1:9" ht="18" customHeight="1">
      <c r="A160" s="178" t="s">
        <v>359</v>
      </c>
      <c r="B160" s="179"/>
      <c r="C160" s="179"/>
      <c r="D160" s="179">
        <f>IF(D157&lt;2,0,D159)</f>
        <v>0</v>
      </c>
      <c r="E160" s="184" t="s">
        <v>203</v>
      </c>
      <c r="F160" s="185" t="s">
        <v>283</v>
      </c>
      <c r="G160" s="179">
        <f>IF(D157&lt;2,0,2*G159)</f>
        <v>0</v>
      </c>
      <c r="H160" s="179" t="s">
        <v>203</v>
      </c>
      <c r="I160" s="181"/>
    </row>
    <row r="161" spans="1:9" ht="18" customHeight="1">
      <c r="A161" s="341" t="s">
        <v>1594</v>
      </c>
      <c r="B161" s="342"/>
      <c r="C161" s="342"/>
      <c r="D161" s="342">
        <f>IF($D146&gt;$G146,0,INDEX('Impeller C &amp; Run Data'!$A$1:$KO$300,Sel_Fan_number,MATCH($A161,'Impeller C &amp; Run Data'!$A$16:$KO$16,0)+$I145))</f>
        <v>0</v>
      </c>
      <c r="E161" s="342"/>
      <c r="F161" s="345"/>
      <c r="G161" s="346"/>
      <c r="H161" s="342"/>
      <c r="I161" s="347"/>
    </row>
    <row r="162" spans="1:9" ht="18" customHeight="1">
      <c r="A162" s="178" t="s">
        <v>1595</v>
      </c>
      <c r="B162" s="179"/>
      <c r="C162" s="179"/>
      <c r="D162" s="179">
        <f>IF($D146&gt;$G146,0,INDEX('Impeller C &amp; Run Data'!$A$1:$KO$300,Sel_Fan_number,MATCH($A162,'Impeller C &amp; Run Data'!$A$16:$KO$16,0)+$I145))</f>
        <v>0</v>
      </c>
      <c r="E162" s="184" t="s">
        <v>203</v>
      </c>
      <c r="F162" s="185" t="s">
        <v>1596</v>
      </c>
      <c r="G162" s="179">
        <f>IF($D146&gt;$G146,0,INDEX('Impeller C &amp; Run Data'!$A$1:$KO$300,Sel_Fan_number,MATCH($F162,'Impeller C &amp; Run Data'!$A$16:$KO$16,0)+$I145))</f>
        <v>0</v>
      </c>
      <c r="H162" s="184" t="s">
        <v>203</v>
      </c>
      <c r="I162" s="181"/>
    </row>
    <row r="163" spans="1:9" ht="18" customHeight="1">
      <c r="A163" s="178" t="s">
        <v>360</v>
      </c>
      <c r="B163" s="179"/>
      <c r="C163" s="179"/>
      <c r="D163" s="179">
        <f>IF(D161&lt;1,0,2*(D149/2+G163*(D148/2-D149/2)/(G148/2)))</f>
        <v>0</v>
      </c>
      <c r="E163" s="184" t="s">
        <v>203</v>
      </c>
      <c r="F163" s="185" t="s">
        <v>282</v>
      </c>
      <c r="G163" s="179">
        <f>IF(D161&lt;1,0,G148/(D161+1))</f>
        <v>0</v>
      </c>
      <c r="H163" s="184" t="s">
        <v>203</v>
      </c>
      <c r="I163" s="181"/>
    </row>
    <row r="164" spans="1:9" ht="18" customHeight="1" thickBot="1">
      <c r="A164" s="178" t="s">
        <v>1612</v>
      </c>
      <c r="B164" s="179"/>
      <c r="C164" s="179"/>
      <c r="D164" s="179">
        <f>IF(D161&lt;2,0,2*(D149/2+G164*(D148/2-D149/2)/(G148/2)))</f>
        <v>0</v>
      </c>
      <c r="E164" s="184" t="s">
        <v>203</v>
      </c>
      <c r="F164" s="185" t="s">
        <v>283</v>
      </c>
      <c r="G164" s="179">
        <f>IF(D161&lt;2,0,2*G163)</f>
        <v>0</v>
      </c>
      <c r="H164" s="184" t="s">
        <v>203</v>
      </c>
      <c r="I164" s="181"/>
    </row>
    <row r="165" spans="1:9" ht="18" customHeight="1">
      <c r="A165" s="1431" t="s">
        <v>1587</v>
      </c>
      <c r="B165" s="1432"/>
      <c r="C165" s="1432"/>
      <c r="D165" s="1432"/>
      <c r="E165" s="1432"/>
      <c r="F165" s="1432"/>
      <c r="G165" s="300" t="str">
        <f>$B$7</f>
        <v>REG</v>
      </c>
      <c r="H165" s="236"/>
      <c r="I165" s="355">
        <f>-MATCH("Steel, REG",'Impeller C &amp; Run Data'!$A$14:$KO$14,0)+MATCH($A165&amp;", "&amp;$G165,'Impeller C &amp; Run Data'!$A$14:$KO$14,0)</f>
        <v>152</v>
      </c>
    </row>
    <row r="166" spans="1:9" ht="18" customHeight="1">
      <c r="A166" s="296" t="s">
        <v>266</v>
      </c>
      <c r="B166" s="294"/>
      <c r="C166" s="294"/>
      <c r="D166" s="297">
        <f>$D$25</f>
        <v>1672.3774886767021</v>
      </c>
      <c r="E166" s="298" t="s">
        <v>135</v>
      </c>
      <c r="F166" s="294" t="s">
        <v>181</v>
      </c>
      <c r="G166" s="299">
        <f>INDEX('Impeller C &amp; Run Data'!$A$1:$KO$300,Sel_Fan_number,MATCH(F166,'Impeller C &amp; Run Data'!$A$16:$KO$16,0)+$I165)</f>
        <v>4000</v>
      </c>
      <c r="H166" s="294" t="s">
        <v>135</v>
      </c>
      <c r="I166" s="295"/>
    </row>
    <row r="167" spans="1:9" ht="18" customHeight="1">
      <c r="A167" s="178" t="s">
        <v>213</v>
      </c>
      <c r="B167" s="179"/>
      <c r="C167" s="179"/>
      <c r="D167" s="179">
        <f>IF($D166&gt;$G166,0,IF($G165=0,0,d_2))</f>
        <v>1062</v>
      </c>
      <c r="E167" s="179" t="s">
        <v>203</v>
      </c>
      <c r="F167" s="180" t="s">
        <v>223</v>
      </c>
      <c r="G167" s="179">
        <f>IF($D166&gt;$G166,0,INDEX('Impeller C &amp; Run Data'!$A$1:$KO$300,Sel_Fan_number,MATCH($F167,'Impeller C &amp; Run Data'!$A$16:$KO$16,0)))</f>
        <v>82.113490607440696</v>
      </c>
      <c r="H167" s="179" t="s">
        <v>203</v>
      </c>
      <c r="I167" s="181"/>
    </row>
    <row r="168" spans="1:9" ht="18" customHeight="1">
      <c r="A168" s="183" t="s">
        <v>224</v>
      </c>
      <c r="B168" s="184"/>
      <c r="C168" s="184"/>
      <c r="D168" s="179">
        <f>IF($D166&gt;$G166,0,INDEX('Impeller C &amp; Run Data'!$A$1:$KO$300,Sel_Fan_number,MATCH($A168,'Impeller C &amp; Run Data'!$A$16:$KO$16,0)))</f>
        <v>340.45340501926489</v>
      </c>
      <c r="E168" s="184" t="s">
        <v>203</v>
      </c>
      <c r="F168" s="180" t="s">
        <v>566</v>
      </c>
      <c r="G168" s="179">
        <f>IF($D166&gt;$G166,0,INDEX('Impeller C &amp; Run Data'!$A$1:$KO$300,Sel_Fan_number,MATCH($F168,'Impeller C &amp; Run Data'!$A$16:$KO$16,0)))</f>
        <v>121.05772560645465</v>
      </c>
      <c r="H168" s="179" t="s">
        <v>203</v>
      </c>
      <c r="I168" s="181"/>
    </row>
    <row r="169" spans="1:9" ht="18" customHeight="1">
      <c r="A169" s="183" t="s">
        <v>281</v>
      </c>
      <c r="B169" s="184"/>
      <c r="C169" s="184"/>
      <c r="D169" s="179">
        <f>IF($D166&gt;$G166,0,INDEX('Impeller C &amp; Run Data'!$A$1:$KO$300,Sel_Fan_number,MATCH($A169,'Impeller C &amp; Run Data'!$A$16:$KO$16,0)))</f>
        <v>269.53958135968043</v>
      </c>
      <c r="E169" s="184" t="s">
        <v>203</v>
      </c>
      <c r="F169" s="185"/>
      <c r="G169" s="182"/>
      <c r="H169" s="179"/>
      <c r="I169" s="181"/>
    </row>
    <row r="170" spans="1:9" ht="18" customHeight="1">
      <c r="A170" s="183" t="s">
        <v>221</v>
      </c>
      <c r="B170" s="179"/>
      <c r="C170" s="179"/>
      <c r="D170" s="179">
        <f>IF($D166&gt;$G166,0,INDEX('Impeller C &amp; Run Data'!$A$1:$KO$300,Sel_Fan_number,MATCH($A170,'Impeller C &amp; Run Data'!$A$16:$KO$16,0)))</f>
        <v>6</v>
      </c>
      <c r="E170" s="179" t="s">
        <v>203</v>
      </c>
      <c r="F170" s="185" t="s">
        <v>222</v>
      </c>
      <c r="G170" s="179">
        <f>IF($D166&gt;$G166,0,INDEX('Impeller C &amp; Run Data'!$A$1:$KO$300,Sel_Fan_number,MATCH($F170,'Impeller C &amp; Run Data'!$A$16:$KO$16,0)))</f>
        <v>6</v>
      </c>
      <c r="H170" s="179" t="s">
        <v>203</v>
      </c>
      <c r="I170" s="181"/>
    </row>
    <row r="171" spans="1:9" ht="18" customHeight="1">
      <c r="A171" s="183" t="s">
        <v>706</v>
      </c>
      <c r="B171" s="179"/>
      <c r="C171" s="179"/>
      <c r="D171" s="179">
        <f>IF($D166&gt;$G166,0,INDEX('Impeller C &amp; Run Data'!$A$1:$KO$300,Sel_Fan_number,MATCH($A171,'Impeller C &amp; Run Data'!$A$16:$KO$16,0)))</f>
        <v>18.000000000000004</v>
      </c>
      <c r="E171" s="179" t="s">
        <v>203</v>
      </c>
      <c r="F171" s="185" t="s">
        <v>707</v>
      </c>
      <c r="G171" s="179">
        <f>IF($D166&gt;$G166,0,INDEX('Impeller C &amp; Run Data'!$A$1:$KO$300,Sel_Fan_number,MATCH($F171,'Impeller C &amp; Run Data'!$A$16:$KO$16,0)))</f>
        <v>665.68553221639513</v>
      </c>
      <c r="H171" s="179" t="s">
        <v>203</v>
      </c>
      <c r="I171" s="181"/>
    </row>
    <row r="172" spans="1:9" ht="18" customHeight="1">
      <c r="A172" s="183" t="s">
        <v>284</v>
      </c>
      <c r="B172" s="179"/>
      <c r="C172" s="179"/>
      <c r="D172" s="179">
        <f>IF($D166&gt;$G166,0,INDEX('Impeller C &amp; Run Data'!$A$1:$KO$300,Sel_Fan_number,MATCH($A172,'Impeller C &amp; Run Data'!$A$16:$KO$16,0)))</f>
        <v>0</v>
      </c>
      <c r="E172" s="179" t="s">
        <v>203</v>
      </c>
      <c r="F172" s="185" t="s">
        <v>285</v>
      </c>
      <c r="G172" s="179">
        <f>IF($D166&gt;$G166,0,INDEX('Impeller C &amp; Run Data'!$A$1:$KO$300,Sel_Fan_number,MATCH($F172,'Impeller C &amp; Run Data'!$A$16:$KO$16,0)))</f>
        <v>0</v>
      </c>
      <c r="H172" s="179" t="s">
        <v>203</v>
      </c>
      <c r="I172" s="181"/>
    </row>
    <row r="173" spans="1:9" ht="18" customHeight="1">
      <c r="A173" s="337" t="s">
        <v>286</v>
      </c>
      <c r="B173" s="338"/>
      <c r="C173" s="338"/>
      <c r="D173" s="338">
        <f>IF($D166&gt;$G166,0,INDEX('Impeller C &amp; Run Data'!$A$1:$KO$300,Sel_Fan_number,MATCH($A173,'Impeller C &amp; Run Data'!$A$16:$KO$16,0)))</f>
        <v>0</v>
      </c>
      <c r="E173" s="338" t="s">
        <v>203</v>
      </c>
      <c r="F173" s="339"/>
      <c r="G173" s="338"/>
      <c r="H173" s="338"/>
      <c r="I173" s="340"/>
    </row>
    <row r="174" spans="1:9" ht="18" customHeight="1">
      <c r="A174" s="341" t="s">
        <v>778</v>
      </c>
      <c r="B174" s="342"/>
      <c r="C174" s="342"/>
      <c r="D174" s="343" t="str">
        <f>INDEX('Impeller C &amp; Run Data'!$A$1:$KO$300,Sel_Fan_number,MATCH($A174,'Impeller C &amp; Run Data'!$A$16:$KO$16,0)+$I165)</f>
        <v>AISI2205</v>
      </c>
      <c r="E174" s="344"/>
      <c r="F174" s="345" t="s">
        <v>705</v>
      </c>
      <c r="G174" s="346">
        <f>IF($D166&gt;$G166,0,INDEX('Impeller C &amp; Run Data'!$A$1:$KO$300,Sel_Fan_number,MATCH($F174,'Impeller C &amp; Run Data'!$A$16:$KO$16,0)))</f>
        <v>451.13078442860626</v>
      </c>
      <c r="H174" s="342" t="s">
        <v>203</v>
      </c>
      <c r="I174" s="347"/>
    </row>
    <row r="175" spans="1:9" ht="18" customHeight="1">
      <c r="A175" s="178" t="s">
        <v>1610</v>
      </c>
      <c r="B175" s="179"/>
      <c r="C175" s="179"/>
      <c r="D175" s="179">
        <f>IF($D166&gt;$G166,0,INDEX('Impeller C &amp; Run Data'!$A$1:$KO$300,Sel_Fan_number,MATCH($A175,'Impeller C &amp; Run Data'!$A$16:$KO$16,0)))</f>
        <v>16</v>
      </c>
      <c r="E175" s="184"/>
      <c r="F175" s="185" t="s">
        <v>989</v>
      </c>
      <c r="G175" s="179">
        <f>IF($D166&gt;$G166,0,INDEX('Impeller C &amp; Run Data'!$A$1:$KO$300,Sel_Fan_number,MATCH($F175,'Impeller C &amp; Run Data'!$A$16:$KO$16,0)+$I165))</f>
        <v>23.024185684144811</v>
      </c>
      <c r="H175" s="184" t="s">
        <v>309</v>
      </c>
      <c r="I175" s="181"/>
    </row>
    <row r="176" spans="1:9" ht="18" customHeight="1">
      <c r="A176" s="178" t="s">
        <v>1611</v>
      </c>
      <c r="B176" s="179"/>
      <c r="C176" s="179"/>
      <c r="D176" s="179">
        <f>IF($D166&gt;$G166,0,INDEX('Impeller C &amp; Run Data'!$A$1:$KO$300,Sel_Fan_number,MATCH($A176,'Impeller C &amp; Run Data'!$A$16:$KO$16,0)+$I165))</f>
        <v>4</v>
      </c>
      <c r="E176" s="184"/>
      <c r="F176" s="185" t="s">
        <v>287</v>
      </c>
      <c r="G176" s="179">
        <f>IF(D174=A165,IF(D176&lt;MAX(D170,G170),MAX(D170,G170),D176),D176)</f>
        <v>6</v>
      </c>
      <c r="H176" s="184" t="s">
        <v>203</v>
      </c>
      <c r="I176" s="181"/>
    </row>
    <row r="177" spans="1:9" ht="18" customHeight="1">
      <c r="A177" s="341" t="s">
        <v>1597</v>
      </c>
      <c r="B177" s="342"/>
      <c r="C177" s="342"/>
      <c r="D177" s="342">
        <f>IF($D166&gt;$G166,0,INDEX('Impeller C &amp; Run Data'!$A$1:$KO$300,Sel_Fan_number,MATCH($A177,'Impeller C &amp; Run Data'!$A$16:$KO$16,0)+$I165))</f>
        <v>0</v>
      </c>
      <c r="E177" s="342"/>
      <c r="F177" s="697"/>
      <c r="G177" s="342"/>
      <c r="H177" s="342"/>
      <c r="I177" s="347"/>
    </row>
    <row r="178" spans="1:9" ht="18" customHeight="1">
      <c r="A178" s="178" t="s">
        <v>1598</v>
      </c>
      <c r="B178" s="179"/>
      <c r="C178" s="179"/>
      <c r="D178" s="179">
        <f>IF($D166&gt;$G166,0,INDEX('Impeller C &amp; Run Data'!$A$1:$KO$300,Sel_Fan_number,MATCH($A178,'Impeller C &amp; Run Data'!$A$16:$KO$16,0)+$I165))</f>
        <v>0</v>
      </c>
      <c r="E178" s="184" t="s">
        <v>203</v>
      </c>
      <c r="F178" s="185" t="s">
        <v>1599</v>
      </c>
      <c r="G178" s="179">
        <f>IF($D166&gt;$G166,0,INDEX('Impeller C &amp; Run Data'!$A$1:$KO$300,Sel_Fan_number,MATCH($F178,'Impeller C &amp; Run Data'!$A$16:$KO$16,0)+$I165))</f>
        <v>0</v>
      </c>
      <c r="H178" s="179" t="s">
        <v>203</v>
      </c>
      <c r="I178" s="181"/>
    </row>
    <row r="179" spans="1:9" ht="18" customHeight="1">
      <c r="A179" s="178" t="s">
        <v>358</v>
      </c>
      <c r="B179" s="179"/>
      <c r="C179" s="179"/>
      <c r="D179" s="179">
        <f>IF(D177&lt;1,0,D167-G178)</f>
        <v>0</v>
      </c>
      <c r="E179" s="184" t="s">
        <v>203</v>
      </c>
      <c r="F179" s="185" t="s">
        <v>282</v>
      </c>
      <c r="G179" s="179">
        <f>IF(D177&lt;1,0,G167/(D177+1))</f>
        <v>0</v>
      </c>
      <c r="H179" s="179" t="s">
        <v>203</v>
      </c>
      <c r="I179" s="181"/>
    </row>
    <row r="180" spans="1:9" ht="18" customHeight="1">
      <c r="A180" s="178" t="s">
        <v>359</v>
      </c>
      <c r="B180" s="179"/>
      <c r="C180" s="179"/>
      <c r="D180" s="179">
        <f>IF(D177&lt;2,0,D179)</f>
        <v>0</v>
      </c>
      <c r="E180" s="184" t="s">
        <v>203</v>
      </c>
      <c r="F180" s="185" t="s">
        <v>283</v>
      </c>
      <c r="G180" s="179">
        <f>IF(D177&lt;2,0,2*G179)</f>
        <v>0</v>
      </c>
      <c r="H180" s="179" t="s">
        <v>203</v>
      </c>
      <c r="I180" s="181"/>
    </row>
    <row r="181" spans="1:9" ht="18" customHeight="1">
      <c r="A181" s="341" t="s">
        <v>1594</v>
      </c>
      <c r="B181" s="342"/>
      <c r="C181" s="342"/>
      <c r="D181" s="342">
        <f>IF($D166&gt;$G166,0,INDEX('Impeller C &amp; Run Data'!$A$1:$KO$300,Sel_Fan_number,MATCH($A181,'Impeller C &amp; Run Data'!$A$16:$KO$16,0)+$I165))</f>
        <v>0</v>
      </c>
      <c r="E181" s="342"/>
      <c r="F181" s="345"/>
      <c r="G181" s="346"/>
      <c r="H181" s="342"/>
      <c r="I181" s="347"/>
    </row>
    <row r="182" spans="1:9" ht="18" customHeight="1">
      <c r="A182" s="178" t="s">
        <v>1595</v>
      </c>
      <c r="B182" s="179"/>
      <c r="C182" s="179"/>
      <c r="D182" s="179">
        <f>IF($D166&gt;$G166,0,INDEX('Impeller C &amp; Run Data'!$A$1:$KO$300,Sel_Fan_number,MATCH($A182,'Impeller C &amp; Run Data'!$A$16:$KO$16,0)+$I165))</f>
        <v>0</v>
      </c>
      <c r="E182" s="184" t="s">
        <v>203</v>
      </c>
      <c r="F182" s="185" t="s">
        <v>1596</v>
      </c>
      <c r="G182" s="179">
        <f>IF($D166&gt;$G166,0,INDEX('Impeller C &amp; Run Data'!$A$1:$KO$300,Sel_Fan_number,MATCH($F182,'Impeller C &amp; Run Data'!$A$16:$KO$16,0)+$I165))</f>
        <v>0</v>
      </c>
      <c r="H182" s="184" t="s">
        <v>203</v>
      </c>
      <c r="I182" s="181"/>
    </row>
    <row r="183" spans="1:9" ht="18" customHeight="1">
      <c r="A183" s="178" t="s">
        <v>360</v>
      </c>
      <c r="B183" s="179"/>
      <c r="C183" s="179"/>
      <c r="D183" s="179">
        <f>IF(D181&lt;1,0,2*(D169/2+G183*(D168/2-D169/2)/(G168/2)))</f>
        <v>0</v>
      </c>
      <c r="E183" s="184" t="s">
        <v>203</v>
      </c>
      <c r="F183" s="185" t="s">
        <v>282</v>
      </c>
      <c r="G183" s="179">
        <f>IF(D181&lt;1,0,G168/(D181+1))</f>
        <v>0</v>
      </c>
      <c r="H183" s="184" t="s">
        <v>203</v>
      </c>
      <c r="I183" s="181"/>
    </row>
    <row r="184" spans="1:9" ht="18" customHeight="1" thickBot="1">
      <c r="A184" s="178" t="s">
        <v>1612</v>
      </c>
      <c r="B184" s="179"/>
      <c r="C184" s="179"/>
      <c r="D184" s="179">
        <f>IF(D181&lt;2,0,2*(D169/2+G184*(D168/2-D169/2)/(G168/2)))</f>
        <v>0</v>
      </c>
      <c r="E184" s="184" t="s">
        <v>203</v>
      </c>
      <c r="F184" s="185" t="s">
        <v>283</v>
      </c>
      <c r="G184" s="179">
        <f>IF(D181&lt;2,0,2*G183)</f>
        <v>0</v>
      </c>
      <c r="H184" s="184" t="s">
        <v>203</v>
      </c>
      <c r="I184" s="181"/>
    </row>
    <row r="185" spans="1:9" ht="18" customHeight="1">
      <c r="A185" s="1431" t="s">
        <v>68</v>
      </c>
      <c r="B185" s="1432"/>
      <c r="C185" s="1432"/>
      <c r="D185" s="1432"/>
      <c r="E185" s="1432"/>
      <c r="F185" s="1432"/>
      <c r="G185" s="300" t="str">
        <f>$B$7</f>
        <v>REG</v>
      </c>
      <c r="H185" s="236"/>
      <c r="I185" s="355">
        <f>-MATCH("Steel, REG",'Impeller C &amp; Run Data'!$A$14:$KO$14,0)+MATCH($A185&amp;", "&amp;$G185,'Impeller C &amp; Run Data'!$A$14:$KO$14,0)</f>
        <v>190</v>
      </c>
    </row>
    <row r="186" spans="1:9" ht="18" customHeight="1">
      <c r="A186" s="296" t="s">
        <v>266</v>
      </c>
      <c r="B186" s="294"/>
      <c r="C186" s="294"/>
      <c r="D186" s="297">
        <f>$D$25</f>
        <v>1672.3774886767021</v>
      </c>
      <c r="E186" s="298" t="s">
        <v>135</v>
      </c>
      <c r="F186" s="294" t="s">
        <v>181</v>
      </c>
      <c r="G186" s="299">
        <f>INDEX('Impeller C &amp; Run Data'!$A$1:$KO$300,Sel_Fan_number,MATCH(F186,'Impeller C &amp; Run Data'!$A$16:$KO$16,0)+$I185)</f>
        <v>4000</v>
      </c>
      <c r="H186" s="294" t="s">
        <v>135</v>
      </c>
      <c r="I186" s="295"/>
    </row>
    <row r="187" spans="1:9" ht="18" customHeight="1">
      <c r="A187" s="178" t="s">
        <v>213</v>
      </c>
      <c r="B187" s="179"/>
      <c r="C187" s="179"/>
      <c r="D187" s="179">
        <f>IF($D186&gt;$G186,0,IF($G185=0,0,d_2))</f>
        <v>1062</v>
      </c>
      <c r="E187" s="179" t="s">
        <v>203</v>
      </c>
      <c r="F187" s="180" t="s">
        <v>223</v>
      </c>
      <c r="G187" s="179">
        <f>IF($D186&gt;$G186,0,INDEX('Impeller C &amp; Run Data'!$A$1:$KO$300,Sel_Fan_number,MATCH($F187,'Impeller C &amp; Run Data'!$A$16:$KO$16,0)))</f>
        <v>82.113490607440696</v>
      </c>
      <c r="H187" s="179" t="s">
        <v>203</v>
      </c>
      <c r="I187" s="181"/>
    </row>
    <row r="188" spans="1:9" ht="18" customHeight="1">
      <c r="A188" s="183" t="s">
        <v>224</v>
      </c>
      <c r="B188" s="184"/>
      <c r="C188" s="184"/>
      <c r="D188" s="179">
        <f>IF($D186&gt;$G186,0,INDEX('Impeller C &amp; Run Data'!$A$1:$KO$300,Sel_Fan_number,MATCH($A188,'Impeller C &amp; Run Data'!$A$16:$KO$16,0)))</f>
        <v>340.45340501926489</v>
      </c>
      <c r="E188" s="184" t="s">
        <v>203</v>
      </c>
      <c r="F188" s="180" t="s">
        <v>566</v>
      </c>
      <c r="G188" s="179">
        <f>IF($D186&gt;$G186,0,INDEX('Impeller C &amp; Run Data'!$A$1:$KO$300,Sel_Fan_number,MATCH($F188,'Impeller C &amp; Run Data'!$A$16:$KO$16,0)))</f>
        <v>121.05772560645465</v>
      </c>
      <c r="H188" s="179" t="s">
        <v>203</v>
      </c>
      <c r="I188" s="181"/>
    </row>
    <row r="189" spans="1:9" ht="18" customHeight="1">
      <c r="A189" s="183" t="s">
        <v>281</v>
      </c>
      <c r="B189" s="184"/>
      <c r="C189" s="184"/>
      <c r="D189" s="179">
        <f>IF($D186&gt;$G186,0,INDEX('Impeller C &amp; Run Data'!$A$1:$KO$300,Sel_Fan_number,MATCH($A189,'Impeller C &amp; Run Data'!$A$16:$KO$16,0)))</f>
        <v>269.53958135968043</v>
      </c>
      <c r="E189" s="184" t="s">
        <v>203</v>
      </c>
      <c r="F189" s="185"/>
      <c r="G189" s="182"/>
      <c r="H189" s="179"/>
      <c r="I189" s="181"/>
    </row>
    <row r="190" spans="1:9" ht="18" customHeight="1">
      <c r="A190" s="183" t="s">
        <v>221</v>
      </c>
      <c r="B190" s="179"/>
      <c r="C190" s="179"/>
      <c r="D190" s="179">
        <f>IF($D186&gt;$G186,0,INDEX('Impeller C &amp; Run Data'!$A$1:$KO$300,Sel_Fan_number,MATCH($A190,'Impeller C &amp; Run Data'!$A$16:$KO$16,0)))</f>
        <v>6</v>
      </c>
      <c r="E190" s="179" t="s">
        <v>203</v>
      </c>
      <c r="F190" s="185" t="s">
        <v>222</v>
      </c>
      <c r="G190" s="179">
        <f>IF($D186&gt;$G186,0,INDEX('Impeller C &amp; Run Data'!$A$1:$KO$300,Sel_Fan_number,MATCH($F190,'Impeller C &amp; Run Data'!$A$16:$KO$16,0)))</f>
        <v>6</v>
      </c>
      <c r="H190" s="179" t="s">
        <v>203</v>
      </c>
      <c r="I190" s="181"/>
    </row>
    <row r="191" spans="1:9" ht="18" customHeight="1">
      <c r="A191" s="183" t="s">
        <v>706</v>
      </c>
      <c r="B191" s="179"/>
      <c r="C191" s="179"/>
      <c r="D191" s="179">
        <f>IF($D186&gt;$G186,0,INDEX('Impeller C &amp; Run Data'!$A$1:$KO$300,Sel_Fan_number,MATCH($A191,'Impeller C &amp; Run Data'!$A$16:$KO$16,0)))</f>
        <v>18.000000000000004</v>
      </c>
      <c r="E191" s="179" t="s">
        <v>203</v>
      </c>
      <c r="F191" s="185" t="s">
        <v>707</v>
      </c>
      <c r="G191" s="179">
        <f>IF($D186&gt;$G186,0,INDEX('Impeller C &amp; Run Data'!$A$1:$KO$300,Sel_Fan_number,MATCH($F191,'Impeller C &amp; Run Data'!$A$16:$KO$16,0)))</f>
        <v>665.68553221639513</v>
      </c>
      <c r="H191" s="179" t="s">
        <v>203</v>
      </c>
      <c r="I191" s="181"/>
    </row>
    <row r="192" spans="1:9" ht="18" customHeight="1">
      <c r="A192" s="183" t="s">
        <v>284</v>
      </c>
      <c r="B192" s="179"/>
      <c r="C192" s="179"/>
      <c r="D192" s="179">
        <f>IF($D186&gt;$G186,0,INDEX('Impeller C &amp; Run Data'!$A$1:$KO$300,Sel_Fan_number,MATCH($A192,'Impeller C &amp; Run Data'!$A$16:$KO$16,0)))</f>
        <v>0</v>
      </c>
      <c r="E192" s="179" t="s">
        <v>203</v>
      </c>
      <c r="F192" s="185" t="s">
        <v>285</v>
      </c>
      <c r="G192" s="179">
        <f>IF($D186&gt;$G186,0,INDEX('Impeller C &amp; Run Data'!$A$1:$KO$300,Sel_Fan_number,MATCH($F192,'Impeller C &amp; Run Data'!$A$16:$KO$16,0)))</f>
        <v>0</v>
      </c>
      <c r="H192" s="179" t="s">
        <v>203</v>
      </c>
      <c r="I192" s="181"/>
    </row>
    <row r="193" spans="1:9" ht="18" customHeight="1">
      <c r="A193" s="337" t="s">
        <v>286</v>
      </c>
      <c r="B193" s="338"/>
      <c r="C193" s="338"/>
      <c r="D193" s="338">
        <f>IF($D186&gt;$G186,0,INDEX('Impeller C &amp; Run Data'!$A$1:$KO$300,Sel_Fan_number,MATCH($A193,'Impeller C &amp; Run Data'!$A$16:$KO$16,0)))</f>
        <v>0</v>
      </c>
      <c r="E193" s="338" t="s">
        <v>203</v>
      </c>
      <c r="F193" s="339"/>
      <c r="G193" s="338"/>
      <c r="H193" s="338"/>
      <c r="I193" s="340"/>
    </row>
    <row r="194" spans="1:9" ht="18" customHeight="1">
      <c r="A194" s="341" t="s">
        <v>778</v>
      </c>
      <c r="B194" s="342"/>
      <c r="C194" s="342"/>
      <c r="D194" s="343" t="str">
        <f>INDEX('Impeller C &amp; Run Data'!$A$1:$KO$300,Sel_Fan_number,MATCH($A194,'Impeller C &amp; Run Data'!$A$16:$KO$16,0)+$I185)</f>
        <v>CORTEN</v>
      </c>
      <c r="E194" s="344"/>
      <c r="F194" s="345" t="s">
        <v>705</v>
      </c>
      <c r="G194" s="346">
        <f>IF($D186&gt;$G186,0,INDEX('Impeller C &amp; Run Data'!$A$1:$KO$300,Sel_Fan_number,MATCH($F194,'Impeller C &amp; Run Data'!$A$16:$KO$16,0)))</f>
        <v>451.13078442860626</v>
      </c>
      <c r="H194" s="342" t="s">
        <v>203</v>
      </c>
      <c r="I194" s="347"/>
    </row>
    <row r="195" spans="1:9" ht="18" customHeight="1">
      <c r="A195" s="178" t="s">
        <v>1610</v>
      </c>
      <c r="B195" s="179"/>
      <c r="C195" s="179"/>
      <c r="D195" s="179">
        <f>IF($D186&gt;$G186,0,INDEX('Impeller C &amp; Run Data'!$A$1:$KO$300,Sel_Fan_number,MATCH($A195,'Impeller C &amp; Run Data'!$A$16:$KO$16,0)))</f>
        <v>16</v>
      </c>
      <c r="E195" s="184"/>
      <c r="F195" s="185" t="s">
        <v>989</v>
      </c>
      <c r="G195" s="179">
        <f>IF($D186&gt;$G186,0,INDEX('Impeller C &amp; Run Data'!$A$1:$KO$300,Sel_Fan_number,MATCH($F195,'Impeller C &amp; Run Data'!$A$16:$KO$16,0)+$I185))</f>
        <v>23.024185684144811</v>
      </c>
      <c r="H195" s="184" t="s">
        <v>309</v>
      </c>
      <c r="I195" s="181"/>
    </row>
    <row r="196" spans="1:9" ht="18" customHeight="1">
      <c r="A196" s="178" t="s">
        <v>1611</v>
      </c>
      <c r="B196" s="179"/>
      <c r="C196" s="179"/>
      <c r="D196" s="179">
        <f>IF($D186&gt;$G186,0,INDEX('Impeller C &amp; Run Data'!$A$1:$KO$300,Sel_Fan_number,MATCH($A196,'Impeller C &amp; Run Data'!$A$16:$KO$16,0)+$I185))</f>
        <v>4</v>
      </c>
      <c r="E196" s="184"/>
      <c r="F196" s="185" t="s">
        <v>287</v>
      </c>
      <c r="G196" s="179">
        <f>IF(D194=A185,IF(D196&lt;MAX(D190,G190),MAX(D190,G190),D196),D196)</f>
        <v>6</v>
      </c>
      <c r="H196" s="184" t="s">
        <v>203</v>
      </c>
      <c r="I196" s="181"/>
    </row>
    <row r="197" spans="1:9" ht="18" customHeight="1">
      <c r="A197" s="341" t="s">
        <v>1597</v>
      </c>
      <c r="B197" s="342"/>
      <c r="C197" s="342"/>
      <c r="D197" s="342">
        <f>IF($D186&gt;$G186,0,INDEX('Impeller C &amp; Run Data'!$A$1:$KO$300,Sel_Fan_number,MATCH($A197,'Impeller C &amp; Run Data'!$A$16:$KO$16,0)+$I185))</f>
        <v>0</v>
      </c>
      <c r="E197" s="342"/>
      <c r="F197" s="697"/>
      <c r="G197" s="342"/>
      <c r="H197" s="342"/>
      <c r="I197" s="347"/>
    </row>
    <row r="198" spans="1:9" ht="18" customHeight="1">
      <c r="A198" s="178" t="s">
        <v>1598</v>
      </c>
      <c r="B198" s="179"/>
      <c r="C198" s="179"/>
      <c r="D198" s="179">
        <f>IF($D186&gt;$G186,0,INDEX('Impeller C &amp; Run Data'!$A$1:$KO$300,Sel_Fan_number,MATCH($A198,'Impeller C &amp; Run Data'!$A$16:$KO$16,0)+$I185))</f>
        <v>0</v>
      </c>
      <c r="E198" s="184" t="s">
        <v>203</v>
      </c>
      <c r="F198" s="185" t="s">
        <v>1599</v>
      </c>
      <c r="G198" s="179">
        <f>IF($D186&gt;$G186,0,INDEX('Impeller C &amp; Run Data'!$A$1:$KO$300,Sel_Fan_number,MATCH($F198,'Impeller C &amp; Run Data'!$A$16:$KO$16,0)+$I185))</f>
        <v>0</v>
      </c>
      <c r="H198" s="179" t="s">
        <v>203</v>
      </c>
      <c r="I198" s="181"/>
    </row>
    <row r="199" spans="1:9" ht="18" customHeight="1">
      <c r="A199" s="178" t="s">
        <v>358</v>
      </c>
      <c r="B199" s="179"/>
      <c r="C199" s="179"/>
      <c r="D199" s="179">
        <f>IF(D197&lt;1,0,D187-G198)</f>
        <v>0</v>
      </c>
      <c r="E199" s="184" t="s">
        <v>203</v>
      </c>
      <c r="F199" s="185" t="s">
        <v>282</v>
      </c>
      <c r="G199" s="179">
        <f>IF(D197&lt;1,0,G187/(D197+1))</f>
        <v>0</v>
      </c>
      <c r="H199" s="179" t="s">
        <v>203</v>
      </c>
      <c r="I199" s="181"/>
    </row>
    <row r="200" spans="1:9" ht="18" customHeight="1">
      <c r="A200" s="178" t="s">
        <v>359</v>
      </c>
      <c r="B200" s="179"/>
      <c r="C200" s="179"/>
      <c r="D200" s="179">
        <f>IF(D197&lt;2,0,D199)</f>
        <v>0</v>
      </c>
      <c r="E200" s="184" t="s">
        <v>203</v>
      </c>
      <c r="F200" s="185" t="s">
        <v>283</v>
      </c>
      <c r="G200" s="179">
        <f>IF(D197&lt;2,0,2*G199)</f>
        <v>0</v>
      </c>
      <c r="H200" s="179" t="s">
        <v>203</v>
      </c>
      <c r="I200" s="181"/>
    </row>
    <row r="201" spans="1:9" ht="18" customHeight="1">
      <c r="A201" s="341" t="s">
        <v>1594</v>
      </c>
      <c r="B201" s="342"/>
      <c r="C201" s="342"/>
      <c r="D201" s="342">
        <f>IF($D186&gt;$G186,0,INDEX('Impeller C &amp; Run Data'!$A$1:$KO$300,Sel_Fan_number,MATCH($A201,'Impeller C &amp; Run Data'!$A$16:$KO$16,0)+$I185))</f>
        <v>0</v>
      </c>
      <c r="E201" s="342"/>
      <c r="F201" s="345"/>
      <c r="G201" s="346"/>
      <c r="H201" s="342"/>
      <c r="I201" s="347"/>
    </row>
    <row r="202" spans="1:9" ht="18" customHeight="1">
      <c r="A202" s="178" t="s">
        <v>1595</v>
      </c>
      <c r="B202" s="179"/>
      <c r="C202" s="179"/>
      <c r="D202" s="179">
        <f>IF($D186&gt;$G186,0,INDEX('Impeller C &amp; Run Data'!$A$1:$KO$300,Sel_Fan_number,MATCH($A202,'Impeller C &amp; Run Data'!$A$16:$KO$16,0)+$I185))</f>
        <v>0</v>
      </c>
      <c r="E202" s="184" t="s">
        <v>203</v>
      </c>
      <c r="F202" s="185" t="s">
        <v>1596</v>
      </c>
      <c r="G202" s="179">
        <f>IF($D186&gt;$G186,0,INDEX('Impeller C &amp; Run Data'!$A$1:$KO$300,Sel_Fan_number,MATCH($F202,'Impeller C &amp; Run Data'!$A$16:$KO$16,0)+$I185))</f>
        <v>0</v>
      </c>
      <c r="H202" s="184" t="s">
        <v>203</v>
      </c>
      <c r="I202" s="181"/>
    </row>
    <row r="203" spans="1:9" ht="18" customHeight="1">
      <c r="A203" s="178" t="s">
        <v>360</v>
      </c>
      <c r="B203" s="179"/>
      <c r="C203" s="179"/>
      <c r="D203" s="179">
        <f>IF(D201&lt;1,0,2*(D189/2+G203*(D188/2-D189/2)/(G188/2)))</f>
        <v>0</v>
      </c>
      <c r="E203" s="184" t="s">
        <v>203</v>
      </c>
      <c r="F203" s="185" t="s">
        <v>282</v>
      </c>
      <c r="G203" s="179">
        <f>IF(D201&lt;1,0,G188/(D201+1))</f>
        <v>0</v>
      </c>
      <c r="H203" s="184" t="s">
        <v>203</v>
      </c>
      <c r="I203" s="181"/>
    </row>
    <row r="204" spans="1:9" ht="18" customHeight="1" thickBot="1">
      <c r="A204" s="178" t="s">
        <v>1612</v>
      </c>
      <c r="B204" s="179"/>
      <c r="C204" s="179"/>
      <c r="D204" s="179">
        <f>IF(D201&lt;2,0,2*(D189/2+G204*(D188/2-D189/2)/(G188/2)))</f>
        <v>0</v>
      </c>
      <c r="E204" s="184" t="s">
        <v>203</v>
      </c>
      <c r="F204" s="185" t="s">
        <v>283</v>
      </c>
      <c r="G204" s="179">
        <f>IF(D201&lt;2,0,2*G203)</f>
        <v>0</v>
      </c>
      <c r="H204" s="184" t="s">
        <v>203</v>
      </c>
      <c r="I204" s="181"/>
    </row>
    <row r="205" spans="1:9" ht="18" customHeight="1">
      <c r="A205" s="1431" t="s">
        <v>67</v>
      </c>
      <c r="B205" s="1432"/>
      <c r="C205" s="1432"/>
      <c r="D205" s="1432"/>
      <c r="E205" s="1432"/>
      <c r="F205" s="1432"/>
      <c r="G205" s="300" t="str">
        <f>$B$7</f>
        <v>REG</v>
      </c>
      <c r="H205" s="236"/>
      <c r="I205" s="355">
        <f>-MATCH("Steel, REG",'Impeller C &amp; Run Data'!$A$14:$KO$14,0)+MATCH($A205&amp;", "&amp;$G205,'Impeller C &amp; Run Data'!$A$14:$KO$14,0)</f>
        <v>228</v>
      </c>
    </row>
    <row r="206" spans="1:9" ht="18" customHeight="1">
      <c r="A206" s="296" t="s">
        <v>266</v>
      </c>
      <c r="B206" s="294"/>
      <c r="C206" s="294"/>
      <c r="D206" s="297">
        <f>$D$25</f>
        <v>1672.3774886767021</v>
      </c>
      <c r="E206" s="298" t="s">
        <v>135</v>
      </c>
      <c r="F206" s="294" t="s">
        <v>181</v>
      </c>
      <c r="G206" s="299">
        <f>INDEX('Impeller C &amp; Run Data'!$A$1:$KO$300,Sel_Fan_number,MATCH(F206,'Impeller C &amp; Run Data'!$A$16:$KO$16,0)+$I205)</f>
        <v>4000</v>
      </c>
      <c r="H206" s="294" t="s">
        <v>135</v>
      </c>
      <c r="I206" s="295"/>
    </row>
    <row r="207" spans="1:9" ht="18" customHeight="1">
      <c r="A207" s="178" t="s">
        <v>213</v>
      </c>
      <c r="B207" s="179"/>
      <c r="C207" s="179"/>
      <c r="D207" s="179">
        <f>IF($D206&gt;$G206,0,IF($G205=0,0,d_2))</f>
        <v>1062</v>
      </c>
      <c r="E207" s="179" t="s">
        <v>203</v>
      </c>
      <c r="F207" s="180" t="s">
        <v>223</v>
      </c>
      <c r="G207" s="179">
        <f>IF($D206&gt;$G206,0,INDEX('Impeller C &amp; Run Data'!$A$1:$KO$300,Sel_Fan_number,MATCH($F207,'Impeller C &amp; Run Data'!$A$16:$KO$16,0)))</f>
        <v>82.113490607440696</v>
      </c>
      <c r="H207" s="179" t="s">
        <v>203</v>
      </c>
      <c r="I207" s="181"/>
    </row>
    <row r="208" spans="1:9" ht="18" customHeight="1">
      <c r="A208" s="183" t="s">
        <v>224</v>
      </c>
      <c r="B208" s="184"/>
      <c r="C208" s="184"/>
      <c r="D208" s="179">
        <f>IF($D206&gt;$G206,0,INDEX('Impeller C &amp; Run Data'!$A$1:$KO$300,Sel_Fan_number,MATCH($A208,'Impeller C &amp; Run Data'!$A$16:$KO$16,0)))</f>
        <v>340.45340501926489</v>
      </c>
      <c r="E208" s="184" t="s">
        <v>203</v>
      </c>
      <c r="F208" s="180" t="s">
        <v>566</v>
      </c>
      <c r="G208" s="179">
        <f>IF($D206&gt;$G206,0,INDEX('Impeller C &amp; Run Data'!$A$1:$KO$300,Sel_Fan_number,MATCH($F208,'Impeller C &amp; Run Data'!$A$16:$KO$16,0)))</f>
        <v>121.05772560645465</v>
      </c>
      <c r="H208" s="179" t="s">
        <v>203</v>
      </c>
      <c r="I208" s="181"/>
    </row>
    <row r="209" spans="1:9" ht="18" customHeight="1">
      <c r="A209" s="183" t="s">
        <v>281</v>
      </c>
      <c r="B209" s="184"/>
      <c r="C209" s="184"/>
      <c r="D209" s="179">
        <f>IF($D206&gt;$G206,0,INDEX('Impeller C &amp; Run Data'!$A$1:$KO$300,Sel_Fan_number,MATCH($A209,'Impeller C &amp; Run Data'!$A$16:$KO$16,0)))</f>
        <v>269.53958135968043</v>
      </c>
      <c r="E209" s="184" t="s">
        <v>203</v>
      </c>
      <c r="F209" s="185"/>
      <c r="G209" s="182"/>
      <c r="H209" s="179"/>
      <c r="I209" s="181"/>
    </row>
    <row r="210" spans="1:9" ht="18" customHeight="1">
      <c r="A210" s="183" t="s">
        <v>221</v>
      </c>
      <c r="B210" s="179"/>
      <c r="C210" s="179"/>
      <c r="D210" s="179">
        <f>IF($D206&gt;$G206,0,INDEX('Impeller C &amp; Run Data'!$A$1:$KO$300,Sel_Fan_number,MATCH($A210,'Impeller C &amp; Run Data'!$A$16:$KO$16,0)))</f>
        <v>6</v>
      </c>
      <c r="E210" s="179" t="s">
        <v>203</v>
      </c>
      <c r="F210" s="185" t="s">
        <v>222</v>
      </c>
      <c r="G210" s="179">
        <f>IF($D206&gt;$G206,0,INDEX('Impeller C &amp; Run Data'!$A$1:$KO$300,Sel_Fan_number,MATCH($F210,'Impeller C &amp; Run Data'!$A$16:$KO$16,0)))</f>
        <v>6</v>
      </c>
      <c r="H210" s="179" t="s">
        <v>203</v>
      </c>
      <c r="I210" s="181"/>
    </row>
    <row r="211" spans="1:9" ht="18" customHeight="1">
      <c r="A211" s="183" t="s">
        <v>706</v>
      </c>
      <c r="B211" s="179"/>
      <c r="C211" s="179"/>
      <c r="D211" s="179">
        <f>IF($D206&gt;$G206,0,INDEX('Impeller C &amp; Run Data'!$A$1:$KO$300,Sel_Fan_number,MATCH($A211,'Impeller C &amp; Run Data'!$A$16:$KO$16,0)))</f>
        <v>18.000000000000004</v>
      </c>
      <c r="E211" s="179" t="s">
        <v>203</v>
      </c>
      <c r="F211" s="185" t="s">
        <v>707</v>
      </c>
      <c r="G211" s="179">
        <f>IF($D206&gt;$G206,0,INDEX('Impeller C &amp; Run Data'!$A$1:$KO$300,Sel_Fan_number,MATCH($F211,'Impeller C &amp; Run Data'!$A$16:$KO$16,0)))</f>
        <v>665.68553221639513</v>
      </c>
      <c r="H211" s="179" t="s">
        <v>203</v>
      </c>
      <c r="I211" s="181"/>
    </row>
    <row r="212" spans="1:9" ht="18" customHeight="1">
      <c r="A212" s="183" t="s">
        <v>284</v>
      </c>
      <c r="B212" s="179"/>
      <c r="C212" s="179"/>
      <c r="D212" s="179">
        <f>IF($D206&gt;$G206,0,INDEX('Impeller C &amp; Run Data'!$A$1:$KO$300,Sel_Fan_number,MATCH($A212,'Impeller C &amp; Run Data'!$A$16:$KO$16,0)))</f>
        <v>0</v>
      </c>
      <c r="E212" s="179" t="s">
        <v>203</v>
      </c>
      <c r="F212" s="185" t="s">
        <v>285</v>
      </c>
      <c r="G212" s="179">
        <f>IF($D206&gt;$G206,0,INDEX('Impeller C &amp; Run Data'!$A$1:$KO$300,Sel_Fan_number,MATCH($F212,'Impeller C &amp; Run Data'!$A$16:$KO$16,0)))</f>
        <v>0</v>
      </c>
      <c r="H212" s="179" t="s">
        <v>203</v>
      </c>
      <c r="I212" s="181"/>
    </row>
    <row r="213" spans="1:9" ht="18" customHeight="1">
      <c r="A213" s="337" t="s">
        <v>286</v>
      </c>
      <c r="B213" s="338"/>
      <c r="C213" s="338"/>
      <c r="D213" s="338">
        <f>IF($D206&gt;$G206,0,INDEX('Impeller C &amp; Run Data'!$A$1:$KO$300,Sel_Fan_number,MATCH($A213,'Impeller C &amp; Run Data'!$A$16:$KO$16,0)))</f>
        <v>0</v>
      </c>
      <c r="E213" s="338" t="s">
        <v>203</v>
      </c>
      <c r="F213" s="339"/>
      <c r="G213" s="338"/>
      <c r="H213" s="338"/>
      <c r="I213" s="340"/>
    </row>
    <row r="214" spans="1:9" ht="18" customHeight="1">
      <c r="A214" s="341" t="s">
        <v>778</v>
      </c>
      <c r="B214" s="342"/>
      <c r="C214" s="342"/>
      <c r="D214" s="343" t="str">
        <f>INDEX('Impeller C &amp; Run Data'!$A$1:$KO$300,Sel_Fan_number,MATCH($A214,'Impeller C &amp; Run Data'!$A$16:$KO$16,0)+$I205)</f>
        <v>DOMEX</v>
      </c>
      <c r="E214" s="344"/>
      <c r="F214" s="345" t="s">
        <v>705</v>
      </c>
      <c r="G214" s="346">
        <f>IF($D206&gt;$G206,0,INDEX('Impeller C &amp; Run Data'!$A$1:$KO$300,Sel_Fan_number,MATCH($F214,'Impeller C &amp; Run Data'!$A$16:$KO$16,0)))</f>
        <v>451.13078442860626</v>
      </c>
      <c r="H214" s="342" t="s">
        <v>203</v>
      </c>
      <c r="I214" s="347"/>
    </row>
    <row r="215" spans="1:9" ht="18" customHeight="1">
      <c r="A215" s="178" t="s">
        <v>1610</v>
      </c>
      <c r="B215" s="179"/>
      <c r="C215" s="179"/>
      <c r="D215" s="179">
        <f>IF($D206&gt;$G206,0,INDEX('Impeller C &amp; Run Data'!$A$1:$KO$300,Sel_Fan_number,MATCH($A215,'Impeller C &amp; Run Data'!$A$16:$KO$16,0)))</f>
        <v>16</v>
      </c>
      <c r="E215" s="184"/>
      <c r="F215" s="185" t="s">
        <v>989</v>
      </c>
      <c r="G215" s="179">
        <f>IF($D206&gt;$G206,0,INDEX('Impeller C &amp; Run Data'!$A$1:$KO$300,Sel_Fan_number,MATCH($F215,'Impeller C &amp; Run Data'!$A$16:$KO$16,0)+$I205))</f>
        <v>23.024185684144811</v>
      </c>
      <c r="H215" s="184" t="s">
        <v>309</v>
      </c>
      <c r="I215" s="181"/>
    </row>
    <row r="216" spans="1:9" ht="18" customHeight="1">
      <c r="A216" s="178" t="s">
        <v>1611</v>
      </c>
      <c r="B216" s="179"/>
      <c r="C216" s="179"/>
      <c r="D216" s="179">
        <f>IF($D206&gt;$G206,0,INDEX('Impeller C &amp; Run Data'!$A$1:$KO$300,Sel_Fan_number,MATCH($A216,'Impeller C &amp; Run Data'!$A$16:$KO$16,0)+$I205))</f>
        <v>4</v>
      </c>
      <c r="E216" s="184"/>
      <c r="F216" s="185" t="s">
        <v>287</v>
      </c>
      <c r="G216" s="179">
        <f>IF(D214=A205,IF(D216&lt;MAX(D210,G210),MAX(D210,G210),D216),D216)</f>
        <v>6</v>
      </c>
      <c r="H216" s="184" t="s">
        <v>203</v>
      </c>
      <c r="I216" s="181"/>
    </row>
    <row r="217" spans="1:9" ht="18" customHeight="1">
      <c r="A217" s="341" t="s">
        <v>1597</v>
      </c>
      <c r="B217" s="342"/>
      <c r="C217" s="342"/>
      <c r="D217" s="342">
        <f>IF($D206&gt;$G206,0,INDEX('Impeller C &amp; Run Data'!$A$1:$KO$300,Sel_Fan_number,MATCH($A217,'Impeller C &amp; Run Data'!$A$16:$KO$16,0)+$I205))</f>
        <v>0</v>
      </c>
      <c r="E217" s="342"/>
      <c r="F217" s="697"/>
      <c r="G217" s="342"/>
      <c r="H217" s="342"/>
      <c r="I217" s="347"/>
    </row>
    <row r="218" spans="1:9" ht="18" customHeight="1">
      <c r="A218" s="178" t="s">
        <v>1598</v>
      </c>
      <c r="B218" s="179"/>
      <c r="C218" s="179"/>
      <c r="D218" s="179">
        <f>IF($D206&gt;$G206,0,INDEX('Impeller C &amp; Run Data'!$A$1:$KO$300,Sel_Fan_number,MATCH($A218,'Impeller C &amp; Run Data'!$A$16:$KO$16,0)+$I205))</f>
        <v>0</v>
      </c>
      <c r="E218" s="184" t="s">
        <v>203</v>
      </c>
      <c r="F218" s="185" t="s">
        <v>1599</v>
      </c>
      <c r="G218" s="179">
        <f>IF($D206&gt;$G206,0,INDEX('Impeller C &amp; Run Data'!$A$1:$KO$300,Sel_Fan_number,MATCH($F218,'Impeller C &amp; Run Data'!$A$16:$KO$16,0)+$I205))</f>
        <v>0</v>
      </c>
      <c r="H218" s="179" t="s">
        <v>203</v>
      </c>
      <c r="I218" s="181"/>
    </row>
    <row r="219" spans="1:9" ht="18" customHeight="1">
      <c r="A219" s="178" t="s">
        <v>358</v>
      </c>
      <c r="B219" s="179"/>
      <c r="C219" s="179"/>
      <c r="D219" s="179">
        <f>IF(D217&lt;1,0,D207-G218)</f>
        <v>0</v>
      </c>
      <c r="E219" s="184" t="s">
        <v>203</v>
      </c>
      <c r="F219" s="185" t="s">
        <v>282</v>
      </c>
      <c r="G219" s="179">
        <f>IF(D217&lt;1,0,G207/(D217+1))</f>
        <v>0</v>
      </c>
      <c r="H219" s="179" t="s">
        <v>203</v>
      </c>
      <c r="I219" s="181"/>
    </row>
    <row r="220" spans="1:9" ht="18" customHeight="1">
      <c r="A220" s="178" t="s">
        <v>359</v>
      </c>
      <c r="B220" s="179"/>
      <c r="C220" s="179"/>
      <c r="D220" s="179">
        <f>IF(D217&lt;2,0,D219)</f>
        <v>0</v>
      </c>
      <c r="E220" s="184" t="s">
        <v>203</v>
      </c>
      <c r="F220" s="185" t="s">
        <v>283</v>
      </c>
      <c r="G220" s="179">
        <f>IF(D217&lt;2,0,2*G219)</f>
        <v>0</v>
      </c>
      <c r="H220" s="179" t="s">
        <v>203</v>
      </c>
      <c r="I220" s="181"/>
    </row>
    <row r="221" spans="1:9" ht="18" customHeight="1">
      <c r="A221" s="341" t="s">
        <v>1594</v>
      </c>
      <c r="B221" s="342"/>
      <c r="C221" s="342"/>
      <c r="D221" s="342">
        <f>IF($D206&gt;$G206,0,INDEX('Impeller C &amp; Run Data'!$A$1:$KO$300,Sel_Fan_number,MATCH($A221,'Impeller C &amp; Run Data'!$A$16:$KO$16,0)+$I205))</f>
        <v>0</v>
      </c>
      <c r="E221" s="342"/>
      <c r="F221" s="345"/>
      <c r="G221" s="346"/>
      <c r="H221" s="342"/>
      <c r="I221" s="347"/>
    </row>
    <row r="222" spans="1:9" ht="18" customHeight="1">
      <c r="A222" s="178" t="s">
        <v>1595</v>
      </c>
      <c r="B222" s="179"/>
      <c r="C222" s="179"/>
      <c r="D222" s="179">
        <f>IF($D206&gt;$G206,0,INDEX('Impeller C &amp; Run Data'!$A$1:$KO$300,Sel_Fan_number,MATCH($A222,'Impeller C &amp; Run Data'!$A$16:$KO$16,0)+$I205))</f>
        <v>0</v>
      </c>
      <c r="E222" s="184" t="s">
        <v>203</v>
      </c>
      <c r="F222" s="185" t="s">
        <v>1596</v>
      </c>
      <c r="G222" s="179">
        <f>IF($D206&gt;$G206,0,INDEX('Impeller C &amp; Run Data'!$A$1:$KO$300,Sel_Fan_number,MATCH($F222,'Impeller C &amp; Run Data'!$A$16:$KO$16,0)+$I205))</f>
        <v>0</v>
      </c>
      <c r="H222" s="184" t="s">
        <v>203</v>
      </c>
      <c r="I222" s="181"/>
    </row>
    <row r="223" spans="1:9" ht="18" customHeight="1">
      <c r="A223" s="178" t="s">
        <v>360</v>
      </c>
      <c r="B223" s="179"/>
      <c r="C223" s="179"/>
      <c r="D223" s="179">
        <f>IF(D221&lt;1,0,2*(D209/2+G223*(D208/2-D209/2)/(G208/2)))</f>
        <v>0</v>
      </c>
      <c r="E223" s="184" t="s">
        <v>203</v>
      </c>
      <c r="F223" s="185" t="s">
        <v>282</v>
      </c>
      <c r="G223" s="179">
        <f>IF(D221&lt;1,0,G208/(D221+1))</f>
        <v>0</v>
      </c>
      <c r="H223" s="184" t="s">
        <v>203</v>
      </c>
      <c r="I223" s="181"/>
    </row>
    <row r="224" spans="1:9" ht="18" customHeight="1" thickBot="1">
      <c r="A224" s="348" t="s">
        <v>1612</v>
      </c>
      <c r="B224" s="349"/>
      <c r="C224" s="349"/>
      <c r="D224" s="349">
        <f>IF(D221&lt;2,0,2*(D209/2+G224*(D208/2-D209/2)/(G208/2)))</f>
        <v>0</v>
      </c>
      <c r="E224" s="350" t="s">
        <v>203</v>
      </c>
      <c r="F224" s="351" t="s">
        <v>283</v>
      </c>
      <c r="G224" s="349">
        <f>IF(D221&lt;2,0,2*G223)</f>
        <v>0</v>
      </c>
      <c r="H224" s="350" t="s">
        <v>203</v>
      </c>
      <c r="I224" s="352"/>
    </row>
    <row r="225" spans="2:5" ht="18" customHeight="1">
      <c r="B225" s="148"/>
      <c r="C225" s="148"/>
    </row>
    <row r="226" spans="2:5" ht="18" customHeight="1">
      <c r="B226" s="148"/>
      <c r="C226" s="148"/>
    </row>
    <row r="227" spans="2:5" ht="18" customHeight="1">
      <c r="B227" s="148"/>
      <c r="C227" s="148"/>
    </row>
    <row r="228" spans="2:5" ht="18" customHeight="1">
      <c r="B228" s="148"/>
      <c r="C228" s="148"/>
    </row>
    <row r="229" spans="2:5" ht="18" customHeight="1">
      <c r="B229" s="148"/>
      <c r="C229" s="148"/>
    </row>
    <row r="230" spans="2:5" ht="18" customHeight="1">
      <c r="B230" s="148"/>
      <c r="C230" s="148"/>
    </row>
    <row r="231" spans="2:5" ht="18" customHeight="1">
      <c r="B231" s="148"/>
      <c r="C231" s="148"/>
    </row>
    <row r="232" spans="2:5" ht="18" customHeight="1">
      <c r="B232" s="148"/>
      <c r="C232" s="148"/>
    </row>
    <row r="240" spans="2:5" ht="18" customHeight="1">
      <c r="E240" s="158"/>
    </row>
    <row r="242" spans="2:4" ht="18" customHeight="1">
      <c r="B242" s="158"/>
      <c r="C242" s="158"/>
      <c r="D242" s="158"/>
    </row>
    <row r="243" spans="2:4" ht="18" customHeight="1">
      <c r="B243" s="148"/>
      <c r="C243" s="148"/>
    </row>
    <row r="244" spans="2:4" ht="18" customHeight="1">
      <c r="B244" s="148"/>
      <c r="C244" s="148"/>
    </row>
    <row r="245" spans="2:4" ht="18" customHeight="1">
      <c r="B245" s="148"/>
      <c r="C245" s="148"/>
    </row>
    <row r="246" spans="2:4" ht="18" customHeight="1">
      <c r="B246" s="148"/>
      <c r="C246" s="148"/>
    </row>
    <row r="247" spans="2:4" ht="18" customHeight="1">
      <c r="B247" s="148"/>
      <c r="C247" s="148"/>
    </row>
    <row r="248" spans="2:4" ht="18" customHeight="1">
      <c r="B248" s="148"/>
      <c r="C248" s="148"/>
    </row>
    <row r="249" spans="2:4" ht="18" customHeight="1">
      <c r="B249" s="148"/>
      <c r="C249" s="148"/>
    </row>
    <row r="250" spans="2:4" ht="18" customHeight="1">
      <c r="B250" s="148"/>
      <c r="C250" s="148"/>
    </row>
    <row r="251" spans="2:4" ht="18" customHeight="1">
      <c r="B251" s="148"/>
      <c r="C251" s="148"/>
    </row>
    <row r="252" spans="2:4" ht="18" customHeight="1">
      <c r="B252" s="148"/>
      <c r="C252" s="148"/>
    </row>
    <row r="253" spans="2:4" ht="18" customHeight="1">
      <c r="B253" s="148"/>
      <c r="C253" s="148"/>
    </row>
    <row r="254" spans="2:4" ht="18" customHeight="1">
      <c r="B254" s="148"/>
      <c r="C254" s="148"/>
    </row>
    <row r="255" spans="2:4" ht="18" customHeight="1">
      <c r="B255" s="148"/>
      <c r="C255" s="148"/>
    </row>
    <row r="256" spans="2:4" ht="18" customHeight="1">
      <c r="B256" s="148"/>
      <c r="C256" s="148"/>
    </row>
    <row r="257" spans="2:3" ht="18" customHeight="1">
      <c r="B257" s="148"/>
      <c r="C257" s="148"/>
    </row>
    <row r="258" spans="2:3" ht="18" customHeight="1">
      <c r="B258" s="148"/>
      <c r="C258" s="148"/>
    </row>
    <row r="259" spans="2:3" ht="18" customHeight="1">
      <c r="B259" s="148"/>
      <c r="C259" s="148"/>
    </row>
    <row r="260" spans="2:3" ht="18" customHeight="1">
      <c r="B260" s="148"/>
      <c r="C260" s="148"/>
    </row>
    <row r="261" spans="2:3" ht="18" customHeight="1">
      <c r="B261" s="148"/>
      <c r="C261" s="148"/>
    </row>
    <row r="262" spans="2:3" ht="18" customHeight="1">
      <c r="B262" s="148"/>
      <c r="C262" s="148"/>
    </row>
    <row r="263" spans="2:3" ht="18" customHeight="1">
      <c r="B263" s="148"/>
      <c r="C263" s="148"/>
    </row>
    <row r="264" spans="2:3" ht="18" customHeight="1">
      <c r="B264" s="148"/>
      <c r="C264" s="148"/>
    </row>
    <row r="265" spans="2:3" ht="18" customHeight="1">
      <c r="B265" s="148"/>
      <c r="C265" s="148"/>
    </row>
    <row r="266" spans="2:3" ht="18" customHeight="1">
      <c r="B266" s="148"/>
      <c r="C266" s="148"/>
    </row>
    <row r="267" spans="2:3" ht="18" customHeight="1">
      <c r="B267" s="148"/>
      <c r="C267" s="148"/>
    </row>
    <row r="268" spans="2:3" ht="18" customHeight="1">
      <c r="B268" s="148"/>
      <c r="C268" s="148"/>
    </row>
    <row r="269" spans="2:3" ht="18" customHeight="1">
      <c r="B269" s="148"/>
      <c r="C269" s="148"/>
    </row>
    <row r="270" spans="2:3" ht="18" customHeight="1">
      <c r="B270" s="148"/>
      <c r="C270" s="148"/>
    </row>
    <row r="271" spans="2:3" ht="18" customHeight="1">
      <c r="B271" s="148"/>
      <c r="C271" s="148"/>
    </row>
    <row r="272" spans="2:3" ht="18" customHeight="1">
      <c r="B272" s="148"/>
      <c r="C272" s="148"/>
    </row>
    <row r="273" spans="2:3" ht="18" customHeight="1">
      <c r="B273" s="148"/>
      <c r="C273" s="148"/>
    </row>
    <row r="274" spans="2:3" ht="18" customHeight="1">
      <c r="B274" s="148"/>
      <c r="C274" s="148"/>
    </row>
    <row r="275" spans="2:3" ht="18" customHeight="1">
      <c r="B275" s="148"/>
      <c r="C275" s="148"/>
    </row>
    <row r="276" spans="2:3" ht="18" customHeight="1">
      <c r="B276" s="148"/>
      <c r="C276" s="148"/>
    </row>
    <row r="277" spans="2:3" ht="18" customHeight="1">
      <c r="B277" s="148"/>
      <c r="C277" s="148"/>
    </row>
    <row r="278" spans="2:3" ht="18" customHeight="1">
      <c r="B278" s="148"/>
      <c r="C278" s="148"/>
    </row>
    <row r="279" spans="2:3" ht="18" customHeight="1">
      <c r="B279" s="148"/>
      <c r="C279" s="148"/>
    </row>
    <row r="280" spans="2:3" ht="18" customHeight="1">
      <c r="B280" s="148"/>
      <c r="C280" s="148"/>
    </row>
    <row r="281" spans="2:3" ht="18" customHeight="1">
      <c r="B281" s="148"/>
      <c r="C281" s="148"/>
    </row>
    <row r="282" spans="2:3" ht="18" customHeight="1">
      <c r="B282" s="148"/>
      <c r="C282" s="148"/>
    </row>
    <row r="283" spans="2:3" ht="18" customHeight="1">
      <c r="B283" s="148"/>
      <c r="C283" s="148"/>
    </row>
    <row r="284" spans="2:3" ht="18" customHeight="1">
      <c r="B284" s="148"/>
      <c r="C284" s="148"/>
    </row>
    <row r="285" spans="2:3" ht="18" customHeight="1">
      <c r="B285" s="148"/>
      <c r="C285" s="148"/>
    </row>
    <row r="286" spans="2:3" ht="18" customHeight="1">
      <c r="B286" s="148"/>
      <c r="C286" s="148"/>
    </row>
    <row r="287" spans="2:3" ht="18" customHeight="1">
      <c r="B287" s="148"/>
      <c r="C287" s="148"/>
    </row>
    <row r="288" spans="2:3" ht="18" customHeight="1">
      <c r="B288" s="148"/>
      <c r="C288" s="148"/>
    </row>
    <row r="289" spans="2:3" ht="18" customHeight="1">
      <c r="B289" s="148"/>
      <c r="C289" s="148"/>
    </row>
    <row r="290" spans="2:3" ht="18" customHeight="1">
      <c r="B290" s="148"/>
      <c r="C290" s="148"/>
    </row>
    <row r="291" spans="2:3" ht="18" customHeight="1">
      <c r="B291" s="148"/>
      <c r="C291" s="148"/>
    </row>
    <row r="292" spans="2:3" ht="18" customHeight="1">
      <c r="B292" s="148"/>
      <c r="C292" s="148"/>
    </row>
    <row r="293" spans="2:3" ht="18" customHeight="1">
      <c r="B293" s="148"/>
      <c r="C293" s="148"/>
    </row>
    <row r="294" spans="2:3" ht="18" customHeight="1">
      <c r="B294" s="148"/>
      <c r="C294" s="148"/>
    </row>
    <row r="295" spans="2:3" ht="18" customHeight="1">
      <c r="B295" s="148"/>
      <c r="C295" s="148"/>
    </row>
    <row r="296" spans="2:3" ht="18" customHeight="1">
      <c r="B296" s="148"/>
      <c r="C296" s="148"/>
    </row>
    <row r="297" spans="2:3" ht="18" customHeight="1">
      <c r="B297" s="148"/>
      <c r="C297" s="148"/>
    </row>
    <row r="298" spans="2:3" ht="18" customHeight="1">
      <c r="B298" s="148"/>
      <c r="C298" s="148"/>
    </row>
    <row r="299" spans="2:3" ht="18" customHeight="1">
      <c r="B299" s="148"/>
      <c r="C299" s="148"/>
    </row>
    <row r="300" spans="2:3" ht="18" customHeight="1">
      <c r="B300" s="148"/>
      <c r="C300" s="148"/>
    </row>
    <row r="301" spans="2:3" ht="18" customHeight="1">
      <c r="B301" s="148"/>
      <c r="C301" s="148"/>
    </row>
    <row r="302" spans="2:3" ht="18" customHeight="1">
      <c r="B302" s="148"/>
      <c r="C302" s="148"/>
    </row>
    <row r="303" spans="2:3" ht="18" customHeight="1">
      <c r="B303" s="148"/>
      <c r="C303" s="148"/>
    </row>
    <row r="304" spans="2:3" ht="18" customHeight="1">
      <c r="B304" s="148"/>
      <c r="C304" s="148"/>
    </row>
    <row r="305" spans="2:3" ht="18" customHeight="1">
      <c r="B305" s="148"/>
      <c r="C305" s="148"/>
    </row>
    <row r="306" spans="2:3" ht="18" customHeight="1">
      <c r="B306" s="148"/>
      <c r="C306" s="148"/>
    </row>
    <row r="307" spans="2:3" ht="18" customHeight="1">
      <c r="B307" s="148"/>
      <c r="C307" s="148"/>
    </row>
    <row r="308" spans="2:3" ht="18" customHeight="1">
      <c r="B308" s="148"/>
      <c r="C308" s="148"/>
    </row>
    <row r="309" spans="2:3" ht="18" customHeight="1">
      <c r="B309" s="148"/>
      <c r="C309" s="148"/>
    </row>
    <row r="310" spans="2:3" ht="18" customHeight="1">
      <c r="B310" s="148"/>
      <c r="C310" s="148"/>
    </row>
    <row r="311" spans="2:3" ht="18" customHeight="1">
      <c r="B311" s="148"/>
      <c r="C311" s="148"/>
    </row>
    <row r="312" spans="2:3" ht="18" customHeight="1">
      <c r="B312" s="148"/>
      <c r="C312" s="148"/>
    </row>
    <row r="313" spans="2:3" ht="18" customHeight="1">
      <c r="B313" s="148"/>
      <c r="C313" s="148"/>
    </row>
  </sheetData>
  <mergeCells count="18">
    <mergeCell ref="AB20:AG20"/>
    <mergeCell ref="D17:I17"/>
    <mergeCell ref="B8:C8"/>
    <mergeCell ref="A4:Q5"/>
    <mergeCell ref="A1:B1"/>
    <mergeCell ref="A2:B2"/>
    <mergeCell ref="C2:P2"/>
    <mergeCell ref="C1:Q1"/>
    <mergeCell ref="A205:F205"/>
    <mergeCell ref="A125:F125"/>
    <mergeCell ref="A105:F105"/>
    <mergeCell ref="A85:F85"/>
    <mergeCell ref="A145:F145"/>
    <mergeCell ref="A62:I63"/>
    <mergeCell ref="A65:F65"/>
    <mergeCell ref="S65:T65"/>
    <mergeCell ref="A165:F165"/>
    <mergeCell ref="A185:F185"/>
  </mergeCells>
  <phoneticPr fontId="77" type="noConversion"/>
  <conditionalFormatting sqref="A106:I124">
    <cfRule type="expression" dxfId="305" priority="380">
      <formula>Mat_IMP&lt;&gt;$A$105</formula>
    </cfRule>
  </conditionalFormatting>
  <conditionalFormatting sqref="A86:I104">
    <cfRule type="expression" dxfId="304" priority="392">
      <formula>Mat_IMP&lt;&gt;$A$85</formula>
    </cfRule>
  </conditionalFormatting>
  <conditionalFormatting sqref="A126:I144">
    <cfRule type="expression" dxfId="303" priority="6">
      <formula>Mat_IMP&lt;&gt;$A$125</formula>
    </cfRule>
  </conditionalFormatting>
  <conditionalFormatting sqref="A146:I164">
    <cfRule type="expression" dxfId="302" priority="5">
      <formula>Mat_IMP&lt;&gt;$A$145</formula>
    </cfRule>
  </conditionalFormatting>
  <conditionalFormatting sqref="A166:I184">
    <cfRule type="expression" dxfId="301" priority="4">
      <formula>Mat_IMP&lt;&gt;$A$165</formula>
    </cfRule>
  </conditionalFormatting>
  <conditionalFormatting sqref="A186:I204">
    <cfRule type="expression" dxfId="300" priority="3">
      <formula>Mat_IMP&lt;&gt;$A$185</formula>
    </cfRule>
  </conditionalFormatting>
  <conditionalFormatting sqref="A206:I224">
    <cfRule type="expression" dxfId="299" priority="2">
      <formula>Mat_IMP&lt;&gt;$A$205</formula>
    </cfRule>
  </conditionalFormatting>
  <conditionalFormatting sqref="A66:I84">
    <cfRule type="expression" dxfId="298" priority="1">
      <formula>Mat_IMP&lt;&gt;$A$65</formula>
    </cfRule>
  </conditionalFormatting>
  <dataValidations disablePrompts="1" count="2">
    <dataValidation type="list" allowBlank="1" showInputMessage="1" showErrorMessage="1" sqref="D33">
      <formula1>"Pa,mmH2O"</formula1>
    </dataValidation>
    <dataValidation type="list" allowBlank="1" showInputMessage="1" showErrorMessage="1" sqref="C33">
      <formula1>"Pa,mm H2O"</formula1>
    </dataValidation>
  </dataValidations>
  <pageMargins left="0.51181102362204722" right="0.35433070866141736" top="0.98425196850393704" bottom="0.98425196850393704" header="0.51181102362204722" footer="0.51181102362204722"/>
  <pageSetup paperSize="9" scale="26" orientation="landscape" r:id="rId1"/>
  <headerFooter alignWithMargins="0">
    <oddHeader>&amp;L&amp;G&amp;R&amp;D</oddHeader>
    <oddFooter>&amp;LCONFIDENTIAL&amp;C&amp;F / &amp;A&amp;RPage &amp;P / &amp;N</oddFooter>
  </headerFooter>
  <drawing r:id="rId2"/>
  <legacyDrawing r:id="rId3"/>
  <legacyDrawingHF r:id="rId4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12">
    <pageSetUpPr fitToPage="1"/>
  </sheetPr>
  <dimension ref="A1:V100"/>
  <sheetViews>
    <sheetView zoomScale="60" zoomScaleNormal="60" workbookViewId="0">
      <pane ySplit="1" topLeftCell="A65" activePane="bottomLeft" state="frozen"/>
      <selection activeCell="N11" sqref="N11"/>
      <selection pane="bottomLeft" activeCell="I98" sqref="I98"/>
    </sheetView>
  </sheetViews>
  <sheetFormatPr defaultColWidth="15.5703125" defaultRowHeight="13.5"/>
  <cols>
    <col min="1" max="16384" width="15.5703125" style="267"/>
  </cols>
  <sheetData>
    <row r="1" spans="1:17">
      <c r="A1" s="259" t="b">
        <f>AND(A12,A13,A57,A58)</f>
        <v>1</v>
      </c>
      <c r="B1" s="260" t="s">
        <v>2</v>
      </c>
      <c r="C1" s="261" t="str">
        <f>INDEX('Ventilator relevance'!$A$1:$A$242,$D$1)</f>
        <v>XOE 166-45G</v>
      </c>
      <c r="D1" s="262">
        <v>93</v>
      </c>
      <c r="E1" s="263" t="str">
        <f>IF(AND(H12,J7,J6),"A.S.= "&amp;H6&amp;" m/s",IF(H12,IF(J7,IF(J6,"","A.S. warning"),"P.S. warning"),"O.P. warning"))</f>
        <v>A.S.= 17 m/s</v>
      </c>
      <c r="F1" s="263">
        <f>IF(E1="A.S. warning",H6&amp;" m/s",IF(E1="P.S. warning",H7&amp;" m/s",0))</f>
        <v>0</v>
      </c>
      <c r="G1" s="264" t="s">
        <v>213</v>
      </c>
      <c r="H1" s="265">
        <f>INDEX('Impeller C &amp; Run Data'!$A$1:$KP$300,$D$1,G2)/1000</f>
        <v>1.0618314830731099</v>
      </c>
      <c r="I1" s="686" t="s">
        <v>988</v>
      </c>
      <c r="J1" s="265">
        <f>INDEX('House C Data'!$A$1:$KS$300,$D$1,I2)/1000</f>
        <v>0.45</v>
      </c>
      <c r="K1" s="513" t="s">
        <v>731</v>
      </c>
      <c r="L1" s="265">
        <f>INDEX('House C Data'!$A$1:$KS$300,$D$1,K2)/1000</f>
        <v>5.0000000000000001E-3</v>
      </c>
      <c r="M1" s="513" t="s">
        <v>681</v>
      </c>
      <c r="N1" s="265">
        <f>INDEX('House C Data'!$A$1:$KS$300,$D$1,M2)/1000</f>
        <v>1.6643543045494742</v>
      </c>
      <c r="O1" s="266"/>
      <c r="Q1" s="267">
        <v>52</v>
      </c>
    </row>
    <row r="2" spans="1:17">
      <c r="A2" s="264"/>
      <c r="B2" s="267" t="s">
        <v>14</v>
      </c>
      <c r="C2" s="268" t="str">
        <f>Fan_drive</f>
        <v>Direct</v>
      </c>
      <c r="G2" s="269">
        <f>MATCH(G1,'Impeller C &amp; Run Data'!$A$16:$KP$16,0)</f>
        <v>4</v>
      </c>
      <c r="H2" s="266"/>
      <c r="I2" s="269">
        <f>MATCH(I1,'House C Data'!$A$16:$KS$16,0)</f>
        <v>5</v>
      </c>
      <c r="J2" s="266"/>
      <c r="K2" s="269">
        <f>MATCH(K1,'House C Data'!$A$16:$KS$16,0)</f>
        <v>6</v>
      </c>
      <c r="L2" s="269"/>
      <c r="M2" s="269">
        <f>MATCH(M1,'House C Data'!$A$16:$KS$16,0)</f>
        <v>7</v>
      </c>
      <c r="N2" s="269"/>
      <c r="O2" s="266"/>
    </row>
    <row r="4" spans="1:17">
      <c r="A4" s="264" t="s">
        <v>50</v>
      </c>
      <c r="B4" s="264" t="s">
        <v>121</v>
      </c>
      <c r="C4" s="267">
        <f>IF('Fan Type Calc.'!B59=0,'Fan Type Calc.'!B60,'Fan Type Calc.'!B59+H5)</f>
        <v>713.77587437544605</v>
      </c>
      <c r="D4" s="267" t="str">
        <f>'Fan Type Calc.'!C60</f>
        <v>mmH2O</v>
      </c>
      <c r="E4" s="267">
        <f>C4*g</f>
        <v>7000</v>
      </c>
      <c r="F4" s="267" t="str">
        <f>'Fan Type Calc.'!E60</f>
        <v>Pa</v>
      </c>
      <c r="N4" s="266"/>
      <c r="O4" s="266"/>
    </row>
    <row r="5" spans="1:17">
      <c r="A5" s="264"/>
      <c r="B5" s="264" t="s">
        <v>122</v>
      </c>
      <c r="C5" s="267">
        <f>IF('Fan Type Calc.'!B59=0,'Fan Type Calc.'!B60-H5,'Fan Type Calc.'!B59)</f>
        <v>696.02095442031191</v>
      </c>
      <c r="D5" s="267" t="s">
        <v>16</v>
      </c>
      <c r="E5" s="267">
        <f>C5*g</f>
        <v>6825.8774999999996</v>
      </c>
      <c r="F5" s="267" t="s">
        <v>17</v>
      </c>
      <c r="G5" s="264" t="s">
        <v>120</v>
      </c>
      <c r="H5" s="267">
        <f>0.5*rho_std*H6^2/g</f>
        <v>17.754919955134088</v>
      </c>
      <c r="I5" s="267" t="s">
        <v>16</v>
      </c>
      <c r="K5" s="270"/>
      <c r="L5" s="265"/>
      <c r="N5" s="266"/>
      <c r="O5" s="266"/>
    </row>
    <row r="6" spans="1:17">
      <c r="A6" s="264"/>
      <c r="B6" s="264" t="s">
        <v>23</v>
      </c>
      <c r="C6" s="267">
        <f>'Fan Type Calc.'!B63</f>
        <v>10000</v>
      </c>
      <c r="D6" s="267" t="str">
        <f>'Fan Type Calc.'!C63</f>
        <v>m3hr</v>
      </c>
      <c r="E6" s="267">
        <f>'Fan Type Calc.'!D63</f>
        <v>2.7777777777777777</v>
      </c>
      <c r="F6" s="267" t="str">
        <f>'Fan Type Calc.'!E63</f>
        <v>m3/s</v>
      </c>
      <c r="G6" s="264" t="s">
        <v>168</v>
      </c>
      <c r="H6" s="267">
        <f>ROUND($C$6/3600/(PI()/4*J1^2),0)</f>
        <v>17</v>
      </c>
      <c r="I6" s="267" t="s">
        <v>97</v>
      </c>
      <c r="J6" s="263" t="b">
        <f>AND($H$6&gt;$L$6,$H$6&lt;$N$6)</f>
        <v>1</v>
      </c>
      <c r="K6" s="264" t="s">
        <v>169</v>
      </c>
      <c r="L6" s="267">
        <f>INDEX(Air_speed_limits,MATCH($C$4,'Mechanical data, limits'!$H$60:$H$80,1),5)</f>
        <v>15</v>
      </c>
      <c r="M6" s="264" t="s">
        <v>170</v>
      </c>
      <c r="N6" s="267">
        <f>INDEX(Air_speed_limits,MATCH($C$4,'Mechanical data, limits'!$H$60:$H$80,1),7)</f>
        <v>35</v>
      </c>
      <c r="O6" s="267" t="s">
        <v>97</v>
      </c>
    </row>
    <row r="7" spans="1:17" ht="15" customHeight="1">
      <c r="A7" s="264"/>
      <c r="B7" s="264" t="s">
        <v>92</v>
      </c>
      <c r="C7" s="267">
        <f>'Fan Selection'!I13</f>
        <v>50</v>
      </c>
      <c r="D7" s="267" t="s">
        <v>31</v>
      </c>
      <c r="G7" s="264" t="s">
        <v>123</v>
      </c>
      <c r="H7" s="267">
        <f>ROUND(PI()*H1*E13,0)</f>
        <v>93</v>
      </c>
      <c r="I7" s="267" t="s">
        <v>97</v>
      </c>
      <c r="J7" s="263" t="b">
        <f>$H$7&lt;$N$7</f>
        <v>1</v>
      </c>
      <c r="M7" s="264" t="s">
        <v>163</v>
      </c>
      <c r="N7" s="267">
        <v>200</v>
      </c>
      <c r="O7" s="267" t="s">
        <v>97</v>
      </c>
    </row>
    <row r="8" spans="1:17">
      <c r="A8" s="264"/>
      <c r="B8" s="264" t="s">
        <v>93</v>
      </c>
      <c r="C8" s="264" t="str">
        <f>'Fan Selection'!I14</f>
        <v>Y</v>
      </c>
    </row>
    <row r="9" spans="1:17" ht="14.45" customHeight="1">
      <c r="A9" s="264"/>
      <c r="L9" s="279"/>
      <c r="M9" s="279"/>
      <c r="N9" s="279"/>
      <c r="O9" s="279"/>
    </row>
    <row r="10" spans="1:17">
      <c r="A10" s="264" t="s">
        <v>54</v>
      </c>
      <c r="B10" s="264" t="s">
        <v>121</v>
      </c>
      <c r="C10" s="267">
        <f>$C$55</f>
        <v>713.77589101235446</v>
      </c>
      <c r="D10" s="267" t="s">
        <v>16</v>
      </c>
      <c r="E10" s="267">
        <f>C10*g</f>
        <v>7000.0001631581608</v>
      </c>
      <c r="F10" s="267" t="s">
        <v>17</v>
      </c>
      <c r="L10" s="279"/>
      <c r="M10" s="279"/>
      <c r="N10" s="279"/>
      <c r="O10" s="279"/>
    </row>
    <row r="11" spans="1:17">
      <c r="A11" s="264"/>
      <c r="B11" s="264" t="s">
        <v>122</v>
      </c>
      <c r="C11" s="267">
        <f>C10-H5</f>
        <v>696.02097105722032</v>
      </c>
      <c r="D11" s="267" t="s">
        <v>16</v>
      </c>
      <c r="E11" s="267">
        <f>C11*g</f>
        <v>6825.8776631581595</v>
      </c>
      <c r="F11" s="267" t="s">
        <v>17</v>
      </c>
      <c r="L11" s="279"/>
      <c r="M11" s="279"/>
      <c r="N11" s="279"/>
      <c r="O11" s="279"/>
    </row>
    <row r="12" spans="1:17">
      <c r="A12" s="259" t="b">
        <f>AND($C$12&gt;=$G$61,$C$12&lt;=$G$70)</f>
        <v>1</v>
      </c>
      <c r="B12" s="264" t="s">
        <v>23</v>
      </c>
      <c r="C12" s="267">
        <f>$C$6</f>
        <v>10000</v>
      </c>
      <c r="D12" s="267" t="s">
        <v>24</v>
      </c>
      <c r="E12" s="267">
        <f>C12/3600</f>
        <v>2.7777777777777777</v>
      </c>
      <c r="F12" s="267" t="s">
        <v>25</v>
      </c>
      <c r="G12" s="264" t="s">
        <v>732</v>
      </c>
      <c r="H12" s="272" t="b">
        <f>AND($C$12&gt;=$G$62,$C$12&lt;=$G$65)</f>
        <v>1</v>
      </c>
      <c r="L12" s="279"/>
      <c r="M12" s="279"/>
      <c r="N12" s="279"/>
      <c r="O12" s="279"/>
    </row>
    <row r="13" spans="1:17" ht="15" customHeight="1">
      <c r="A13" s="259" t="b">
        <f>AND($H$13,C13&gt;=$B$28,C13&lt;=$B$38/rev_safety_f)</f>
        <v>1</v>
      </c>
      <c r="B13" s="264" t="s">
        <v>26</v>
      </c>
      <c r="C13" s="267">
        <f>$B$61</f>
        <v>1672.3774886767021</v>
      </c>
      <c r="D13" s="267" t="s">
        <v>27</v>
      </c>
      <c r="E13" s="273">
        <f>C13/60</f>
        <v>27.872958144611701</v>
      </c>
      <c r="F13" s="267" t="s">
        <v>28</v>
      </c>
      <c r="G13" s="264" t="s">
        <v>733</v>
      </c>
      <c r="H13" s="685" t="b">
        <f>IF(Desired_RPM_min&lt;&gt;0,AND($C$13&gt;=Desired_RPM_min,$C$13&lt;=Desired_RPM_max),IF(OR($C$8="Y",$C$2="B"),TRUE,IF(OR(AND($E$13&lt;$C$7,$E$13&gt;$C$7*(1-10%)),AND($E$13&lt;$C$7/2,$E$13&gt;$C$7/2*(1-10%)),AND($E$13&lt;$C$7/3,$E$13&gt;$C$7/3*(1-10%)),AND($E$13&lt;$C$7/4,$E$13&gt;$C$7/4*(1-10%))),TRUE,FALSE)))</f>
        <v>1</v>
      </c>
      <c r="L13" s="279"/>
      <c r="M13" s="279"/>
      <c r="N13" s="279"/>
      <c r="O13" s="279"/>
    </row>
    <row r="14" spans="1:17" ht="15" customHeight="1">
      <c r="B14" s="264" t="s">
        <v>13</v>
      </c>
      <c r="C14" s="274">
        <f>$M$58*$H$14^2+$N$58*$H$14+$O$58</f>
        <v>0.89787337149793101</v>
      </c>
      <c r="E14" s="267" t="s">
        <v>63</v>
      </c>
      <c r="G14" s="280" t="s">
        <v>1653</v>
      </c>
      <c r="H14" s="1210">
        <f>$E$6/(PI()*$H$1*$C$13/60*PI()*$H$1^2/4)</f>
        <v>3.3737110898922243E-2</v>
      </c>
      <c r="L14" s="279"/>
      <c r="M14" s="279"/>
      <c r="N14" s="279"/>
      <c r="O14" s="279"/>
    </row>
    <row r="15" spans="1:17">
      <c r="A15" s="264"/>
      <c r="E15" s="684" t="s">
        <v>729</v>
      </c>
      <c r="L15" s="279"/>
      <c r="M15" s="279"/>
      <c r="N15" s="279"/>
      <c r="O15" s="279"/>
    </row>
    <row r="16" spans="1:17">
      <c r="A16" s="264"/>
      <c r="E16" s="275">
        <v>1</v>
      </c>
      <c r="L16" s="279"/>
      <c r="M16" s="279"/>
      <c r="N16" s="279"/>
      <c r="O16" s="279"/>
    </row>
    <row r="17" spans="1:15" ht="15">
      <c r="A17" s="264"/>
      <c r="B17" s="260" t="s">
        <v>0</v>
      </c>
      <c r="C17" s="453" t="s">
        <v>5</v>
      </c>
      <c r="D17" s="453" t="s">
        <v>6</v>
      </c>
      <c r="E17" s="454" t="s">
        <v>362</v>
      </c>
      <c r="F17" s="453" t="s">
        <v>363</v>
      </c>
      <c r="G17" s="260" t="s">
        <v>1</v>
      </c>
      <c r="H17" s="260" t="s">
        <v>46</v>
      </c>
      <c r="I17" s="260" t="s">
        <v>45</v>
      </c>
      <c r="J17" s="260" t="s">
        <v>1645</v>
      </c>
      <c r="K17" s="271" t="s">
        <v>49</v>
      </c>
      <c r="L17" s="279"/>
      <c r="N17" s="279"/>
      <c r="O17" s="279"/>
    </row>
    <row r="18" spans="1:15">
      <c r="A18" s="276">
        <v>0</v>
      </c>
      <c r="B18" s="1173">
        <f>INDEX('Fan Hydraulic Data'!$A$1:$AM$300,$D$1,2)</f>
        <v>2980</v>
      </c>
      <c r="C18" s="1173">
        <f>INDEX('Fan Hydraulic Data'!$A$1:$AM$300,$D$1,3+$A18)</f>
        <v>2267.6708143697078</v>
      </c>
      <c r="D18" s="1173">
        <f>INDEX('Fan Hydraulic Data'!$A$1:$AM$300,$D$1,13+$A18)</f>
        <v>8507.2105104205366</v>
      </c>
      <c r="E18" s="1174">
        <f t="shared" ref="E18:E27" si="0">F18/G18*$E$16</f>
        <v>80.762300085463977</v>
      </c>
      <c r="F18" s="1175">
        <f t="shared" ref="F18:F38" si="1">C18*g*D18/3600000</f>
        <v>52.553405593185012</v>
      </c>
      <c r="G18" s="1176">
        <f>INDEX('Fan Hydraulic Data'!$A$1:$AM$300,$D$1,23+$A18)</f>
        <v>0.65071704913768114</v>
      </c>
      <c r="H18" s="1177">
        <f t="shared" ref="H18:H27" si="2">C18*g/(rho_std/2*(PI()*$H$1*$B$18/60)^2)</f>
        <v>1.3446775865706107</v>
      </c>
      <c r="I18" s="1177">
        <f>D18/3600/(PI()*$H$1*$B$18/60*PI()*$H$1^2/4)</f>
        <v>1.6106942830331924E-2</v>
      </c>
      <c r="J18" s="1177">
        <f t="shared" ref="J18:J27" si="3">(H18/I18^2)</f>
        <v>5183.1279700417499</v>
      </c>
      <c r="K18" s="1177">
        <f t="shared" ref="K18:K27" si="4">PI()^2*($H$1/2)^4*C18*g/(rho_std/2*(D18/3600)^2)</f>
        <v>5183.1279700417535</v>
      </c>
      <c r="L18" s="279"/>
      <c r="N18" s="279"/>
      <c r="O18" s="279"/>
    </row>
    <row r="19" spans="1:15">
      <c r="A19" s="276">
        <v>1</v>
      </c>
      <c r="B19" s="1173"/>
      <c r="C19" s="1173">
        <f>INDEX('Fan Hydraulic Data'!$A$1:$AM$300,$D$1,3+$A19)</f>
        <v>2331.7067872346656</v>
      </c>
      <c r="D19" s="1173">
        <f>INDEX('Fan Hydraulic Data'!$A$1:$AM$300,$D$1,13+$A19)</f>
        <v>14665.033657040618</v>
      </c>
      <c r="E19" s="1174">
        <f t="shared" si="0"/>
        <v>107.68306678061866</v>
      </c>
      <c r="F19" s="1175">
        <f t="shared" si="1"/>
        <v>93.151676482896377</v>
      </c>
      <c r="G19" s="1176">
        <f>INDEX('Fan Hydraulic Data'!$A$1:$AM$300,$D$1,23+$A19)</f>
        <v>0.86505408201897793</v>
      </c>
      <c r="H19" s="1177">
        <f t="shared" si="2"/>
        <v>1.3826494724810823</v>
      </c>
      <c r="I19" s="1177">
        <f t="shared" ref="I19:I27" si="5">D19/3600/(PI()*$H$1*$B$18/60*PI()*$H$1^2/4)</f>
        <v>2.7765723961986476E-2</v>
      </c>
      <c r="J19" s="1177">
        <f t="shared" si="3"/>
        <v>1793.4698858275951</v>
      </c>
      <c r="K19" s="1177">
        <f t="shared" si="4"/>
        <v>1793.4698858275956</v>
      </c>
      <c r="L19" s="279"/>
      <c r="M19" s="279"/>
      <c r="N19" s="279"/>
      <c r="O19" s="279"/>
    </row>
    <row r="20" spans="1:15">
      <c r="A20" s="276">
        <v>2</v>
      </c>
      <c r="B20" s="1173"/>
      <c r="C20" s="1173">
        <f>INDEX('Fan Hydraulic Data'!$A$1:$AM$300,$D$1,3+$A20)</f>
        <v>2030.9720903260422</v>
      </c>
      <c r="D20" s="1173">
        <f>INDEX('Fan Hydraulic Data'!$A$1:$AM$300,$D$1,13+$A20)</f>
        <v>21093.587228512348</v>
      </c>
      <c r="E20" s="1174">
        <f t="shared" si="0"/>
        <v>137.10087411573184</v>
      </c>
      <c r="F20" s="1175">
        <f t="shared" si="1"/>
        <v>116.70462652197021</v>
      </c>
      <c r="G20" s="1176">
        <f>INDEX('Fan Hydraulic Data'!$A$1:$AM$300,$D$1,23+$A20)</f>
        <v>0.85123181945182624</v>
      </c>
      <c r="H20" s="1177">
        <f t="shared" si="2"/>
        <v>1.204320588114534</v>
      </c>
      <c r="I20" s="1177">
        <f t="shared" si="5"/>
        <v>3.9937086681950812E-2</v>
      </c>
      <c r="J20" s="1177">
        <f t="shared" si="3"/>
        <v>755.07370928875787</v>
      </c>
      <c r="K20" s="1177">
        <f t="shared" si="4"/>
        <v>755.07370928875821</v>
      </c>
      <c r="L20" s="279"/>
      <c r="M20" s="279"/>
      <c r="N20" s="279"/>
      <c r="O20" s="279"/>
    </row>
    <row r="21" spans="1:15">
      <c r="A21" s="276">
        <v>3</v>
      </c>
      <c r="B21" s="1173"/>
      <c r="C21" s="1173">
        <f>INDEX('Fan Hydraulic Data'!$A$1:$AM$300,$D$1,3+$A21)</f>
        <v>1613.7868422765891</v>
      </c>
      <c r="D21" s="1173">
        <f>INDEX('Fan Hydraulic Data'!$A$1:$AM$300,$D$1,13+$A21)</f>
        <v>25261.720330826909</v>
      </c>
      <c r="E21" s="1174">
        <f t="shared" si="0"/>
        <v>154.35983623277116</v>
      </c>
      <c r="F21" s="1175">
        <f t="shared" si="1"/>
        <v>111.05618935504026</v>
      </c>
      <c r="G21" s="1176">
        <f>INDEX('Fan Hydraulic Data'!$A$1:$AM$300,$D$1,23+$A21)</f>
        <v>0.71946299027922023</v>
      </c>
      <c r="H21" s="1177">
        <f t="shared" si="2"/>
        <v>0.95693915649527028</v>
      </c>
      <c r="I21" s="1177">
        <f t="shared" si="5"/>
        <v>4.7828731246988845E-2</v>
      </c>
      <c r="J21" s="1177">
        <f t="shared" si="3"/>
        <v>418.31805026809064</v>
      </c>
      <c r="K21" s="1177">
        <f t="shared" si="4"/>
        <v>418.3180502680907</v>
      </c>
      <c r="L21" s="279"/>
      <c r="M21" s="279"/>
      <c r="N21" s="279"/>
      <c r="O21" s="279"/>
    </row>
    <row r="22" spans="1:15">
      <c r="A22" s="276">
        <v>4</v>
      </c>
      <c r="B22" s="1173"/>
      <c r="C22" s="1173">
        <f>INDEX('Fan Hydraulic Data'!$A$1:$AM$300,$D$1,3+$A22)</f>
        <v>1144.1067608033329</v>
      </c>
      <c r="D22" s="1173">
        <f>INDEX('Fan Hydraulic Data'!$A$1:$AM$300,$D$1,13+$A22)</f>
        <v>28400.651855751988</v>
      </c>
      <c r="E22" s="1174">
        <f t="shared" si="0"/>
        <v>153.36396632159205</v>
      </c>
      <c r="F22" s="1175">
        <f t="shared" si="1"/>
        <v>88.517376688498331</v>
      </c>
      <c r="G22" s="1176">
        <f>INDEX('Fan Hydraulic Data'!$A$1:$AM$300,$D$1,23+$A22)</f>
        <v>0.57717193165756053</v>
      </c>
      <c r="H22" s="1177">
        <f t="shared" si="2"/>
        <v>0.67842947404328324</v>
      </c>
      <c r="I22" s="1177">
        <f t="shared" si="5"/>
        <v>5.3771759288714784E-2</v>
      </c>
      <c r="J22" s="1177">
        <f t="shared" si="3"/>
        <v>234.63684789686505</v>
      </c>
      <c r="K22" s="1177">
        <f t="shared" si="4"/>
        <v>234.63684789686519</v>
      </c>
      <c r="L22" s="279"/>
      <c r="M22" s="279"/>
      <c r="N22" s="279"/>
      <c r="O22" s="279"/>
    </row>
    <row r="23" spans="1:15">
      <c r="A23" s="276">
        <v>5</v>
      </c>
      <c r="B23" s="1173"/>
      <c r="C23" s="1173">
        <f>INDEX('Fan Hydraulic Data'!$A$1:$AM$300,$D$1,3+$A23)</f>
        <v>731.04975240834938</v>
      </c>
      <c r="D23" s="1173">
        <f>INDEX('Fan Hydraulic Data'!$A$1:$AM$300,$D$1,13+$A23)</f>
        <v>30527.252557229349</v>
      </c>
      <c r="E23" s="1174">
        <f t="shared" si="0"/>
        <v>146.3928769433378</v>
      </c>
      <c r="F23" s="1175">
        <f t="shared" si="1"/>
        <v>60.795065204146781</v>
      </c>
      <c r="G23" s="1176">
        <f>INDEX('Fan Hydraulic Data'!$A$1:$AM$300,$D$1,23+$A23)</f>
        <v>0.41528704451704884</v>
      </c>
      <c r="H23" s="1177">
        <f t="shared" si="2"/>
        <v>0.43349599531920197</v>
      </c>
      <c r="I23" s="1177">
        <f t="shared" si="5"/>
        <v>5.779811268383564E-2</v>
      </c>
      <c r="J23" s="1177">
        <f t="shared" si="3"/>
        <v>129.76506093879564</v>
      </c>
      <c r="K23" s="1177">
        <f t="shared" si="4"/>
        <v>129.7650609387957</v>
      </c>
      <c r="L23" s="279"/>
      <c r="M23" s="279"/>
      <c r="N23" s="279"/>
      <c r="O23" s="279"/>
    </row>
    <row r="24" spans="1:15">
      <c r="A24" s="276">
        <v>6</v>
      </c>
      <c r="B24" s="1173"/>
      <c r="C24" s="1173">
        <f>INDEX('Fan Hydraulic Data'!$A$1:$AM$300,$D$1,3+$A24)</f>
        <v>491.16751441557216</v>
      </c>
      <c r="D24" s="1173">
        <f>INDEX('Fan Hydraulic Data'!$A$1:$AM$300,$D$1,13+$A24)</f>
        <v>31673.93190830839</v>
      </c>
      <c r="E24" s="1174">
        <f t="shared" si="0"/>
        <v>146.21741606276706</v>
      </c>
      <c r="F24" s="1175">
        <f t="shared" si="1"/>
        <v>42.380423120870823</v>
      </c>
      <c r="G24" s="1176">
        <f>INDEX('Fan Hydraulic Data'!$A$1:$AM$300,$D$1,23+$A24)</f>
        <v>0.28984524731772093</v>
      </c>
      <c r="H24" s="1177">
        <f t="shared" si="2"/>
        <v>0.29125124497833721</v>
      </c>
      <c r="I24" s="1177">
        <f t="shared" si="5"/>
        <v>5.9969153206452165E-2</v>
      </c>
      <c r="J24" s="1177">
        <f t="shared" si="3"/>
        <v>80.986374531902356</v>
      </c>
      <c r="K24" s="1177">
        <f t="shared" si="4"/>
        <v>80.986374531902385</v>
      </c>
      <c r="L24" s="279"/>
      <c r="M24" s="279"/>
      <c r="N24" s="279"/>
      <c r="O24" s="279"/>
    </row>
    <row r="25" spans="1:15">
      <c r="A25" s="276">
        <v>7</v>
      </c>
      <c r="B25" s="1173"/>
      <c r="C25" s="1173">
        <f>INDEX('Fan Hydraulic Data'!$A$1:$AM$300,$D$1,3+$A25)</f>
        <v>491.16751441557216</v>
      </c>
      <c r="D25" s="1173">
        <f>INDEX('Fan Hydraulic Data'!$A$1:$AM$300,$D$1,13+$A25)</f>
        <v>31673.93190830839</v>
      </c>
      <c r="E25" s="1174">
        <f t="shared" si="0"/>
        <v>143.3504079046736</v>
      </c>
      <c r="F25" s="1175">
        <f t="shared" si="1"/>
        <v>42.380423120870823</v>
      </c>
      <c r="G25" s="1176">
        <f>INDEX('Fan Hydraulic Data'!$A$1:$AM$300,$D$1,23+$A25)</f>
        <v>0.29564215226407536</v>
      </c>
      <c r="H25" s="1177">
        <f t="shared" si="2"/>
        <v>0.29125124497833721</v>
      </c>
      <c r="I25" s="1177">
        <f t="shared" si="5"/>
        <v>5.9969153206452165E-2</v>
      </c>
      <c r="J25" s="1177">
        <f t="shared" si="3"/>
        <v>80.986374531902356</v>
      </c>
      <c r="K25" s="1177">
        <f t="shared" si="4"/>
        <v>80.986374531902385</v>
      </c>
      <c r="L25" s="279"/>
      <c r="M25" s="279"/>
      <c r="N25" s="279"/>
      <c r="O25" s="279"/>
    </row>
    <row r="26" spans="1:15">
      <c r="A26" s="276">
        <v>8</v>
      </c>
      <c r="B26" s="1173"/>
      <c r="C26" s="1173">
        <f>INDEX('Fan Hydraulic Data'!$A$1:$AM$300,$D$1,3+$A26)</f>
        <v>491.16751441557216</v>
      </c>
      <c r="D26" s="1173">
        <f>INDEX('Fan Hydraulic Data'!$A$1:$AM$300,$D$1,13+$A26)</f>
        <v>31673.93190830839</v>
      </c>
      <c r="E26" s="1174">
        <f t="shared" si="0"/>
        <v>143.3504079046736</v>
      </c>
      <c r="F26" s="1175">
        <f t="shared" si="1"/>
        <v>42.380423120870823</v>
      </c>
      <c r="G26" s="1176">
        <f>INDEX('Fan Hydraulic Data'!$A$1:$AM$300,$D$1,23+$A26)</f>
        <v>0.29564215226407536</v>
      </c>
      <c r="H26" s="1177">
        <f t="shared" si="2"/>
        <v>0.29125124497833721</v>
      </c>
      <c r="I26" s="1177">
        <f t="shared" si="5"/>
        <v>5.9969153206452165E-2</v>
      </c>
      <c r="J26" s="1177">
        <f t="shared" si="3"/>
        <v>80.986374531902356</v>
      </c>
      <c r="K26" s="1177">
        <f t="shared" si="4"/>
        <v>80.986374531902385</v>
      </c>
      <c r="L26" s="279"/>
      <c r="M26" s="279"/>
      <c r="N26" s="279"/>
      <c r="O26" s="279"/>
    </row>
    <row r="27" spans="1:15" ht="14.25" thickBot="1">
      <c r="A27" s="276">
        <v>9</v>
      </c>
      <c r="B27" s="1173"/>
      <c r="C27" s="1173">
        <f>INDEX('Fan Hydraulic Data'!$A$1:$AM$300,$D$1,3+$A27)</f>
        <v>491.16751441557216</v>
      </c>
      <c r="D27" s="1173">
        <f>INDEX('Fan Hydraulic Data'!$A$1:$AM$300,$D$1,13+$A27)</f>
        <v>31673.93190830839</v>
      </c>
      <c r="E27" s="1174">
        <f t="shared" si="0"/>
        <v>143.3504079046736</v>
      </c>
      <c r="F27" s="1175">
        <f t="shared" si="1"/>
        <v>42.380423120870823</v>
      </c>
      <c r="G27" s="1176">
        <f>INDEX('Fan Hydraulic Data'!$A$1:$AM$300,$D$1,23+$A27)</f>
        <v>0.29564215226407536</v>
      </c>
      <c r="H27" s="1177">
        <f t="shared" si="2"/>
        <v>0.29125124497833721</v>
      </c>
      <c r="I27" s="1177">
        <f t="shared" si="5"/>
        <v>5.9969153206452165E-2</v>
      </c>
      <c r="J27" s="1177">
        <f t="shared" si="3"/>
        <v>80.986374531902356</v>
      </c>
      <c r="K27" s="1177">
        <f t="shared" si="4"/>
        <v>80.986374531902385</v>
      </c>
      <c r="L27" s="279"/>
      <c r="M27" s="279"/>
      <c r="N27" s="279"/>
      <c r="O27" s="279"/>
    </row>
    <row r="28" spans="1:15">
      <c r="A28" s="278" t="s">
        <v>55</v>
      </c>
      <c r="B28" s="1173">
        <f>INDEX('Fan Hydraulic Data'!$A$1:$AM$300,$D$1,34)</f>
        <v>1000</v>
      </c>
      <c r="C28" s="1173">
        <f>C18*($B$28/$B$18)^2</f>
        <v>255.35683239152607</v>
      </c>
      <c r="D28" s="1173">
        <f>D18*($B$28/$B$18)</f>
        <v>2854.7686276578984</v>
      </c>
      <c r="E28" s="1174">
        <f>E18*($B$28/$B$18)^3</f>
        <v>3.0518268300638849</v>
      </c>
      <c r="F28" s="1175">
        <f t="shared" si="1"/>
        <v>1.9858757493383747</v>
      </c>
      <c r="G28" s="1176">
        <f t="shared" ref="G28" si="6">F28/E28</f>
        <v>0.65071704913768114</v>
      </c>
      <c r="H28" s="1443" t="s">
        <v>1648</v>
      </c>
      <c r="I28" s="1444"/>
      <c r="J28" s="1444"/>
      <c r="K28" s="1444"/>
      <c r="L28" s="279"/>
      <c r="M28" s="279"/>
      <c r="N28" s="279"/>
      <c r="O28" s="279"/>
    </row>
    <row r="29" spans="1:15">
      <c r="A29" s="264"/>
      <c r="B29" s="1173"/>
      <c r="C29" s="1173">
        <f t="shared" ref="C29:C37" si="7">C19*($B$28/$B$18)^2</f>
        <v>262.56776578022004</v>
      </c>
      <c r="D29" s="1173">
        <f t="shared" ref="D29:D37" si="8">D19*($B$28/$B$18)</f>
        <v>4921.1522339062476</v>
      </c>
      <c r="E29" s="1174">
        <f t="shared" ref="E29:E37" si="9">E19*($B$28/$B$18)^3</f>
        <v>4.0691024400851807</v>
      </c>
      <c r="F29" s="1175">
        <f t="shared" ref="F29:F37" si="10">C29*g*D29/3600000</f>
        <v>3.5199936759490695</v>
      </c>
      <c r="G29" s="1176">
        <f t="shared" ref="G29:G37" si="11">F29/E29</f>
        <v>0.86505408201897804</v>
      </c>
      <c r="H29" s="1445"/>
      <c r="I29" s="1446"/>
      <c r="J29" s="1446"/>
      <c r="K29" s="1446"/>
      <c r="L29" s="279"/>
      <c r="M29" s="279"/>
      <c r="N29" s="279"/>
      <c r="O29" s="279"/>
    </row>
    <row r="30" spans="1:15">
      <c r="A30" s="264"/>
      <c r="B30" s="1173"/>
      <c r="C30" s="1173">
        <f t="shared" si="7"/>
        <v>228.70277130827918</v>
      </c>
      <c r="D30" s="1173">
        <f t="shared" si="8"/>
        <v>7078.3849760108551</v>
      </c>
      <c r="E30" s="1174">
        <f t="shared" si="9"/>
        <v>5.1807356354243925</v>
      </c>
      <c r="F30" s="1175">
        <f t="shared" si="10"/>
        <v>4.4100070210412188</v>
      </c>
      <c r="G30" s="1176">
        <f t="shared" si="11"/>
        <v>0.85123181945182624</v>
      </c>
      <c r="H30" s="1445"/>
      <c r="I30" s="1446"/>
      <c r="J30" s="1446"/>
      <c r="K30" s="1446"/>
      <c r="L30" s="279"/>
      <c r="M30" s="279"/>
      <c r="N30" s="279"/>
      <c r="O30" s="279"/>
    </row>
    <row r="31" spans="1:15">
      <c r="A31" s="264"/>
      <c r="B31" s="1173"/>
      <c r="C31" s="1173">
        <f t="shared" si="7"/>
        <v>181.72456671733136</v>
      </c>
      <c r="D31" s="1173">
        <f t="shared" si="8"/>
        <v>8477.0873593378892</v>
      </c>
      <c r="E31" s="1174">
        <f t="shared" si="9"/>
        <v>5.8329132429479404</v>
      </c>
      <c r="F31" s="1175">
        <f t="shared" si="10"/>
        <v>4.1965652038105894</v>
      </c>
      <c r="G31" s="1176">
        <f t="shared" si="11"/>
        <v>0.71946299027922034</v>
      </c>
      <c r="H31" s="1445"/>
      <c r="I31" s="1446"/>
      <c r="J31" s="1446"/>
      <c r="K31" s="1446"/>
      <c r="L31" s="279"/>
      <c r="M31" s="279"/>
      <c r="N31" s="279"/>
      <c r="O31" s="279"/>
    </row>
    <row r="32" spans="1:15">
      <c r="A32" s="264"/>
      <c r="B32" s="1173"/>
      <c r="C32" s="1173">
        <f t="shared" si="7"/>
        <v>128.83504806127348</v>
      </c>
      <c r="D32" s="1173">
        <f t="shared" si="8"/>
        <v>9530.420085822816</v>
      </c>
      <c r="E32" s="1174">
        <f t="shared" si="9"/>
        <v>5.7952815446063433</v>
      </c>
      <c r="F32" s="1175">
        <f t="shared" si="10"/>
        <v>3.3448738435998537</v>
      </c>
      <c r="G32" s="1176">
        <f t="shared" si="11"/>
        <v>0.57717193165756042</v>
      </c>
      <c r="H32" s="1445"/>
      <c r="I32" s="1446"/>
      <c r="J32" s="1446"/>
      <c r="K32" s="1446"/>
      <c r="L32" s="279"/>
      <c r="M32" s="279"/>
      <c r="N32" s="279"/>
      <c r="O32" s="279"/>
    </row>
    <row r="33" spans="1:15">
      <c r="A33" s="264"/>
      <c r="B33" s="1173"/>
      <c r="C33" s="1173">
        <f t="shared" si="7"/>
        <v>82.321714383175248</v>
      </c>
      <c r="D33" s="1173">
        <f t="shared" si="8"/>
        <v>10244.044482291729</v>
      </c>
      <c r="E33" s="1174">
        <f t="shared" si="9"/>
        <v>5.5318596562151434</v>
      </c>
      <c r="F33" s="1175">
        <f t="shared" si="10"/>
        <v>2.2973096473126855</v>
      </c>
      <c r="G33" s="1176">
        <f t="shared" si="11"/>
        <v>0.41528704451704895</v>
      </c>
      <c r="H33" s="1445"/>
      <c r="I33" s="1446"/>
      <c r="J33" s="1446"/>
      <c r="K33" s="1446"/>
      <c r="L33" s="279"/>
      <c r="M33" s="279"/>
      <c r="N33" s="279"/>
      <c r="O33" s="279"/>
    </row>
    <row r="34" spans="1:15">
      <c r="A34" s="264"/>
      <c r="B34" s="1173"/>
      <c r="C34" s="1173">
        <f t="shared" si="7"/>
        <v>55.309165624923679</v>
      </c>
      <c r="D34" s="1173">
        <f t="shared" si="8"/>
        <v>10628.836210841742</v>
      </c>
      <c r="E34" s="1174">
        <f t="shared" si="9"/>
        <v>5.5252293816639506</v>
      </c>
      <c r="F34" s="1175">
        <f t="shared" si="10"/>
        <v>1.6014614766155264</v>
      </c>
      <c r="G34" s="1176">
        <f t="shared" si="11"/>
        <v>0.28984524731772099</v>
      </c>
      <c r="H34" s="1445"/>
      <c r="I34" s="1446"/>
      <c r="J34" s="1446"/>
      <c r="K34" s="1446"/>
      <c r="L34" s="279"/>
      <c r="M34" s="279"/>
      <c r="N34" s="279"/>
      <c r="O34" s="279"/>
    </row>
    <row r="35" spans="1:15">
      <c r="A35" s="264"/>
      <c r="B35" s="1173"/>
      <c r="C35" s="1173">
        <f t="shared" si="7"/>
        <v>55.309165624923679</v>
      </c>
      <c r="D35" s="1173">
        <f t="shared" si="8"/>
        <v>10628.836210841742</v>
      </c>
      <c r="E35" s="1174">
        <f t="shared" si="9"/>
        <v>5.4168915506509325</v>
      </c>
      <c r="F35" s="1175">
        <f t="shared" si="10"/>
        <v>1.6014614766155264</v>
      </c>
      <c r="G35" s="1176">
        <f t="shared" si="11"/>
        <v>0.29564215226407536</v>
      </c>
      <c r="H35" s="1445"/>
      <c r="I35" s="1446"/>
      <c r="J35" s="1446"/>
      <c r="K35" s="1446"/>
      <c r="L35" s="279"/>
      <c r="M35" s="279"/>
      <c r="N35" s="279"/>
      <c r="O35" s="279"/>
    </row>
    <row r="36" spans="1:15">
      <c r="A36" s="264"/>
      <c r="B36" s="1173"/>
      <c r="C36" s="1173">
        <f t="shared" si="7"/>
        <v>55.309165624923679</v>
      </c>
      <c r="D36" s="1173">
        <f t="shared" si="8"/>
        <v>10628.836210841742</v>
      </c>
      <c r="E36" s="1174">
        <f t="shared" si="9"/>
        <v>5.4168915506509325</v>
      </c>
      <c r="F36" s="1175">
        <f t="shared" si="10"/>
        <v>1.6014614766155264</v>
      </c>
      <c r="G36" s="1176">
        <f t="shared" si="11"/>
        <v>0.29564215226407536</v>
      </c>
      <c r="H36" s="1445"/>
      <c r="I36" s="1446"/>
      <c r="J36" s="1446"/>
      <c r="K36" s="1446"/>
      <c r="L36" s="279"/>
      <c r="M36" s="279"/>
      <c r="N36" s="279"/>
      <c r="O36" s="279"/>
    </row>
    <row r="37" spans="1:15">
      <c r="A37" s="264"/>
      <c r="B37" s="1173"/>
      <c r="C37" s="1173">
        <f t="shared" si="7"/>
        <v>55.309165624923679</v>
      </c>
      <c r="D37" s="1173">
        <f t="shared" si="8"/>
        <v>10628.836210841742</v>
      </c>
      <c r="E37" s="1174">
        <f t="shared" si="9"/>
        <v>5.4168915506509325</v>
      </c>
      <c r="F37" s="1175">
        <f t="shared" si="10"/>
        <v>1.6014614766155264</v>
      </c>
      <c r="G37" s="1176">
        <f t="shared" si="11"/>
        <v>0.29564215226407536</v>
      </c>
      <c r="H37" s="1445"/>
      <c r="I37" s="1446"/>
      <c r="J37" s="1446"/>
      <c r="K37" s="1446"/>
      <c r="L37" s="279"/>
      <c r="M37" s="279"/>
      <c r="N37" s="279"/>
      <c r="O37" s="279"/>
    </row>
    <row r="38" spans="1:15">
      <c r="A38" s="278" t="s">
        <v>56</v>
      </c>
      <c r="B38" s="1173">
        <f>MAX(R78:R97)</f>
        <v>4000</v>
      </c>
      <c r="C38" s="1173">
        <f>C18*($B$38/$B$18)^2</f>
        <v>4085.7093182644171</v>
      </c>
      <c r="D38" s="1173">
        <f>D18*($B$38/$B$18)</f>
        <v>11419.074510631594</v>
      </c>
      <c r="E38" s="1174">
        <f>E18*($B$38/$B$18)^3</f>
        <v>195.31691712408863</v>
      </c>
      <c r="F38" s="1175">
        <f t="shared" si="1"/>
        <v>127.09604795765598</v>
      </c>
      <c r="G38" s="1176">
        <f t="shared" ref="G38" si="12">F38/E38</f>
        <v>0.65071704913768114</v>
      </c>
      <c r="H38" s="1445"/>
      <c r="I38" s="1446"/>
      <c r="J38" s="1446"/>
      <c r="K38" s="1446"/>
      <c r="L38" s="279"/>
      <c r="M38" s="279"/>
      <c r="N38" s="279"/>
      <c r="O38" s="279"/>
    </row>
    <row r="39" spans="1:15">
      <c r="A39" s="264"/>
      <c r="B39" s="1173"/>
      <c r="C39" s="1173">
        <f t="shared" ref="C39:C47" si="13">C19*($B$38/$B$18)^2</f>
        <v>4201.0842524835207</v>
      </c>
      <c r="D39" s="1173">
        <f t="shared" ref="D39:D47" si="14">D19*($B$38/$B$18)</f>
        <v>19684.60893562499</v>
      </c>
      <c r="E39" s="1174">
        <f t="shared" ref="E39:E47" si="15">E19*($B$38/$B$18)^3</f>
        <v>260.42255616545157</v>
      </c>
      <c r="F39" s="1175">
        <f t="shared" ref="F39:F47" si="16">C39*g*D39/3600000</f>
        <v>225.27959526074045</v>
      </c>
      <c r="G39" s="1176">
        <f t="shared" ref="G39:G47" si="17">F39/E39</f>
        <v>0.86505408201897804</v>
      </c>
      <c r="H39" s="1445"/>
      <c r="I39" s="1446"/>
      <c r="J39" s="1446"/>
      <c r="K39" s="1446"/>
      <c r="L39" s="279"/>
      <c r="M39" s="279"/>
      <c r="N39" s="279"/>
      <c r="O39" s="279"/>
    </row>
    <row r="40" spans="1:15">
      <c r="A40" s="264"/>
      <c r="B40" s="1173"/>
      <c r="C40" s="1173">
        <f t="shared" si="13"/>
        <v>3659.2443409324669</v>
      </c>
      <c r="D40" s="1173">
        <f t="shared" si="14"/>
        <v>28313.53990404342</v>
      </c>
      <c r="E40" s="1174">
        <f t="shared" si="15"/>
        <v>331.56708066716112</v>
      </c>
      <c r="F40" s="1175">
        <f t="shared" si="16"/>
        <v>282.240449346638</v>
      </c>
      <c r="G40" s="1176">
        <f t="shared" si="17"/>
        <v>0.85123181945182624</v>
      </c>
      <c r="H40" s="1445"/>
      <c r="I40" s="1446"/>
      <c r="J40" s="1446"/>
      <c r="K40" s="1446"/>
      <c r="L40" s="279"/>
      <c r="M40" s="279"/>
      <c r="N40" s="279"/>
      <c r="O40" s="279"/>
    </row>
    <row r="41" spans="1:15">
      <c r="A41" s="264"/>
      <c r="B41" s="1173"/>
      <c r="C41" s="1173">
        <f t="shared" si="13"/>
        <v>2907.5930674773017</v>
      </c>
      <c r="D41" s="1173">
        <f t="shared" si="14"/>
        <v>33908.349437351557</v>
      </c>
      <c r="E41" s="1174">
        <f t="shared" si="15"/>
        <v>373.30644754866819</v>
      </c>
      <c r="F41" s="1175">
        <f t="shared" si="16"/>
        <v>268.58017304387772</v>
      </c>
      <c r="G41" s="1176">
        <f t="shared" si="17"/>
        <v>0.71946299027922034</v>
      </c>
      <c r="H41" s="1445"/>
      <c r="I41" s="1446"/>
      <c r="J41" s="1446"/>
      <c r="K41" s="1446"/>
      <c r="L41" s="279"/>
      <c r="M41" s="279"/>
      <c r="N41" s="279"/>
      <c r="O41" s="279"/>
    </row>
    <row r="42" spans="1:15">
      <c r="A42" s="264"/>
      <c r="B42" s="1173"/>
      <c r="C42" s="1173">
        <f t="shared" si="13"/>
        <v>2061.3607689803757</v>
      </c>
      <c r="D42" s="1173">
        <f t="shared" si="14"/>
        <v>38121.680343291264</v>
      </c>
      <c r="E42" s="1174">
        <f t="shared" si="15"/>
        <v>370.89801885480597</v>
      </c>
      <c r="F42" s="1175">
        <f t="shared" si="16"/>
        <v>214.07192599039064</v>
      </c>
      <c r="G42" s="1176">
        <f t="shared" si="17"/>
        <v>0.57717193165756042</v>
      </c>
      <c r="H42" s="1445"/>
      <c r="I42" s="1446"/>
      <c r="J42" s="1446"/>
      <c r="K42" s="1446"/>
      <c r="L42" s="279"/>
      <c r="M42" s="279"/>
      <c r="N42" s="279"/>
      <c r="O42" s="279"/>
    </row>
    <row r="43" spans="1:15">
      <c r="A43" s="264"/>
      <c r="B43" s="1173"/>
      <c r="C43" s="1173">
        <f t="shared" si="13"/>
        <v>1317.147430130804</v>
      </c>
      <c r="D43" s="1173">
        <f t="shared" si="14"/>
        <v>40976.177929166915</v>
      </c>
      <c r="E43" s="1174">
        <f t="shared" si="15"/>
        <v>354.03901799776918</v>
      </c>
      <c r="F43" s="1175">
        <f t="shared" si="16"/>
        <v>147.02781742801187</v>
      </c>
      <c r="G43" s="1176">
        <f t="shared" si="17"/>
        <v>0.41528704451704895</v>
      </c>
      <c r="H43" s="1445"/>
      <c r="I43" s="1446"/>
      <c r="J43" s="1446"/>
      <c r="K43" s="1446"/>
      <c r="L43" s="279"/>
      <c r="M43" s="279"/>
      <c r="N43" s="279"/>
      <c r="O43" s="279"/>
    </row>
    <row r="44" spans="1:15">
      <c r="A44" s="264"/>
      <c r="B44" s="1173"/>
      <c r="C44" s="1173">
        <f t="shared" si="13"/>
        <v>884.94664999877887</v>
      </c>
      <c r="D44" s="1173">
        <f t="shared" si="14"/>
        <v>42515.344843366969</v>
      </c>
      <c r="E44" s="1174">
        <f t="shared" si="15"/>
        <v>353.61468042649284</v>
      </c>
      <c r="F44" s="1175">
        <f t="shared" si="16"/>
        <v>102.49353450339369</v>
      </c>
      <c r="G44" s="1176">
        <f t="shared" si="17"/>
        <v>0.28984524731772099</v>
      </c>
      <c r="H44" s="1445"/>
      <c r="I44" s="1446"/>
      <c r="J44" s="1446"/>
      <c r="K44" s="1446"/>
      <c r="L44" s="279"/>
      <c r="M44" s="279"/>
      <c r="N44" s="279"/>
      <c r="O44" s="279"/>
    </row>
    <row r="45" spans="1:15">
      <c r="A45" s="264"/>
      <c r="B45" s="1173"/>
      <c r="C45" s="1173">
        <f t="shared" si="13"/>
        <v>884.94664999877887</v>
      </c>
      <c r="D45" s="1173">
        <f t="shared" si="14"/>
        <v>42515.344843366969</v>
      </c>
      <c r="E45" s="1174">
        <f t="shared" si="15"/>
        <v>346.68105924165968</v>
      </c>
      <c r="F45" s="1175">
        <f t="shared" si="16"/>
        <v>102.49353450339369</v>
      </c>
      <c r="G45" s="1176">
        <f t="shared" si="17"/>
        <v>0.29564215226407536</v>
      </c>
      <c r="H45" s="1445"/>
      <c r="I45" s="1446"/>
      <c r="J45" s="1446"/>
      <c r="K45" s="1446"/>
      <c r="L45" s="279"/>
      <c r="M45" s="279"/>
      <c r="N45" s="279"/>
      <c r="O45" s="279"/>
    </row>
    <row r="46" spans="1:15">
      <c r="A46" s="264"/>
      <c r="B46" s="1173"/>
      <c r="C46" s="1173">
        <f t="shared" si="13"/>
        <v>884.94664999877887</v>
      </c>
      <c r="D46" s="1173">
        <f t="shared" si="14"/>
        <v>42515.344843366969</v>
      </c>
      <c r="E46" s="1174">
        <f t="shared" si="15"/>
        <v>346.68105924165968</v>
      </c>
      <c r="F46" s="1175">
        <f t="shared" si="16"/>
        <v>102.49353450339369</v>
      </c>
      <c r="G46" s="1176">
        <f t="shared" si="17"/>
        <v>0.29564215226407536</v>
      </c>
      <c r="H46" s="1445"/>
      <c r="I46" s="1446"/>
      <c r="J46" s="1446"/>
      <c r="K46" s="1446"/>
      <c r="L46" s="279"/>
      <c r="M46" s="279"/>
      <c r="N46" s="279"/>
      <c r="O46" s="279"/>
    </row>
    <row r="47" spans="1:15" ht="14.25" thickBot="1">
      <c r="A47" s="264"/>
      <c r="B47" s="1173"/>
      <c r="C47" s="1173">
        <f t="shared" si="13"/>
        <v>884.94664999877887</v>
      </c>
      <c r="D47" s="1173">
        <f t="shared" si="14"/>
        <v>42515.344843366969</v>
      </c>
      <c r="E47" s="1174">
        <f t="shared" si="15"/>
        <v>346.68105924165968</v>
      </c>
      <c r="F47" s="1175">
        <f t="shared" si="16"/>
        <v>102.49353450339369</v>
      </c>
      <c r="G47" s="1176">
        <f t="shared" si="17"/>
        <v>0.29564215226407536</v>
      </c>
      <c r="H47" s="1447"/>
      <c r="I47" s="1448"/>
      <c r="J47" s="1448"/>
      <c r="K47" s="1448"/>
      <c r="L47" s="279"/>
      <c r="M47" s="279"/>
      <c r="N47" s="279"/>
      <c r="O47" s="279"/>
    </row>
    <row r="48" spans="1:15">
      <c r="A48" s="264"/>
    </row>
    <row r="49" spans="1:18">
      <c r="A49" s="264"/>
    </row>
    <row r="50" spans="1:18">
      <c r="A50" s="264"/>
      <c r="E50" s="279"/>
      <c r="F50" s="279"/>
      <c r="G50" s="279"/>
      <c r="H50" s="279"/>
      <c r="I50" s="279"/>
      <c r="J50" s="279"/>
      <c r="K50" s="279"/>
      <c r="L50" s="279"/>
      <c r="M50" s="279"/>
      <c r="N50" s="279"/>
    </row>
    <row r="51" spans="1:18">
      <c r="A51" s="264"/>
      <c r="B51" s="277"/>
      <c r="C51" s="277"/>
      <c r="E51" s="266"/>
      <c r="F51" s="280"/>
      <c r="G51" s="279"/>
      <c r="H51" s="279"/>
      <c r="I51" s="280"/>
      <c r="J51" s="280"/>
      <c r="K51" s="279"/>
      <c r="L51" s="279"/>
      <c r="M51" s="279"/>
      <c r="N51" s="280"/>
    </row>
    <row r="52" spans="1:18">
      <c r="A52" s="264"/>
      <c r="B52" s="277"/>
      <c r="C52" s="277"/>
      <c r="E52" s="266"/>
      <c r="F52" s="280"/>
      <c r="G52" s="279"/>
      <c r="H52" s="279"/>
      <c r="I52" s="280"/>
      <c r="J52" s="280"/>
      <c r="K52" s="279"/>
      <c r="L52" s="279"/>
      <c r="M52" s="279"/>
      <c r="N52" s="280"/>
    </row>
    <row r="53" spans="1:18">
      <c r="A53" s="264"/>
      <c r="E53" s="279"/>
      <c r="F53" s="279"/>
      <c r="G53" s="279"/>
      <c r="H53" s="279"/>
      <c r="I53" s="279"/>
      <c r="J53" s="279"/>
      <c r="K53" s="279"/>
      <c r="L53" s="279"/>
      <c r="M53" s="279"/>
      <c r="N53" s="279"/>
    </row>
    <row r="54" spans="1:18">
      <c r="A54" s="264"/>
    </row>
    <row r="55" spans="1:18" ht="17.25" customHeight="1" thickBot="1">
      <c r="A55" s="264" t="s">
        <v>65</v>
      </c>
      <c r="B55" s="264" t="s">
        <v>51</v>
      </c>
      <c r="C55" s="267">
        <f>$L$61</f>
        <v>713.77589101235446</v>
      </c>
      <c r="D55" s="267" t="s">
        <v>16</v>
      </c>
      <c r="E55" s="267">
        <f>C55*g</f>
        <v>7000.0001631581608</v>
      </c>
      <c r="F55" s="267" t="s">
        <v>17</v>
      </c>
      <c r="M55" s="264" t="s">
        <v>52</v>
      </c>
      <c r="N55" s="264" t="s">
        <v>53</v>
      </c>
      <c r="O55" s="264" t="s">
        <v>58</v>
      </c>
    </row>
    <row r="56" spans="1:18" ht="15">
      <c r="A56" s="264"/>
      <c r="B56" s="281" t="s">
        <v>47</v>
      </c>
      <c r="C56" s="282">
        <f>$M$56*LN($J$56)+$N$56</f>
        <v>3.3615547944835053E-2</v>
      </c>
      <c r="E56" s="267" t="s">
        <v>57</v>
      </c>
      <c r="H56" s="264" t="s">
        <v>1645</v>
      </c>
      <c r="I56" s="281" t="s">
        <v>1646</v>
      </c>
      <c r="J56" s="282">
        <f>PI()^2*($H$1/2)^4*$E$4/(rho_std/2*$E$6^2)</f>
        <v>1180.7233305047066</v>
      </c>
      <c r="K56" s="267" t="s">
        <v>1647</v>
      </c>
      <c r="M56" s="1178">
        <f t="array" ref="M56:N56">LINEST(I18:I27,LN(J18:J27))</f>
        <v>-1.039854822408158E-2</v>
      </c>
      <c r="N56" s="1179">
        <v>0.10717365647728475</v>
      </c>
      <c r="O56" s="1180"/>
      <c r="P56" s="1449" t="s">
        <v>1650</v>
      </c>
      <c r="Q56" s="1450"/>
      <c r="R56" s="1451"/>
    </row>
    <row r="57" spans="1:18" ht="14.25" thickBot="1">
      <c r="A57" s="259" t="b">
        <f>AND(C57&gt;=$B$28,C57&lt;=$B$38/rev_safety_f)</f>
        <v>1</v>
      </c>
      <c r="B57" s="264" t="s">
        <v>1654</v>
      </c>
      <c r="C57" s="267">
        <f>E57*60</f>
        <v>1678.4252600295918</v>
      </c>
      <c r="D57" s="267" t="s">
        <v>27</v>
      </c>
      <c r="E57" s="273">
        <f>$E$6/($C$56*PI()*$H$1*PI()*($H$1/2)^2)</f>
        <v>27.97375433382653</v>
      </c>
      <c r="F57" s="267" t="s">
        <v>28</v>
      </c>
      <c r="M57" s="1181"/>
      <c r="N57" s="1182"/>
      <c r="O57" s="1183"/>
      <c r="P57" s="1452"/>
      <c r="Q57" s="1453"/>
      <c r="R57" s="1454"/>
    </row>
    <row r="58" spans="1:18" ht="14.45" customHeight="1">
      <c r="A58" s="259" t="b">
        <f>C58&gt;=MIN($G$19,$G$27)</f>
        <v>1</v>
      </c>
      <c r="B58" s="264" t="s">
        <v>991</v>
      </c>
      <c r="C58" s="274">
        <f>$M$58*$C$56^2+$N$58*$C$56+$O$58</f>
        <v>0.89792929506602903</v>
      </c>
      <c r="E58" s="267" t="s">
        <v>63</v>
      </c>
      <c r="M58" s="1178">
        <f t="array" ref="M58:O58">LINEST(G18:G27,(I18:I27)^COLUMN($A:$B))</f>
        <v>-843.56204390564062</v>
      </c>
      <c r="N58" s="1179">
        <v>56.356108640414696</v>
      </c>
      <c r="O58" s="1180">
        <v>-4.3282795819449049E-2</v>
      </c>
      <c r="P58" s="1449" t="s">
        <v>1655</v>
      </c>
      <c r="Q58" s="1450"/>
      <c r="R58" s="1451"/>
    </row>
    <row r="59" spans="1:18">
      <c r="A59" s="264"/>
      <c r="M59" s="1184"/>
      <c r="N59" s="283"/>
      <c r="O59" s="1185"/>
      <c r="P59" s="1458"/>
      <c r="Q59" s="1459"/>
      <c r="R59" s="1460"/>
    </row>
    <row r="60" spans="1:18" ht="14.25" thickBot="1">
      <c r="A60" s="264"/>
      <c r="B60" s="260" t="s">
        <v>0</v>
      </c>
      <c r="C60" s="267" t="s">
        <v>66</v>
      </c>
      <c r="F60" s="260" t="s">
        <v>5</v>
      </c>
      <c r="G60" s="260" t="s">
        <v>6</v>
      </c>
      <c r="H60" s="260" t="s">
        <v>3</v>
      </c>
      <c r="I60" s="260" t="s">
        <v>4</v>
      </c>
      <c r="J60" s="260" t="s">
        <v>1</v>
      </c>
      <c r="M60" s="1181"/>
      <c r="N60" s="1182"/>
      <c r="O60" s="1183"/>
      <c r="P60" s="1452"/>
      <c r="Q60" s="1453"/>
      <c r="R60" s="1454"/>
    </row>
    <row r="61" spans="1:18" ht="14.45" customHeight="1" thickBot="1">
      <c r="A61" s="264" t="s">
        <v>64</v>
      </c>
      <c r="B61" s="284">
        <v>1672.3774886767021</v>
      </c>
      <c r="C61" s="267">
        <f>$C$4-$L$61</f>
        <v>-1.6636908412692719E-5</v>
      </c>
      <c r="E61" s="1455" t="s">
        <v>1649</v>
      </c>
      <c r="F61" s="1191">
        <f>C18*($B$61/$B$18)^2</f>
        <v>714.19385389401725</v>
      </c>
      <c r="G61" s="1192">
        <f>D18*($B$61/$B$18)</f>
        <v>4774.2507882755508</v>
      </c>
      <c r="H61" s="1192">
        <f>E18*($B$61/$B$18)^3</f>
        <v>14.274563137553155</v>
      </c>
      <c r="I61" s="1192">
        <f t="shared" ref="I61" si="18">F61*g*G61/3600000</f>
        <v>9.288701602598108</v>
      </c>
      <c r="J61" s="1193">
        <f t="shared" ref="J61" si="19">I61/H61</f>
        <v>0.65071704913768114</v>
      </c>
      <c r="K61" s="267" t="s">
        <v>62</v>
      </c>
      <c r="L61" s="267">
        <f>M61*C$6^2+N61*C$6+O61</f>
        <v>713.77589101235446</v>
      </c>
      <c r="M61" s="1178">
        <f t="array" ref="M61:O65">LINEST(F61:F70,(G61:G70)^COLUMN($A:$B),,TRUE)</f>
        <v>-5.5858424469425181E-6</v>
      </c>
      <c r="N61" s="1179">
        <v>8.3616511202230584E-2</v>
      </c>
      <c r="O61" s="1180">
        <v>436.19502368430039</v>
      </c>
      <c r="P61" s="1449" t="s">
        <v>1651</v>
      </c>
      <c r="Q61" s="1450"/>
      <c r="R61" s="1451"/>
    </row>
    <row r="62" spans="1:18" ht="14.45" customHeight="1">
      <c r="A62" s="264"/>
      <c r="B62" s="1449" t="s">
        <v>1652</v>
      </c>
      <c r="C62" s="1451"/>
      <c r="E62" s="1456"/>
      <c r="F62" s="1194">
        <f t="shared" ref="F62:F70" si="20">C19*($B$61/$B$18)^2</f>
        <v>734.36172744888711</v>
      </c>
      <c r="G62" s="1195">
        <f t="shared" ref="G62:G70" si="21">D19*($B$61/$B$18)</f>
        <v>8230.0242143358737</v>
      </c>
      <c r="H62" s="1195">
        <f t="shared" ref="H62:H70" si="22">E19*($B$61/$B$18)^3</f>
        <v>19.032750850070876</v>
      </c>
      <c r="I62" s="1195">
        <f t="shared" ref="I62:I70" si="23">F62*g*G62/3600000</f>
        <v>16.464358814903985</v>
      </c>
      <c r="J62" s="1196">
        <f t="shared" ref="J62:J70" si="24">I62/H62</f>
        <v>0.86505408201897804</v>
      </c>
      <c r="M62" s="1184">
        <v>1.6218287013680362E-7</v>
      </c>
      <c r="N62" s="283">
        <v>3.9107112415108234E-3</v>
      </c>
      <c r="O62" s="1185">
        <v>20.787584735010757</v>
      </c>
      <c r="P62" s="1458"/>
      <c r="Q62" s="1459"/>
      <c r="R62" s="1460"/>
    </row>
    <row r="63" spans="1:18">
      <c r="A63" s="264"/>
      <c r="B63" s="1458"/>
      <c r="C63" s="1460"/>
      <c r="E63" s="1456"/>
      <c r="F63" s="1194">
        <f t="shared" si="20"/>
        <v>639.64653738523702</v>
      </c>
      <c r="G63" s="1195">
        <f t="shared" si="21"/>
        <v>11837.731690067933</v>
      </c>
      <c r="H63" s="1195">
        <f t="shared" si="22"/>
        <v>24.232285134372766</v>
      </c>
      <c r="I63" s="1195">
        <f t="shared" si="23"/>
        <v>20.627292164407578</v>
      </c>
      <c r="J63" s="1196">
        <f t="shared" si="24"/>
        <v>0.85123181945182647</v>
      </c>
      <c r="M63" s="1184">
        <v>0.99924008954896593</v>
      </c>
      <c r="N63" s="283">
        <v>7.7058802105933628</v>
      </c>
      <c r="O63" s="1185" t="e">
        <v>#N/A</v>
      </c>
      <c r="P63" s="1458"/>
      <c r="Q63" s="1459"/>
      <c r="R63" s="1460"/>
    </row>
    <row r="64" spans="1:18">
      <c r="A64" s="264"/>
      <c r="B64" s="1458"/>
      <c r="C64" s="1460"/>
      <c r="E64" s="1456"/>
      <c r="F64" s="1194">
        <f t="shared" si="20"/>
        <v>508.25571196025794</v>
      </c>
      <c r="G64" s="1195">
        <f t="shared" si="21"/>
        <v>14176.890069302515</v>
      </c>
      <c r="H64" s="1195">
        <f t="shared" si="22"/>
        <v>27.282769632308181</v>
      </c>
      <c r="I64" s="1195">
        <f t="shared" si="23"/>
        <v>19.628943022759547</v>
      </c>
      <c r="J64" s="1196">
        <f t="shared" si="24"/>
        <v>0.71946299027922023</v>
      </c>
      <c r="M64" s="1186">
        <v>4602.3058488830557</v>
      </c>
      <c r="N64" s="285">
        <v>7</v>
      </c>
      <c r="O64" s="1187" t="e">
        <v>#N/A</v>
      </c>
      <c r="P64" s="1458"/>
      <c r="Q64" s="1459"/>
      <c r="R64" s="1460"/>
    </row>
    <row r="65" spans="1:22" ht="14.25" thickBot="1">
      <c r="A65" s="264"/>
      <c r="B65" s="1458"/>
      <c r="C65" s="1460"/>
      <c r="E65" s="1456"/>
      <c r="F65" s="1194">
        <f t="shared" si="20"/>
        <v>360.33184869094293</v>
      </c>
      <c r="G65" s="1195">
        <f t="shared" si="21"/>
        <v>15938.46000916236</v>
      </c>
      <c r="H65" s="1195">
        <f t="shared" si="22"/>
        <v>27.106751763712655</v>
      </c>
      <c r="I65" s="1195">
        <f t="shared" si="23"/>
        <v>15.645256276424016</v>
      </c>
      <c r="J65" s="1196">
        <f t="shared" si="24"/>
        <v>0.57717193165756042</v>
      </c>
      <c r="M65" s="1188">
        <v>546575.27167755598</v>
      </c>
      <c r="N65" s="1189">
        <v>415.66412874010092</v>
      </c>
      <c r="O65" s="1190" t="e">
        <v>#N/A</v>
      </c>
      <c r="P65" s="1452"/>
      <c r="Q65" s="1453"/>
      <c r="R65" s="1454"/>
    </row>
    <row r="66" spans="1:22">
      <c r="A66" s="264"/>
      <c r="B66" s="1458"/>
      <c r="C66" s="1460"/>
      <c r="E66" s="1456"/>
      <c r="F66" s="1194">
        <f t="shared" si="20"/>
        <v>230.24119583507775</v>
      </c>
      <c r="G66" s="1195">
        <f t="shared" si="21"/>
        <v>17131.909385187468</v>
      </c>
      <c r="H66" s="1195">
        <f t="shared" si="22"/>
        <v>25.874626683543887</v>
      </c>
      <c r="I66" s="1195">
        <f t="shared" si="23"/>
        <v>10.745397243390912</v>
      </c>
      <c r="J66" s="1196">
        <f t="shared" si="24"/>
        <v>0.4152870445170489</v>
      </c>
      <c r="M66" s="279"/>
      <c r="N66" s="279"/>
      <c r="O66" s="279"/>
    </row>
    <row r="67" spans="1:22">
      <c r="A67" s="264"/>
      <c r="B67" s="1458"/>
      <c r="C67" s="1460"/>
      <c r="E67" s="1456"/>
      <c r="F67" s="1194">
        <f t="shared" si="20"/>
        <v>154.69124433984632</v>
      </c>
      <c r="G67" s="1195">
        <f t="shared" si="21"/>
        <v>17775.426409843505</v>
      </c>
      <c r="H67" s="1195">
        <f t="shared" si="22"/>
        <v>25.843614349630325</v>
      </c>
      <c r="I67" s="1195">
        <f t="shared" si="23"/>
        <v>7.4906487927524017</v>
      </c>
      <c r="J67" s="1196">
        <f t="shared" si="24"/>
        <v>0.28984524731772088</v>
      </c>
      <c r="M67" s="279"/>
      <c r="N67" s="279"/>
      <c r="O67" s="279"/>
    </row>
    <row r="68" spans="1:22">
      <c r="A68" s="264"/>
      <c r="B68" s="1458"/>
      <c r="C68" s="1460"/>
      <c r="E68" s="1456"/>
      <c r="F68" s="1194">
        <f t="shared" si="20"/>
        <v>154.69124433984632</v>
      </c>
      <c r="G68" s="1195">
        <f t="shared" si="21"/>
        <v>17775.426409843505</v>
      </c>
      <c r="H68" s="1195">
        <f t="shared" si="22"/>
        <v>25.336876813363066</v>
      </c>
      <c r="I68" s="1195">
        <f t="shared" si="23"/>
        <v>7.4906487927524017</v>
      </c>
      <c r="J68" s="1196">
        <f t="shared" si="24"/>
        <v>0.29564215226407525</v>
      </c>
      <c r="M68" s="279"/>
      <c r="N68" s="279"/>
      <c r="O68" s="279"/>
    </row>
    <row r="69" spans="1:22">
      <c r="A69" s="264"/>
      <c r="B69" s="1458"/>
      <c r="C69" s="1460"/>
      <c r="E69" s="1456"/>
      <c r="F69" s="1194">
        <f t="shared" si="20"/>
        <v>154.69124433984632</v>
      </c>
      <c r="G69" s="1195">
        <f t="shared" si="21"/>
        <v>17775.426409843505</v>
      </c>
      <c r="H69" s="1195">
        <f t="shared" si="22"/>
        <v>25.336876813363066</v>
      </c>
      <c r="I69" s="1195">
        <f t="shared" si="23"/>
        <v>7.4906487927524017</v>
      </c>
      <c r="J69" s="1196">
        <f t="shared" si="24"/>
        <v>0.29564215226407525</v>
      </c>
      <c r="M69" s="279"/>
      <c r="N69" s="279"/>
      <c r="O69" s="279"/>
    </row>
    <row r="70" spans="1:22" ht="14.25" thickBot="1">
      <c r="A70" s="264"/>
      <c r="B70" s="1452"/>
      <c r="C70" s="1454"/>
      <c r="E70" s="1457"/>
      <c r="F70" s="1197">
        <f t="shared" si="20"/>
        <v>154.69124433984632</v>
      </c>
      <c r="G70" s="1198">
        <f t="shared" si="21"/>
        <v>17775.426409843505</v>
      </c>
      <c r="H70" s="1198">
        <f t="shared" si="22"/>
        <v>25.336876813363066</v>
      </c>
      <c r="I70" s="1198">
        <f t="shared" si="23"/>
        <v>7.4906487927524017</v>
      </c>
      <c r="J70" s="1199">
        <f t="shared" si="24"/>
        <v>0.29564215226407525</v>
      </c>
      <c r="L70" s="264"/>
      <c r="M70" s="787"/>
      <c r="N70" s="279"/>
      <c r="O70" s="279"/>
    </row>
    <row r="71" spans="1:22">
      <c r="A71" s="264"/>
    </row>
    <row r="72" spans="1:22">
      <c r="A72" s="264"/>
    </row>
    <row r="73" spans="1:22">
      <c r="A73" s="264"/>
    </row>
    <row r="74" spans="1:22" ht="14.25" thickBot="1">
      <c r="A74" s="264"/>
    </row>
    <row r="75" spans="1:22">
      <c r="A75" s="1440" t="s">
        <v>782</v>
      </c>
      <c r="B75" s="1441"/>
      <c r="C75" s="1441"/>
      <c r="D75" s="1441"/>
      <c r="E75" s="1441"/>
      <c r="F75" s="1441"/>
      <c r="G75" s="1441"/>
      <c r="H75" s="1441"/>
      <c r="I75" s="1441"/>
      <c r="J75" s="1441"/>
      <c r="K75" s="1441"/>
      <c r="L75" s="1441"/>
      <c r="M75" s="1441"/>
      <c r="N75" s="1441"/>
      <c r="O75" s="1441"/>
      <c r="P75" s="1441"/>
      <c r="Q75" s="1441"/>
      <c r="R75" s="1441"/>
      <c r="S75" s="1441"/>
      <c r="T75" s="1441"/>
      <c r="U75" s="1441"/>
      <c r="V75" s="1442"/>
    </row>
    <row r="76" spans="1:22">
      <c r="A76" s="709" t="s">
        <v>74</v>
      </c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  <c r="P76" s="287"/>
      <c r="Q76" s="287"/>
      <c r="R76" s="288"/>
      <c r="S76" s="279"/>
      <c r="T76" s="279"/>
      <c r="U76" s="279"/>
      <c r="V76" s="710"/>
    </row>
    <row r="77" spans="1:22">
      <c r="A77" s="711" t="s">
        <v>177</v>
      </c>
      <c r="B77" s="289" t="s">
        <v>9</v>
      </c>
      <c r="C77" s="289" t="s">
        <v>279</v>
      </c>
      <c r="D77" s="292" t="s">
        <v>566</v>
      </c>
      <c r="E77" s="292" t="s">
        <v>176</v>
      </c>
      <c r="F77" s="266"/>
      <c r="G77" s="290" t="s">
        <v>71</v>
      </c>
      <c r="H77" s="286" t="s">
        <v>259</v>
      </c>
      <c r="I77" s="286" t="s">
        <v>280</v>
      </c>
      <c r="J77" s="286" t="s">
        <v>734</v>
      </c>
      <c r="K77" s="286" t="s">
        <v>260</v>
      </c>
      <c r="L77" s="286" t="s">
        <v>261</v>
      </c>
      <c r="M77" s="286" t="s">
        <v>262</v>
      </c>
      <c r="N77" s="291" t="s">
        <v>735</v>
      </c>
      <c r="O77" s="286" t="s">
        <v>263</v>
      </c>
      <c r="P77" s="286" t="s">
        <v>264</v>
      </c>
      <c r="Q77" s="286" t="s">
        <v>265</v>
      </c>
      <c r="R77" s="286" t="s">
        <v>181</v>
      </c>
      <c r="S77" s="279"/>
      <c r="T77" s="280" t="s">
        <v>267</v>
      </c>
      <c r="U77" s="269"/>
      <c r="V77" s="710" t="s">
        <v>701</v>
      </c>
    </row>
    <row r="78" spans="1:22">
      <c r="A78" s="712"/>
      <c r="B78" s="263"/>
      <c r="C78" s="263"/>
      <c r="D78" s="263"/>
      <c r="E78" s="263"/>
      <c r="F78" s="266"/>
      <c r="G78" s="263" t="s">
        <v>75</v>
      </c>
      <c r="H78" s="263" t="str">
        <f>INDEX('Impeller C &amp; Run Data'!$A$1:$KP$300,$D$1,H$98+$U78)</f>
        <v>Steel</v>
      </c>
      <c r="I78" s="263"/>
      <c r="J78" s="263"/>
      <c r="K78" s="263"/>
      <c r="L78" s="263"/>
      <c r="M78" s="263"/>
      <c r="N78" s="263"/>
      <c r="O78" s="263"/>
      <c r="P78" s="263"/>
      <c r="Q78" s="263"/>
      <c r="R78" s="1200">
        <f>INDEX('Impeller C &amp; Run Data'!$A$1:$KP$300,$D$1,R$98+$U78)</f>
        <v>4000</v>
      </c>
      <c r="S78" s="279"/>
      <c r="T78" s="713" t="b">
        <f>AND($C$13&lt;=R78,Mat_IMP=G77)</f>
        <v>1</v>
      </c>
      <c r="U78" s="714">
        <v>36</v>
      </c>
      <c r="V78" s="710" t="s">
        <v>736</v>
      </c>
    </row>
    <row r="79" spans="1:22">
      <c r="A79" s="712" t="s">
        <v>320</v>
      </c>
      <c r="B79" s="292" t="s">
        <v>321</v>
      </c>
      <c r="C79" s="579" t="s">
        <v>704</v>
      </c>
      <c r="D79" s="292"/>
      <c r="E79" s="292"/>
      <c r="F79" s="266"/>
      <c r="G79" s="263" t="s">
        <v>69</v>
      </c>
      <c r="H79" s="263" t="str">
        <f>INDEX('Impeller C &amp; Run Data'!$A$1:$KP$300,$D$1,H$98+$U79)</f>
        <v>Steel</v>
      </c>
      <c r="I79" s="263"/>
      <c r="J79" s="263"/>
      <c r="K79" s="263"/>
      <c r="L79" s="263"/>
      <c r="M79" s="263"/>
      <c r="N79" s="263"/>
      <c r="O79" s="263"/>
      <c r="P79" s="263"/>
      <c r="Q79" s="263"/>
      <c r="R79" s="1200">
        <f>INDEX('Impeller C &amp; Run Data'!$A$1:$KP$300,$D$1,R$98+$U79)</f>
        <v>4000</v>
      </c>
      <c r="S79" s="279"/>
      <c r="T79" s="713" t="b">
        <f>AND($C$13&lt;=R79,Mat_IMP=G77)</f>
        <v>1</v>
      </c>
      <c r="U79" s="714">
        <v>55</v>
      </c>
      <c r="V79" s="710" t="s">
        <v>737</v>
      </c>
    </row>
    <row r="80" spans="1:22">
      <c r="A80" s="712"/>
      <c r="B80" s="263"/>
      <c r="C80" s="263"/>
      <c r="D80" s="263"/>
      <c r="E80" s="263"/>
      <c r="F80" s="266"/>
      <c r="G80" s="290" t="s">
        <v>1584</v>
      </c>
      <c r="H80" s="286"/>
      <c r="I80" s="286"/>
      <c r="J80" s="286"/>
      <c r="K80" s="286"/>
      <c r="L80" s="286"/>
      <c r="M80" s="286"/>
      <c r="N80" s="286"/>
      <c r="O80" s="286"/>
      <c r="P80" s="286"/>
      <c r="Q80" s="286"/>
      <c r="R80" s="1201"/>
      <c r="S80" s="279"/>
      <c r="T80" s="280"/>
      <c r="U80" s="280"/>
      <c r="V80" s="710"/>
    </row>
    <row r="81" spans="1:22">
      <c r="A81" s="581" t="s">
        <v>221</v>
      </c>
      <c r="B81" s="289" t="s">
        <v>222</v>
      </c>
      <c r="C81" s="289" t="s">
        <v>706</v>
      </c>
      <c r="D81" s="289" t="s">
        <v>707</v>
      </c>
      <c r="E81" s="289"/>
      <c r="F81" s="266"/>
      <c r="G81" s="263" t="s">
        <v>75</v>
      </c>
      <c r="H81" s="263" t="str">
        <f>INDEX('Impeller C &amp; Run Data'!$A$1:$KP$300,$D$1,H$98+$U81)</f>
        <v>AISI304</v>
      </c>
      <c r="I81" s="263"/>
      <c r="J81" s="263"/>
      <c r="K81" s="263"/>
      <c r="L81" s="263"/>
      <c r="M81" s="263"/>
      <c r="N81" s="263"/>
      <c r="O81" s="263"/>
      <c r="P81" s="263"/>
      <c r="Q81" s="263"/>
      <c r="R81" s="1200">
        <f>INDEX('Impeller C &amp; Run Data'!$A$1:$KP$300,$D$1,R$98+$U81)</f>
        <v>3927.5928963222591</v>
      </c>
      <c r="S81" s="279"/>
      <c r="T81" s="713" t="b">
        <f>AND($C$13&lt;=R81,Mat_IMP=G80)</f>
        <v>0</v>
      </c>
      <c r="U81" s="714">
        <v>74</v>
      </c>
      <c r="V81" s="710" t="s">
        <v>738</v>
      </c>
    </row>
    <row r="82" spans="1:22">
      <c r="A82" s="712"/>
      <c r="B82" s="263"/>
      <c r="C82" s="263"/>
      <c r="D82" s="263"/>
      <c r="E82" s="263"/>
      <c r="F82" s="266"/>
      <c r="G82" s="263" t="s">
        <v>69</v>
      </c>
      <c r="H82" s="263" t="str">
        <f>INDEX('Impeller C &amp; Run Data'!$A$1:$KP$300,$D$1,H$98+$U82)</f>
        <v>AISI304</v>
      </c>
      <c r="I82" s="263"/>
      <c r="J82" s="263"/>
      <c r="K82" s="263"/>
      <c r="L82" s="263"/>
      <c r="M82" s="263"/>
      <c r="N82" s="263"/>
      <c r="O82" s="263"/>
      <c r="P82" s="263"/>
      <c r="Q82" s="263"/>
      <c r="R82" s="1200">
        <f>INDEX('Impeller C &amp; Run Data'!$A$1:$KP$300,$D$1,R$98+$U82)</f>
        <v>3927.5928963222591</v>
      </c>
      <c r="S82" s="279"/>
      <c r="T82" s="713" t="b">
        <f>AND($C$13&lt;=R82,Mat_IMP=G80)</f>
        <v>0</v>
      </c>
      <c r="U82" s="714">
        <v>93</v>
      </c>
      <c r="V82" s="710" t="s">
        <v>739</v>
      </c>
    </row>
    <row r="83" spans="1:22">
      <c r="A83" s="711" t="s">
        <v>394</v>
      </c>
      <c r="B83" s="289" t="s">
        <v>285</v>
      </c>
      <c r="C83" s="289" t="s">
        <v>286</v>
      </c>
      <c r="D83" s="289"/>
      <c r="E83" s="289"/>
      <c r="F83" s="266"/>
      <c r="G83" s="290" t="s">
        <v>1588</v>
      </c>
      <c r="H83" s="286"/>
      <c r="I83" s="286"/>
      <c r="J83" s="286"/>
      <c r="K83" s="286"/>
      <c r="L83" s="286"/>
      <c r="M83" s="286"/>
      <c r="N83" s="286"/>
      <c r="O83" s="286"/>
      <c r="P83" s="286"/>
      <c r="Q83" s="286"/>
      <c r="R83" s="1201"/>
      <c r="S83" s="279"/>
      <c r="T83" s="280"/>
      <c r="U83" s="280"/>
      <c r="V83" s="710"/>
    </row>
    <row r="84" spans="1:22">
      <c r="A84" s="712"/>
      <c r="B84" s="263"/>
      <c r="C84" s="263"/>
      <c r="D84" s="263"/>
      <c r="E84" s="263"/>
      <c r="F84" s="266"/>
      <c r="G84" s="263" t="s">
        <v>75</v>
      </c>
      <c r="H84" s="263" t="str">
        <f>INDEX('Impeller C &amp; Run Data'!$A$1:$KP$300,$D$1,H$98+$U84)</f>
        <v>AISI304L</v>
      </c>
      <c r="I84" s="263"/>
      <c r="J84" s="263"/>
      <c r="K84" s="263"/>
      <c r="L84" s="263"/>
      <c r="M84" s="263"/>
      <c r="N84" s="263"/>
      <c r="O84" s="263"/>
      <c r="P84" s="263"/>
      <c r="Q84" s="263"/>
      <c r="R84" s="1200">
        <f>INDEX('Impeller C &amp; Run Data'!$A$1:$KP$300,$D$1,R$98+$U84)</f>
        <v>4000</v>
      </c>
      <c r="S84" s="279"/>
      <c r="T84" s="713" t="b">
        <f>AND($C$13&lt;=R84,Mat_IMP=G83)</f>
        <v>0</v>
      </c>
      <c r="U84" s="714">
        <v>112</v>
      </c>
      <c r="V84" s="710" t="s">
        <v>740</v>
      </c>
    </row>
    <row r="85" spans="1:22">
      <c r="A85" s="715"/>
      <c r="B85" s="716"/>
      <c r="C85" s="279"/>
      <c r="D85" s="279"/>
      <c r="E85" s="279"/>
      <c r="F85" s="717"/>
      <c r="G85" s="263" t="s">
        <v>69</v>
      </c>
      <c r="H85" s="263" t="str">
        <f>INDEX('Impeller C &amp; Run Data'!$A$1:$KP$300,$D$1,H$98+$U85)</f>
        <v>AISI304L</v>
      </c>
      <c r="I85" s="263"/>
      <c r="J85" s="263"/>
      <c r="K85" s="263"/>
      <c r="L85" s="263"/>
      <c r="M85" s="263"/>
      <c r="N85" s="263"/>
      <c r="O85" s="263"/>
      <c r="P85" s="263"/>
      <c r="Q85" s="263"/>
      <c r="R85" s="1200">
        <f>INDEX('Impeller C &amp; Run Data'!$A$1:$KP$300,$D$1,R$98+$U85)</f>
        <v>4000</v>
      </c>
      <c r="S85" s="279"/>
      <c r="T85" s="713" t="b">
        <f>AND($C$13&lt;=R85,Mat_IMP=G83)</f>
        <v>0</v>
      </c>
      <c r="U85" s="714">
        <v>131</v>
      </c>
      <c r="V85" s="710" t="s">
        <v>741</v>
      </c>
    </row>
    <row r="86" spans="1:22">
      <c r="A86" s="718">
        <v>3</v>
      </c>
      <c r="B86" s="719">
        <v>4</v>
      </c>
      <c r="C86" s="719">
        <v>6</v>
      </c>
      <c r="D86" s="719">
        <v>8</v>
      </c>
      <c r="E86" s="719">
        <v>9</v>
      </c>
      <c r="F86" s="714" t="s">
        <v>96</v>
      </c>
      <c r="G86" s="290" t="s">
        <v>1589</v>
      </c>
      <c r="H86" s="286"/>
      <c r="I86" s="286"/>
      <c r="J86" s="286"/>
      <c r="K86" s="286"/>
      <c r="L86" s="286"/>
      <c r="M86" s="286"/>
      <c r="N86" s="286"/>
      <c r="O86" s="286"/>
      <c r="P86" s="286"/>
      <c r="Q86" s="286"/>
      <c r="R86" s="1201"/>
      <c r="S86" s="279"/>
      <c r="T86" s="280"/>
      <c r="U86" s="280"/>
      <c r="V86" s="710"/>
    </row>
    <row r="87" spans="1:22">
      <c r="A87" s="720" t="s">
        <v>761</v>
      </c>
      <c r="B87" s="279" t="s">
        <v>762</v>
      </c>
      <c r="C87" s="279" t="s">
        <v>763</v>
      </c>
      <c r="D87" s="279" t="s">
        <v>764</v>
      </c>
      <c r="E87" s="279" t="s">
        <v>765</v>
      </c>
      <c r="F87" s="721" t="s">
        <v>701</v>
      </c>
      <c r="G87" s="263" t="s">
        <v>75</v>
      </c>
      <c r="H87" s="263" t="str">
        <f>INDEX('Impeller C &amp; Run Data'!$A$1:$KP$300,$D$1,H$98+$U87)</f>
        <v>AISI316L</v>
      </c>
      <c r="I87" s="263"/>
      <c r="J87" s="263"/>
      <c r="K87" s="263"/>
      <c r="L87" s="263"/>
      <c r="M87" s="263"/>
      <c r="N87" s="263"/>
      <c r="O87" s="263"/>
      <c r="P87" s="263"/>
      <c r="Q87" s="263"/>
      <c r="R87" s="1200">
        <f>INDEX('Impeller C &amp; Run Data'!$A$1:$KP$300,$D$1,R$98+$U87)</f>
        <v>4000</v>
      </c>
      <c r="S87" s="279"/>
      <c r="T87" s="713" t="b">
        <f>AND($C$13&lt;=R87,Mat_IMP=G86)</f>
        <v>0</v>
      </c>
      <c r="U87" s="714">
        <v>150</v>
      </c>
      <c r="V87" s="710" t="s">
        <v>742</v>
      </c>
    </row>
    <row r="88" spans="1:22">
      <c r="A88" s="718">
        <v>10</v>
      </c>
      <c r="B88" s="719">
        <v>11</v>
      </c>
      <c r="C88" s="719">
        <v>12</v>
      </c>
      <c r="D88" s="719"/>
      <c r="E88" s="719"/>
      <c r="F88" s="714" t="s">
        <v>96</v>
      </c>
      <c r="G88" s="263" t="s">
        <v>69</v>
      </c>
      <c r="H88" s="263" t="str">
        <f>INDEX('Impeller C &amp; Run Data'!$A$1:$KP$300,$D$1,H$98+$U88)</f>
        <v>AISI316L</v>
      </c>
      <c r="I88" s="263"/>
      <c r="J88" s="263"/>
      <c r="K88" s="263"/>
      <c r="L88" s="263"/>
      <c r="M88" s="263"/>
      <c r="N88" s="263"/>
      <c r="O88" s="263"/>
      <c r="P88" s="263"/>
      <c r="Q88" s="263"/>
      <c r="R88" s="1200">
        <f>INDEX('Impeller C &amp; Run Data'!$A$1:$KP$300,$D$1,R$98+$U88)</f>
        <v>4000</v>
      </c>
      <c r="S88" s="279"/>
      <c r="T88" s="713" t="b">
        <f>AND($C$13&lt;=R88,Mat_IMP=G86)</f>
        <v>0</v>
      </c>
      <c r="U88" s="714">
        <v>169</v>
      </c>
      <c r="V88" s="710" t="s">
        <v>743</v>
      </c>
    </row>
    <row r="89" spans="1:22">
      <c r="A89" s="720" t="s">
        <v>766</v>
      </c>
      <c r="B89" s="279" t="s">
        <v>767</v>
      </c>
      <c r="C89" s="279" t="s">
        <v>768</v>
      </c>
      <c r="D89" s="279"/>
      <c r="E89" s="279"/>
      <c r="F89" s="721" t="s">
        <v>701</v>
      </c>
      <c r="G89" s="290" t="s">
        <v>1587</v>
      </c>
      <c r="H89" s="286"/>
      <c r="I89" s="286"/>
      <c r="J89" s="286"/>
      <c r="K89" s="286"/>
      <c r="L89" s="286"/>
      <c r="M89" s="286"/>
      <c r="N89" s="286"/>
      <c r="O89" s="286"/>
      <c r="P89" s="286"/>
      <c r="Q89" s="286"/>
      <c r="R89" s="1201"/>
      <c r="S89" s="279"/>
      <c r="T89" s="280"/>
      <c r="U89" s="280"/>
      <c r="V89" s="710"/>
    </row>
    <row r="90" spans="1:22">
      <c r="A90" s="718">
        <v>14</v>
      </c>
      <c r="B90" s="719">
        <v>16</v>
      </c>
      <c r="C90" s="719">
        <v>18</v>
      </c>
      <c r="D90" s="719">
        <v>19</v>
      </c>
      <c r="E90" s="719"/>
      <c r="F90" s="714" t="s">
        <v>96</v>
      </c>
      <c r="G90" s="263" t="s">
        <v>75</v>
      </c>
      <c r="H90" s="263" t="str">
        <f>INDEX('Impeller C &amp; Run Data'!$A$1:$KP$300,$D$1,H$98+$U90)</f>
        <v>AISI2205</v>
      </c>
      <c r="I90" s="263"/>
      <c r="J90" s="263"/>
      <c r="K90" s="263"/>
      <c r="L90" s="263"/>
      <c r="M90" s="263"/>
      <c r="N90" s="263"/>
      <c r="O90" s="263"/>
      <c r="P90" s="263"/>
      <c r="Q90" s="263"/>
      <c r="R90" s="1200">
        <f>INDEX('Impeller C &amp; Run Data'!$A$1:$KP$300,$D$1,R$98+$U90)</f>
        <v>4000</v>
      </c>
      <c r="S90" s="279"/>
      <c r="T90" s="713" t="b">
        <f>AND($C$13&lt;=R90,Mat_IMP=G89)</f>
        <v>0</v>
      </c>
      <c r="U90" s="714">
        <v>188</v>
      </c>
      <c r="V90" s="710" t="s">
        <v>744</v>
      </c>
    </row>
    <row r="91" spans="1:22">
      <c r="A91" s="720" t="s">
        <v>769</v>
      </c>
      <c r="B91" s="279" t="s">
        <v>770</v>
      </c>
      <c r="C91" s="279" t="s">
        <v>771</v>
      </c>
      <c r="D91" s="279" t="s">
        <v>772</v>
      </c>
      <c r="E91" s="279"/>
      <c r="F91" s="721" t="s">
        <v>701</v>
      </c>
      <c r="G91" s="263" t="s">
        <v>69</v>
      </c>
      <c r="H91" s="263" t="str">
        <f>INDEX('Impeller C &amp; Run Data'!$A$1:$KP$300,$D$1,H$98+$U91)</f>
        <v>AISI2205</v>
      </c>
      <c r="I91" s="263"/>
      <c r="J91" s="263"/>
      <c r="K91" s="263"/>
      <c r="L91" s="263"/>
      <c r="M91" s="263"/>
      <c r="N91" s="263"/>
      <c r="O91" s="263"/>
      <c r="P91" s="263"/>
      <c r="Q91" s="263"/>
      <c r="R91" s="1200">
        <f>INDEX('Impeller C &amp; Run Data'!$A$1:$KP$300,$D$1,R$98+$U91)</f>
        <v>4000</v>
      </c>
      <c r="S91" s="279"/>
      <c r="T91" s="713" t="b">
        <f>AND($C$13&lt;=R91,Mat_IMP=G89)</f>
        <v>0</v>
      </c>
      <c r="U91" s="714">
        <v>207</v>
      </c>
      <c r="V91" s="710" t="s">
        <v>745</v>
      </c>
    </row>
    <row r="92" spans="1:22">
      <c r="A92" s="718">
        <v>24</v>
      </c>
      <c r="B92" s="719">
        <v>25</v>
      </c>
      <c r="C92" s="719">
        <v>26</v>
      </c>
      <c r="D92" s="719"/>
      <c r="E92" s="719"/>
      <c r="F92" s="714" t="s">
        <v>96</v>
      </c>
      <c r="G92" s="293" t="s">
        <v>68</v>
      </c>
      <c r="H92" s="286"/>
      <c r="I92" s="286"/>
      <c r="J92" s="286"/>
      <c r="K92" s="286"/>
      <c r="L92" s="286"/>
      <c r="M92" s="286"/>
      <c r="N92" s="286"/>
      <c r="O92" s="286"/>
      <c r="P92" s="286"/>
      <c r="Q92" s="286"/>
      <c r="R92" s="1200"/>
      <c r="S92" s="279"/>
      <c r="T92" s="280"/>
      <c r="U92" s="280"/>
      <c r="V92" s="710"/>
    </row>
    <row r="93" spans="1:22">
      <c r="A93" s="720" t="s">
        <v>773</v>
      </c>
      <c r="B93" s="279" t="s">
        <v>774</v>
      </c>
      <c r="C93" s="279" t="s">
        <v>775</v>
      </c>
      <c r="D93" s="279"/>
      <c r="E93" s="279"/>
      <c r="F93" s="721" t="s">
        <v>701</v>
      </c>
      <c r="G93" s="263" t="s">
        <v>75</v>
      </c>
      <c r="H93" s="263" t="str">
        <f>INDEX('Impeller C &amp; Run Data'!$A$1:$KP$300,$D$1,H$98+$U93)</f>
        <v>CORTEN</v>
      </c>
      <c r="I93" s="263"/>
      <c r="J93" s="263"/>
      <c r="K93" s="263"/>
      <c r="L93" s="263"/>
      <c r="M93" s="263"/>
      <c r="N93" s="263"/>
      <c r="O93" s="263"/>
      <c r="P93" s="263"/>
      <c r="Q93" s="263"/>
      <c r="R93" s="1200">
        <f>INDEX('Impeller C &amp; Run Data'!$A$1:$KP$300,$D$1,R$98+$U93)</f>
        <v>4000</v>
      </c>
      <c r="S93" s="279"/>
      <c r="T93" s="713" t="b">
        <f>AND($C$13&lt;=R93,Mat_IMP=G92)</f>
        <v>0</v>
      </c>
      <c r="U93" s="714">
        <v>226</v>
      </c>
      <c r="V93" s="710" t="s">
        <v>746</v>
      </c>
    </row>
    <row r="94" spans="1:22">
      <c r="A94" s="720"/>
      <c r="B94" s="279"/>
      <c r="C94" s="279"/>
      <c r="D94" s="279"/>
      <c r="E94" s="279"/>
      <c r="F94" s="279"/>
      <c r="G94" s="263" t="s">
        <v>69</v>
      </c>
      <c r="H94" s="263" t="str">
        <f>INDEX('Impeller C &amp; Run Data'!$A$1:$KP$300,$D$1,H$98+$U94)</f>
        <v>CORTEN</v>
      </c>
      <c r="I94" s="263"/>
      <c r="J94" s="263"/>
      <c r="K94" s="263"/>
      <c r="L94" s="263"/>
      <c r="M94" s="263"/>
      <c r="N94" s="263"/>
      <c r="O94" s="263"/>
      <c r="P94" s="263"/>
      <c r="Q94" s="263"/>
      <c r="R94" s="1200">
        <f>INDEX('Impeller C &amp; Run Data'!$A$1:$KP$300,$D$1,R$98+$U94)</f>
        <v>4000</v>
      </c>
      <c r="S94" s="279"/>
      <c r="T94" s="713" t="b">
        <f>AND($C$13&lt;=R94,Mat_IMP=G92)</f>
        <v>0</v>
      </c>
      <c r="U94" s="714">
        <v>245</v>
      </c>
      <c r="V94" s="710" t="s">
        <v>747</v>
      </c>
    </row>
    <row r="95" spans="1:22">
      <c r="A95" s="720"/>
      <c r="B95" s="279"/>
      <c r="C95" s="279"/>
      <c r="D95" s="279"/>
      <c r="E95" s="279"/>
      <c r="F95" s="279"/>
      <c r="G95" s="293" t="s">
        <v>67</v>
      </c>
      <c r="H95" s="286"/>
      <c r="I95" s="286"/>
      <c r="J95" s="286"/>
      <c r="K95" s="286"/>
      <c r="L95" s="286"/>
      <c r="M95" s="286"/>
      <c r="N95" s="286"/>
      <c r="O95" s="286"/>
      <c r="P95" s="286"/>
      <c r="Q95" s="286"/>
      <c r="R95" s="1200"/>
      <c r="S95" s="279"/>
      <c r="T95" s="280"/>
      <c r="U95" s="280"/>
      <c r="V95" s="710"/>
    </row>
    <row r="96" spans="1:22">
      <c r="A96" s="720"/>
      <c r="B96" s="279"/>
      <c r="C96" s="279"/>
      <c r="D96" s="279"/>
      <c r="E96" s="279"/>
      <c r="F96" s="279"/>
      <c r="G96" s="263" t="s">
        <v>75</v>
      </c>
      <c r="H96" s="263" t="str">
        <f>INDEX('Impeller C &amp; Run Data'!$A$1:$KP$300,$D$1,H$98+$U96)</f>
        <v>DOMEX</v>
      </c>
      <c r="I96" s="263"/>
      <c r="J96" s="263"/>
      <c r="K96" s="263"/>
      <c r="L96" s="263"/>
      <c r="M96" s="263"/>
      <c r="N96" s="263"/>
      <c r="O96" s="263"/>
      <c r="P96" s="263"/>
      <c r="Q96" s="263"/>
      <c r="R96" s="1200">
        <f>INDEX('Impeller C &amp; Run Data'!$A$1:$KP$300,$D$1,R$98+$U96)</f>
        <v>4000</v>
      </c>
      <c r="S96" s="279"/>
      <c r="T96" s="713" t="b">
        <f>AND($C$13&lt;=R96,Mat_IMP=G95)</f>
        <v>0</v>
      </c>
      <c r="U96" s="714">
        <v>264</v>
      </c>
      <c r="V96" s="710" t="s">
        <v>748</v>
      </c>
    </row>
    <row r="97" spans="1:22">
      <c r="A97" s="720"/>
      <c r="B97" s="279"/>
      <c r="C97" s="279"/>
      <c r="D97" s="279"/>
      <c r="E97" s="279"/>
      <c r="F97" s="279"/>
      <c r="G97" s="263" t="s">
        <v>69</v>
      </c>
      <c r="H97" s="263" t="str">
        <f>INDEX('Impeller C &amp; Run Data'!$A$1:$KP$300,$D$1,H$98+$U97)</f>
        <v>DOMEX</v>
      </c>
      <c r="I97" s="263"/>
      <c r="J97" s="263"/>
      <c r="K97" s="263"/>
      <c r="L97" s="263"/>
      <c r="M97" s="263"/>
      <c r="N97" s="263"/>
      <c r="O97" s="263"/>
      <c r="P97" s="263"/>
      <c r="Q97" s="263"/>
      <c r="R97" s="1200">
        <f>INDEX('Impeller C &amp; Run Data'!$A$1:$KP$300,$D$1,R$98+$U97)</f>
        <v>4000</v>
      </c>
      <c r="S97" s="279"/>
      <c r="T97" s="713" t="b">
        <f>AND($C$13&lt;=R97,Mat_IMP=G95)</f>
        <v>0</v>
      </c>
      <c r="U97" s="714">
        <v>283</v>
      </c>
      <c r="V97" s="710" t="s">
        <v>749</v>
      </c>
    </row>
    <row r="98" spans="1:22">
      <c r="A98" s="720"/>
      <c r="B98" s="279"/>
      <c r="C98" s="279"/>
      <c r="D98" s="279"/>
      <c r="E98" s="279"/>
      <c r="F98" s="279"/>
      <c r="G98" s="719"/>
      <c r="H98" s="714">
        <v>7</v>
      </c>
      <c r="I98" s="714">
        <v>8</v>
      </c>
      <c r="J98" s="714">
        <v>9</v>
      </c>
      <c r="K98" s="714">
        <v>10</v>
      </c>
      <c r="L98" s="714">
        <v>11</v>
      </c>
      <c r="M98" s="714">
        <v>12</v>
      </c>
      <c r="N98" s="714">
        <v>13</v>
      </c>
      <c r="O98" s="714">
        <v>14</v>
      </c>
      <c r="P98" s="714">
        <v>15</v>
      </c>
      <c r="Q98" s="714">
        <v>16</v>
      </c>
      <c r="R98" s="714">
        <v>17</v>
      </c>
      <c r="S98" s="714"/>
      <c r="T98" s="714"/>
      <c r="U98" s="719" t="s">
        <v>96</v>
      </c>
      <c r="V98" s="710"/>
    </row>
    <row r="99" spans="1:22">
      <c r="A99" s="720"/>
      <c r="B99" s="279"/>
      <c r="C99" s="279"/>
      <c r="D99" s="279"/>
      <c r="E99" s="279"/>
      <c r="F99" s="279"/>
      <c r="G99" s="279" t="s">
        <v>701</v>
      </c>
      <c r="H99" s="279" t="s">
        <v>750</v>
      </c>
      <c r="I99" s="279" t="s">
        <v>751</v>
      </c>
      <c r="J99" s="279" t="s">
        <v>752</v>
      </c>
      <c r="K99" s="279" t="s">
        <v>753</v>
      </c>
      <c r="L99" s="279" t="s">
        <v>754</v>
      </c>
      <c r="M99" s="279" t="s">
        <v>755</v>
      </c>
      <c r="N99" s="279" t="s">
        <v>756</v>
      </c>
      <c r="O99" s="279" t="s">
        <v>757</v>
      </c>
      <c r="P99" s="279" t="s">
        <v>758</v>
      </c>
      <c r="Q99" s="279" t="s">
        <v>759</v>
      </c>
      <c r="R99" s="279" t="s">
        <v>760</v>
      </c>
      <c r="S99" s="279"/>
      <c r="T99" s="279"/>
      <c r="U99" s="279"/>
      <c r="V99" s="710"/>
    </row>
    <row r="100" spans="1:22" ht="14.25" thickBot="1">
      <c r="A100" s="722"/>
      <c r="B100" s="723"/>
      <c r="C100" s="723"/>
      <c r="D100" s="723"/>
      <c r="E100" s="723"/>
      <c r="F100" s="723"/>
      <c r="G100" s="723"/>
      <c r="H100" s="723"/>
      <c r="I100" s="723"/>
      <c r="J100" s="723"/>
      <c r="K100" s="723"/>
      <c r="L100" s="723"/>
      <c r="M100" s="723"/>
      <c r="N100" s="723"/>
      <c r="O100" s="723"/>
      <c r="P100" s="723"/>
      <c r="Q100" s="723"/>
      <c r="R100" s="723"/>
      <c r="S100" s="723"/>
      <c r="T100" s="723"/>
      <c r="U100" s="723"/>
      <c r="V100" s="724"/>
    </row>
  </sheetData>
  <customSheetViews>
    <customSheetView guid="{808B7C29-0493-4BFF-A8D2-E462FE66730B}" scale="75" showRuler="0">
      <selection activeCell="B11" sqref="B11"/>
      <pageMargins left="0.75" right="0.75" top="1" bottom="1" header="0.5" footer="0.5"/>
      <headerFooter alignWithMargins="0"/>
    </customSheetView>
  </customSheetViews>
  <mergeCells count="7">
    <mergeCell ref="A75:V75"/>
    <mergeCell ref="H28:K47"/>
    <mergeCell ref="P56:R57"/>
    <mergeCell ref="E61:E70"/>
    <mergeCell ref="P58:R60"/>
    <mergeCell ref="P61:R65"/>
    <mergeCell ref="B62:C70"/>
  </mergeCells>
  <phoneticPr fontId="7" type="noConversion"/>
  <conditionalFormatting sqref="A1">
    <cfRule type="expression" dxfId="297" priority="371">
      <formula>$A$1=FALSE</formula>
    </cfRule>
  </conditionalFormatting>
  <conditionalFormatting sqref="A13">
    <cfRule type="expression" dxfId="296" priority="369">
      <formula>$A$13=FALSE</formula>
    </cfRule>
  </conditionalFormatting>
  <conditionalFormatting sqref="A12">
    <cfRule type="expression" dxfId="295" priority="367">
      <formula>$A$12=FALSE</formula>
    </cfRule>
  </conditionalFormatting>
  <conditionalFormatting sqref="A58">
    <cfRule type="expression" dxfId="294" priority="338">
      <formula>$A$58=FALSE</formula>
    </cfRule>
  </conditionalFormatting>
  <conditionalFormatting sqref="A57">
    <cfRule type="expression" dxfId="293" priority="336">
      <formula>$A$57=FALSE</formula>
    </cfRule>
  </conditionalFormatting>
  <conditionalFormatting sqref="T78">
    <cfRule type="expression" dxfId="292" priority="33">
      <formula>$T78=FALSE</formula>
    </cfRule>
  </conditionalFormatting>
  <conditionalFormatting sqref="T79">
    <cfRule type="expression" dxfId="291" priority="32">
      <formula>$T79=FALSE</formula>
    </cfRule>
  </conditionalFormatting>
  <conditionalFormatting sqref="T81">
    <cfRule type="expression" dxfId="290" priority="31">
      <formula>$T81=FALSE</formula>
    </cfRule>
  </conditionalFormatting>
  <conditionalFormatting sqref="T82">
    <cfRule type="expression" dxfId="289" priority="30">
      <formula>$T82=FALSE</formula>
    </cfRule>
  </conditionalFormatting>
  <conditionalFormatting sqref="T84">
    <cfRule type="expression" dxfId="288" priority="29">
      <formula>$T84=FALSE</formula>
    </cfRule>
  </conditionalFormatting>
  <conditionalFormatting sqref="T85">
    <cfRule type="expression" dxfId="287" priority="28">
      <formula>$T85=FALSE</formula>
    </cfRule>
  </conditionalFormatting>
  <conditionalFormatting sqref="T87">
    <cfRule type="expression" dxfId="286" priority="27">
      <formula>$T87=FALSE</formula>
    </cfRule>
  </conditionalFormatting>
  <conditionalFormatting sqref="T88">
    <cfRule type="expression" dxfId="285" priority="26">
      <formula>$T88=FALSE</formula>
    </cfRule>
  </conditionalFormatting>
  <conditionalFormatting sqref="T90">
    <cfRule type="expression" dxfId="284" priority="25">
      <formula>$T90=FALSE</formula>
    </cfRule>
  </conditionalFormatting>
  <conditionalFormatting sqref="T91">
    <cfRule type="expression" dxfId="283" priority="24">
      <formula>$T91=FALSE</formula>
    </cfRule>
  </conditionalFormatting>
  <conditionalFormatting sqref="T93">
    <cfRule type="expression" dxfId="282" priority="23">
      <formula>$T93=FALSE</formula>
    </cfRule>
  </conditionalFormatting>
  <conditionalFormatting sqref="T94">
    <cfRule type="expression" dxfId="281" priority="22">
      <formula>$T94=FALSE</formula>
    </cfRule>
  </conditionalFormatting>
  <conditionalFormatting sqref="T96">
    <cfRule type="expression" dxfId="280" priority="21">
      <formula>$T96=FALSE</formula>
    </cfRule>
  </conditionalFormatting>
  <conditionalFormatting sqref="T97">
    <cfRule type="expression" dxfId="279" priority="20">
      <formula>$T97=FALSE</formula>
    </cfRule>
  </conditionalFormatting>
  <conditionalFormatting sqref="T79">
    <cfRule type="expression" dxfId="278" priority="19">
      <formula>$T79=FALSE</formula>
    </cfRule>
  </conditionalFormatting>
  <conditionalFormatting sqref="T81">
    <cfRule type="expression" dxfId="277" priority="18">
      <formula>$T81=FALSE</formula>
    </cfRule>
  </conditionalFormatting>
  <conditionalFormatting sqref="T82">
    <cfRule type="expression" dxfId="276" priority="17">
      <formula>$T82=FALSE</formula>
    </cfRule>
  </conditionalFormatting>
  <conditionalFormatting sqref="T82">
    <cfRule type="expression" dxfId="275" priority="16">
      <formula>$T82=FALSE</formula>
    </cfRule>
  </conditionalFormatting>
  <conditionalFormatting sqref="T84">
    <cfRule type="expression" dxfId="274" priority="15">
      <formula>$T84=FALSE</formula>
    </cfRule>
  </conditionalFormatting>
  <conditionalFormatting sqref="T85">
    <cfRule type="expression" dxfId="273" priority="14">
      <formula>$T85=FALSE</formula>
    </cfRule>
  </conditionalFormatting>
  <conditionalFormatting sqref="T85">
    <cfRule type="expression" dxfId="272" priority="13">
      <formula>$T85=FALSE</formula>
    </cfRule>
  </conditionalFormatting>
  <conditionalFormatting sqref="T87">
    <cfRule type="expression" dxfId="271" priority="12">
      <formula>$T87=FALSE</formula>
    </cfRule>
  </conditionalFormatting>
  <conditionalFormatting sqref="T88">
    <cfRule type="expression" dxfId="270" priority="11">
      <formula>$T88=FALSE</formula>
    </cfRule>
  </conditionalFormatting>
  <conditionalFormatting sqref="T88">
    <cfRule type="expression" dxfId="269" priority="10">
      <formula>$T88=FALSE</formula>
    </cfRule>
  </conditionalFormatting>
  <conditionalFormatting sqref="T90">
    <cfRule type="expression" dxfId="268" priority="9">
      <formula>$T90=FALSE</formula>
    </cfRule>
  </conditionalFormatting>
  <conditionalFormatting sqref="T91">
    <cfRule type="expression" dxfId="267" priority="8">
      <formula>$T91=FALSE</formula>
    </cfRule>
  </conditionalFormatting>
  <conditionalFormatting sqref="T91">
    <cfRule type="expression" dxfId="266" priority="7">
      <formula>$T91=FALSE</formula>
    </cfRule>
  </conditionalFormatting>
  <conditionalFormatting sqref="T93">
    <cfRule type="expression" dxfId="265" priority="6">
      <formula>$T93=FALSE</formula>
    </cfRule>
  </conditionalFormatting>
  <conditionalFormatting sqref="T94">
    <cfRule type="expression" dxfId="264" priority="5">
      <formula>$T94=FALSE</formula>
    </cfRule>
  </conditionalFormatting>
  <conditionalFormatting sqref="T94">
    <cfRule type="expression" dxfId="263" priority="4">
      <formula>$T94=FALSE</formula>
    </cfRule>
  </conditionalFormatting>
  <conditionalFormatting sqref="T96">
    <cfRule type="expression" dxfId="262" priority="3">
      <formula>$T96=FALSE</formula>
    </cfRule>
  </conditionalFormatting>
  <conditionalFormatting sqref="T97">
    <cfRule type="expression" dxfId="261" priority="2">
      <formula>$T97=FALSE</formula>
    </cfRule>
  </conditionalFormatting>
  <conditionalFormatting sqref="T97">
    <cfRule type="expression" dxfId="260" priority="1">
      <formula>$T97=FALSE</formula>
    </cfRule>
  </conditionalFormatting>
  <pageMargins left="0.51181102362204722" right="0.35433070866141736" top="0.98425196850393704" bottom="0.98425196850393704" header="0.51181102362204722" footer="0.51181102362204722"/>
  <pageSetup paperSize="9" scale="40" orientation="landscape" r:id="rId1"/>
  <headerFooter alignWithMargins="0">
    <oddHeader>&amp;L&amp;F / &amp;A&amp;R&amp;D</oddHeader>
    <oddFooter>&amp;LCONFIDENTIAL&amp;CBARKER JET&amp;RPage &amp;P / &amp;N</oddFooter>
  </headerFooter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13"/>
  <sheetViews>
    <sheetView workbookViewId="0">
      <selection activeCell="A2" sqref="A2"/>
    </sheetView>
  </sheetViews>
  <sheetFormatPr defaultRowHeight="12.75"/>
  <sheetData>
    <row r="1" spans="1:1" ht="14.25">
      <c r="A1" s="73" t="s">
        <v>70</v>
      </c>
    </row>
    <row r="2" spans="1:1" ht="14.25">
      <c r="A2" s="73"/>
    </row>
    <row r="3" spans="1:1" ht="14.25">
      <c r="A3" s="79"/>
    </row>
    <row r="4" spans="1:1" ht="14.25">
      <c r="A4" s="73"/>
    </row>
    <row r="5" spans="1:1" ht="14.25">
      <c r="A5" s="73"/>
    </row>
    <row r="6" spans="1:1" ht="14.25">
      <c r="A6" s="73"/>
    </row>
    <row r="7" spans="1:1" ht="14.25">
      <c r="A7" s="73"/>
    </row>
    <row r="8" spans="1:1" ht="14.25">
      <c r="A8" s="73"/>
    </row>
    <row r="9" spans="1:1" ht="14.25">
      <c r="A9" s="79"/>
    </row>
    <row r="10" spans="1:1" ht="14.25">
      <c r="A10" s="73"/>
    </row>
    <row r="11" spans="1:1" ht="14.25">
      <c r="A11" s="79"/>
    </row>
    <row r="12" spans="1:1" ht="14.25">
      <c r="A12" s="79"/>
    </row>
    <row r="13" spans="1:1">
      <c r="A13" s="80"/>
    </row>
  </sheetData>
  <phoneticPr fontId="77" type="noConversion"/>
  <pageMargins left="0.51181102362204722" right="0.35433070866141736" top="0.98425196850393704" bottom="0.98425196850393704" header="0.51181102362204722" footer="0.51181102362204722"/>
  <pageSetup paperSize="9" orientation="landscape" r:id="rId1"/>
  <headerFooter alignWithMargins="0">
    <oddHeader>&amp;L&amp;F / &amp;A&amp;R&amp;D</oddHeader>
    <oddFooter>&amp;LCONFIDENTIAL&amp;CBARKER JET&amp;RPage 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6">
    <pageSetUpPr fitToPage="1"/>
  </sheetPr>
  <dimension ref="A1:AK116"/>
  <sheetViews>
    <sheetView topLeftCell="A10" zoomScale="80" zoomScaleNormal="80" workbookViewId="0">
      <selection activeCell="D28" sqref="D28"/>
    </sheetView>
  </sheetViews>
  <sheetFormatPr defaultColWidth="6.42578125" defaultRowHeight="13.5"/>
  <cols>
    <col min="1" max="1" width="42.85546875" style="357" customWidth="1"/>
    <col min="2" max="17" width="9.5703125" style="357" customWidth="1"/>
    <col min="18" max="18" width="20.5703125" style="357" customWidth="1"/>
    <col min="19" max="27" width="9.5703125" style="357" customWidth="1"/>
    <col min="28" max="16384" width="6.42578125" style="357"/>
  </cols>
  <sheetData>
    <row r="1" spans="1:23" ht="15.75">
      <c r="A1" s="356" t="s">
        <v>289</v>
      </c>
      <c r="B1" s="1463" t="str">
        <f>IF(Sel_Fan_type=0,0,Sel_Fan_type)</f>
        <v>XOE 166-45G</v>
      </c>
      <c r="C1" s="1463"/>
      <c r="D1" s="1463" t="str">
        <f>IF(Sel_Fan_type=0,0,Sel_Impeller_type)</f>
        <v>REG</v>
      </c>
      <c r="E1" s="1463"/>
      <c r="F1" s="512">
        <f>Sel_Fan_number</f>
        <v>93</v>
      </c>
      <c r="G1" s="358"/>
      <c r="J1" s="359"/>
      <c r="K1" s="360"/>
      <c r="L1" s="360"/>
    </row>
    <row r="2" spans="1:23">
      <c r="A2" s="702" t="s">
        <v>779</v>
      </c>
      <c r="F2" s="361"/>
      <c r="G2" s="361"/>
      <c r="K2" s="362"/>
      <c r="L2" s="362"/>
    </row>
    <row r="3" spans="1:23">
      <c r="A3" s="363" t="s">
        <v>290</v>
      </c>
      <c r="B3" s="440" t="str">
        <f>Mat_BLADE</f>
        <v>Steel</v>
      </c>
      <c r="C3" s="961">
        <f>MATCH($B$3,metal_Types,0)</f>
        <v>1</v>
      </c>
      <c r="D3" s="439">
        <f>T_OP</f>
        <v>20</v>
      </c>
      <c r="E3" s="365" t="s">
        <v>291</v>
      </c>
      <c r="F3" s="361"/>
      <c r="G3" s="361"/>
      <c r="K3" s="362"/>
      <c r="L3" s="362"/>
    </row>
    <row r="4" spans="1:23">
      <c r="A4" s="357" t="s">
        <v>292</v>
      </c>
      <c r="B4" s="366">
        <f>F4*10^6</f>
        <v>250000000</v>
      </c>
      <c r="C4" s="367" t="s">
        <v>17</v>
      </c>
      <c r="D4" s="369">
        <f>INDEX(Metal_mech_data,$C$3,$D$5)</f>
        <v>5.7490138375806119E-4</v>
      </c>
      <c r="E4" s="369">
        <f>INDEX(Metal_mech_data,$C$3,$D$5+1)</f>
        <v>-0.48039999582576742</v>
      </c>
      <c r="F4" s="369">
        <f>INDEX(Metal_mech_data,$C$3,$D$5+2)</f>
        <v>250</v>
      </c>
      <c r="G4" s="361" t="s">
        <v>73</v>
      </c>
      <c r="H4" s="361">
        <f>IF(Yield_S_safety&lt;&gt;"",Yield_S_safety,INDEX(Metal_mech_data,$C$3,MATCH("Safety factor",mech_data_type,0)))</f>
        <v>0.9</v>
      </c>
      <c r="L4" s="368"/>
      <c r="N4" s="365"/>
      <c r="O4" s="365"/>
      <c r="P4" s="365"/>
    </row>
    <row r="5" spans="1:23">
      <c r="A5" s="357" t="s">
        <v>293</v>
      </c>
      <c r="B5" s="369">
        <v>210000000000</v>
      </c>
      <c r="C5" s="357" t="s">
        <v>17</v>
      </c>
      <c r="D5" s="962">
        <f>MATCH("YS regr.",mech_data_type,0)</f>
        <v>3</v>
      </c>
      <c r="F5" s="361"/>
      <c r="H5" s="370">
        <f>INDEX(Metal_mech_data,MATCH($B$3,metal_Types,0),MATCH("Density",mech_data_type,0))</f>
        <v>7850</v>
      </c>
      <c r="I5" s="357" t="s">
        <v>30</v>
      </c>
      <c r="K5" s="360"/>
      <c r="L5" s="360"/>
      <c r="N5" s="365"/>
      <c r="O5" s="365"/>
      <c r="P5" s="365"/>
    </row>
    <row r="6" spans="1:23">
      <c r="K6" s="362"/>
      <c r="L6" s="362"/>
      <c r="N6" s="365"/>
      <c r="O6" s="365"/>
      <c r="P6" s="365"/>
    </row>
    <row r="7" spans="1:23" ht="14.25" thickBot="1">
      <c r="A7" s="371" t="s">
        <v>294</v>
      </c>
      <c r="B7" s="372"/>
      <c r="C7" s="372"/>
      <c r="D7" s="372"/>
      <c r="E7" s="372"/>
      <c r="F7" s="372"/>
      <c r="G7" s="372"/>
      <c r="K7" s="360"/>
      <c r="L7" s="360"/>
      <c r="N7" s="365"/>
      <c r="O7" s="365"/>
      <c r="P7" s="365"/>
    </row>
    <row r="8" spans="1:23">
      <c r="A8" s="373" t="s">
        <v>295</v>
      </c>
      <c r="B8" s="374">
        <v>1</v>
      </c>
      <c r="C8" s="374">
        <v>2</v>
      </c>
      <c r="D8" s="374">
        <v>3</v>
      </c>
      <c r="E8" s="374">
        <v>4</v>
      </c>
      <c r="F8" s="364">
        <v>5</v>
      </c>
      <c r="G8" s="375">
        <v>6</v>
      </c>
      <c r="H8" s="1464" t="s">
        <v>296</v>
      </c>
      <c r="I8" s="1465"/>
      <c r="J8" s="376"/>
      <c r="K8" s="1464" t="s">
        <v>297</v>
      </c>
      <c r="L8" s="1465"/>
      <c r="M8" s="376"/>
      <c r="N8" s="1464" t="s">
        <v>298</v>
      </c>
      <c r="O8" s="1465"/>
      <c r="P8" s="376"/>
    </row>
    <row r="9" spans="1:23">
      <c r="A9" s="360" t="s">
        <v>299</v>
      </c>
      <c r="B9" s="377">
        <f>VLOOKUP($B$3,Metal_mech_data,MATCH("minT",mech_data_type,0),FALSE)/1000</f>
        <v>3.0000000000000001E-3</v>
      </c>
      <c r="C9" s="377">
        <f>VLOOKUP($B$3,Metal_mech_data,$C$10+COLUMN(A$1),FALSE)/1000</f>
        <v>4.0000000000000001E-3</v>
      </c>
      <c r="D9" s="377">
        <f>VLOOKUP($B$3,Metal_mech_data,$C$10+COLUMN(B$1),FALSE)/1000</f>
        <v>5.0000000000000001E-3</v>
      </c>
      <c r="E9" s="377">
        <f>VLOOKUP($B$3,Metal_mech_data,$C$10+COLUMN(C$1),FALSE)/1000</f>
        <v>6.0000000000000001E-3</v>
      </c>
      <c r="F9" s="377">
        <f>VLOOKUP($B$3,Metal_mech_data,$C$10+COLUMN(D$1),FALSE)/1000</f>
        <v>8.0000000000000002E-3</v>
      </c>
      <c r="G9" s="377">
        <f>VLOOKUP($B$3,Metal_mech_data,$C$10+COLUMN(E$1),FALSE)/1000</f>
        <v>8.0000000000000002E-3</v>
      </c>
      <c r="H9" s="378"/>
      <c r="I9" s="379"/>
      <c r="J9" s="380"/>
      <c r="K9" s="378" t="s">
        <v>300</v>
      </c>
      <c r="L9" s="379" t="s">
        <v>301</v>
      </c>
      <c r="M9" s="380"/>
      <c r="N9" s="378" t="s">
        <v>300</v>
      </c>
      <c r="O9" s="379" t="s">
        <v>301</v>
      </c>
      <c r="P9" s="380"/>
    </row>
    <row r="10" spans="1:23">
      <c r="A10" s="357" t="s">
        <v>302</v>
      </c>
      <c r="B10" s="441">
        <f>'Data for BOSS'!$D$76*10^-3</f>
        <v>4.0000000000000001E-3</v>
      </c>
      <c r="C10" s="397">
        <f>MATCH("Plate T, mm",mech_data_type,0)+MATCH($B$9*1000,Plate_T,0)</f>
        <v>13</v>
      </c>
      <c r="D10" s="381"/>
      <c r="E10" s="377">
        <f>IF(MIN(Front_P_T,Back_P_T)/1000-0.002&lt;VLOOKUP($B$3,Metal_mech_data,MATCH("minT",mech_data_type,0),FALSE)/1000,VLOOKUP($B$3,Metal_mech_data,MATCH("minT",mech_data_type,0),FALSE)/1000,MIN(Front_P_T,Back_P_T)/1000-0.002)</f>
        <v>4.0000000000000001E-3</v>
      </c>
      <c r="F10" s="382"/>
      <c r="G10" s="445"/>
      <c r="H10" s="384">
        <v>4.0000000000000001E-3</v>
      </c>
      <c r="I10" s="385">
        <v>4.0000000000000001E-3</v>
      </c>
      <c r="J10" s="386" t="s">
        <v>118</v>
      </c>
      <c r="K10" s="387">
        <f>$B$10</f>
        <v>4.0000000000000001E-3</v>
      </c>
      <c r="L10" s="388">
        <f>$B$10</f>
        <v>4.0000000000000001E-3</v>
      </c>
      <c r="M10" s="389" t="s">
        <v>118</v>
      </c>
      <c r="N10" s="387">
        <f>$B$10</f>
        <v>4.0000000000000001E-3</v>
      </c>
      <c r="O10" s="390">
        <f>$B$10</f>
        <v>4.0000000000000001E-3</v>
      </c>
      <c r="P10" s="389" t="s">
        <v>118</v>
      </c>
    </row>
    <row r="11" spans="1:23">
      <c r="A11" s="360" t="s">
        <v>303</v>
      </c>
      <c r="B11" s="442">
        <f>rpm_OP</f>
        <v>1672.3774886767021</v>
      </c>
      <c r="C11" s="361" t="s">
        <v>91</v>
      </c>
      <c r="D11" s="361">
        <f>rev_safety_f</f>
        <v>1</v>
      </c>
      <c r="E11" s="391">
        <f>$B$11*$D$11</f>
        <v>1672.3774886767021</v>
      </c>
      <c r="F11" s="360" t="s">
        <v>91</v>
      </c>
      <c r="G11" s="382"/>
      <c r="H11" s="392">
        <v>3802.8754695346634</v>
      </c>
      <c r="I11" s="393">
        <v>4597.4513663748539</v>
      </c>
      <c r="J11" s="394" t="s">
        <v>0</v>
      </c>
      <c r="K11" s="395">
        <f>$B$11</f>
        <v>1672.3774886767021</v>
      </c>
      <c r="L11" s="396">
        <f>$B$11</f>
        <v>1672.3774886767021</v>
      </c>
      <c r="M11" s="389" t="s">
        <v>0</v>
      </c>
      <c r="N11" s="395">
        <f>Des_rev</f>
        <v>1672.3774886767021</v>
      </c>
      <c r="O11" s="396">
        <f>Des_rev</f>
        <v>1672.3774886767021</v>
      </c>
      <c r="P11" s="389" t="s">
        <v>0</v>
      </c>
    </row>
    <row r="12" spans="1:23" s="360" customFormat="1">
      <c r="A12" s="360" t="s">
        <v>304</v>
      </c>
      <c r="B12" s="397">
        <f>B11*2*PI()/60</f>
        <v>175.13096108185582</v>
      </c>
      <c r="C12" s="360" t="s">
        <v>305</v>
      </c>
      <c r="E12" s="397">
        <f>E11*2*PI()/60</f>
        <v>175.13096108185582</v>
      </c>
      <c r="F12" s="360" t="s">
        <v>305</v>
      </c>
      <c r="G12" s="398"/>
      <c r="H12" s="399">
        <f>H$11*2*PI()/60</f>
        <v>398.23618792023109</v>
      </c>
      <c r="I12" s="400">
        <f>I$11*2*PI()/60</f>
        <v>481.44398126131995</v>
      </c>
      <c r="J12" s="401" t="s">
        <v>306</v>
      </c>
      <c r="K12" s="395">
        <f>Des_OP_ang_speed</f>
        <v>175.13096108185582</v>
      </c>
      <c r="L12" s="396">
        <f>Des_OP_ang_speed</f>
        <v>175.13096108185582</v>
      </c>
      <c r="M12" s="394" t="s">
        <v>306</v>
      </c>
      <c r="N12" s="395">
        <f>Des_ang_speed</f>
        <v>175.13096108185582</v>
      </c>
      <c r="O12" s="396">
        <f>Des_ang_speed</f>
        <v>175.13096108185582</v>
      </c>
      <c r="P12" s="394" t="s">
        <v>306</v>
      </c>
      <c r="Q12" s="357"/>
    </row>
    <row r="13" spans="1:23" s="360" customFormat="1">
      <c r="A13" s="360" t="s">
        <v>307</v>
      </c>
      <c r="B13" s="443">
        <f>Int_rings</f>
        <v>0</v>
      </c>
      <c r="C13" s="443">
        <f>Ext_rings</f>
        <v>0</v>
      </c>
      <c r="F13" s="361"/>
      <c r="G13" s="361"/>
      <c r="H13" s="402">
        <v>0</v>
      </c>
      <c r="I13" s="403">
        <v>0</v>
      </c>
      <c r="J13" s="401"/>
      <c r="K13" s="395">
        <f>$H13</f>
        <v>0</v>
      </c>
      <c r="L13" s="396">
        <f>$I13</f>
        <v>0</v>
      </c>
      <c r="M13" s="394"/>
      <c r="N13" s="395">
        <f>$H13</f>
        <v>0</v>
      </c>
      <c r="O13" s="396">
        <f>$I13</f>
        <v>0</v>
      </c>
      <c r="P13" s="394"/>
    </row>
    <row r="14" spans="1:23">
      <c r="F14" s="361"/>
      <c r="G14" s="361"/>
      <c r="H14" s="399"/>
      <c r="I14" s="400"/>
      <c r="J14" s="401"/>
      <c r="K14" s="395"/>
      <c r="L14" s="396"/>
      <c r="M14" s="394"/>
      <c r="N14" s="395"/>
      <c r="O14" s="396"/>
      <c r="P14" s="394"/>
      <c r="Q14" s="360"/>
      <c r="R14" s="360"/>
      <c r="S14" s="360"/>
      <c r="T14" s="360"/>
      <c r="U14" s="360"/>
      <c r="V14" s="360"/>
      <c r="W14" s="360"/>
    </row>
    <row r="15" spans="1:23" s="360" customFormat="1">
      <c r="A15" s="361" t="s">
        <v>76</v>
      </c>
      <c r="B15" s="443">
        <f>'Data for BOSS'!$D$95</f>
        <v>16</v>
      </c>
      <c r="C15" s="357"/>
      <c r="D15" s="357"/>
      <c r="E15" s="366"/>
      <c r="F15" s="366"/>
      <c r="G15" s="366"/>
      <c r="H15" s="399"/>
      <c r="I15" s="400"/>
      <c r="J15" s="401"/>
      <c r="K15" s="404"/>
      <c r="L15" s="405"/>
      <c r="M15" s="394"/>
      <c r="N15" s="404"/>
      <c r="O15" s="405"/>
      <c r="P15" s="394"/>
      <c r="Q15" s="357"/>
      <c r="R15" s="357"/>
      <c r="S15" s="357"/>
      <c r="T15" s="357"/>
      <c r="U15" s="357"/>
      <c r="V15" s="357"/>
      <c r="W15" s="357"/>
    </row>
    <row r="16" spans="1:23">
      <c r="A16" s="360" t="s">
        <v>308</v>
      </c>
      <c r="B16" s="377">
        <f>Blade_L/1000</f>
        <v>0.45113078442860627</v>
      </c>
      <c r="C16" s="360" t="s">
        <v>118</v>
      </c>
      <c r="D16" s="382">
        <f>Blade_TW</f>
        <v>23.024185684144811</v>
      </c>
      <c r="E16" s="357" t="s">
        <v>309</v>
      </c>
      <c r="F16" s="361"/>
      <c r="G16" s="377"/>
      <c r="H16" s="399"/>
      <c r="I16" s="400"/>
      <c r="J16" s="401"/>
      <c r="K16" s="404"/>
      <c r="L16" s="405"/>
      <c r="M16" s="394"/>
      <c r="N16" s="404"/>
      <c r="O16" s="405"/>
      <c r="P16" s="394"/>
      <c r="Q16" s="360"/>
      <c r="R16" s="360"/>
      <c r="S16" s="360"/>
      <c r="T16" s="360"/>
      <c r="U16" s="360"/>
      <c r="V16" s="360"/>
      <c r="W16" s="360"/>
    </row>
    <row r="17" spans="1:17">
      <c r="A17" s="357" t="s">
        <v>310</v>
      </c>
      <c r="D17" s="367"/>
      <c r="E17" s="367"/>
      <c r="F17" s="361"/>
      <c r="G17" s="361"/>
      <c r="H17" s="406">
        <f>H$10^3/12</f>
        <v>5.3333333333333339E-9</v>
      </c>
      <c r="I17" s="407">
        <f>I$10^3/12</f>
        <v>5.3333333333333339E-9</v>
      </c>
      <c r="J17" s="380" t="s">
        <v>311</v>
      </c>
      <c r="K17" s="408">
        <f>K$10^3/12</f>
        <v>5.3333333333333339E-9</v>
      </c>
      <c r="L17" s="390">
        <f>L$10^3/12</f>
        <v>5.3333333333333339E-9</v>
      </c>
      <c r="M17" s="386" t="s">
        <v>311</v>
      </c>
      <c r="N17" s="408">
        <f>N$10^3/12</f>
        <v>5.3333333333333339E-9</v>
      </c>
      <c r="O17" s="390">
        <f>O$10^3/12</f>
        <v>5.3333333333333339E-9</v>
      </c>
      <c r="P17" s="386" t="s">
        <v>311</v>
      </c>
    </row>
    <row r="18" spans="1:17">
      <c r="A18" s="357" t="s">
        <v>312</v>
      </c>
      <c r="D18" s="367"/>
      <c r="E18" s="367"/>
      <c r="F18" s="361"/>
      <c r="G18" s="361"/>
      <c r="H18" s="406">
        <f>2*H$17/H$10</f>
        <v>2.6666666666666668E-6</v>
      </c>
      <c r="I18" s="407">
        <f>2*I$17/I$10</f>
        <v>2.6666666666666668E-6</v>
      </c>
      <c r="J18" s="380" t="s">
        <v>313</v>
      </c>
      <c r="K18" s="408">
        <f>2*K$17/K$10</f>
        <v>2.6666666666666668E-6</v>
      </c>
      <c r="L18" s="390">
        <f>2*L$17/L$10</f>
        <v>2.6666666666666668E-6</v>
      </c>
      <c r="M18" s="386" t="s">
        <v>313</v>
      </c>
      <c r="N18" s="408">
        <f>2*N$17/N$10</f>
        <v>2.6666666666666668E-6</v>
      </c>
      <c r="O18" s="390">
        <f>2*O$17/O$10</f>
        <v>2.6666666666666668E-6</v>
      </c>
      <c r="P18" s="386" t="s">
        <v>313</v>
      </c>
    </row>
    <row r="19" spans="1:17">
      <c r="A19" s="357" t="s">
        <v>314</v>
      </c>
      <c r="F19" s="361"/>
      <c r="G19" s="361"/>
      <c r="H19" s="406">
        <f>1.5*H$17/H$10</f>
        <v>1.9999999999999999E-6</v>
      </c>
      <c r="I19" s="407">
        <f>1.5*I$17/I$10</f>
        <v>1.9999999999999999E-6</v>
      </c>
      <c r="J19" s="380" t="s">
        <v>313</v>
      </c>
      <c r="K19" s="408">
        <f>1.5*K$17/K$10</f>
        <v>1.9999999999999999E-6</v>
      </c>
      <c r="L19" s="390">
        <f>1.5*L$17/L$10</f>
        <v>1.9999999999999999E-6</v>
      </c>
      <c r="M19" s="386" t="s">
        <v>313</v>
      </c>
      <c r="N19" s="408">
        <f>1.5*N$17/N$10</f>
        <v>1.9999999999999999E-6</v>
      </c>
      <c r="O19" s="390">
        <f>1.5*O$17/O$10</f>
        <v>1.9999999999999999E-6</v>
      </c>
      <c r="P19" s="386" t="s">
        <v>313</v>
      </c>
    </row>
    <row r="20" spans="1:17">
      <c r="A20" s="357" t="s">
        <v>315</v>
      </c>
      <c r="F20" s="361"/>
      <c r="G20" s="361"/>
      <c r="H20" s="406">
        <f>$B$5*H$17</f>
        <v>1120.0000000000002</v>
      </c>
      <c r="I20" s="407">
        <f>$B$5*I$17</f>
        <v>1120.0000000000002</v>
      </c>
      <c r="J20" s="380" t="s">
        <v>316</v>
      </c>
      <c r="K20" s="408">
        <f>$B$5*K$17</f>
        <v>1120.0000000000002</v>
      </c>
      <c r="L20" s="390">
        <f>$B$5*L$17</f>
        <v>1120.0000000000002</v>
      </c>
      <c r="M20" s="386" t="s">
        <v>316</v>
      </c>
      <c r="N20" s="408">
        <f>$B$5*N$17</f>
        <v>1120.0000000000002</v>
      </c>
      <c r="O20" s="390">
        <f>$B$5*O$17</f>
        <v>1120.0000000000002</v>
      </c>
      <c r="P20" s="386" t="s">
        <v>316</v>
      </c>
    </row>
    <row r="21" spans="1:17">
      <c r="F21" s="361"/>
      <c r="G21" s="361"/>
      <c r="H21" s="409"/>
      <c r="I21" s="365"/>
      <c r="J21" s="380"/>
      <c r="K21" s="410"/>
      <c r="L21" s="411"/>
      <c r="M21" s="386"/>
      <c r="N21" s="410"/>
      <c r="O21" s="411"/>
      <c r="P21" s="386"/>
    </row>
    <row r="22" spans="1:17">
      <c r="A22" s="357" t="s">
        <v>317</v>
      </c>
      <c r="B22" s="357" t="s">
        <v>224</v>
      </c>
      <c r="C22" s="444">
        <f>d_1/1000</f>
        <v>0.34045340501926491</v>
      </c>
      <c r="D22" s="357" t="s">
        <v>213</v>
      </c>
      <c r="E22" s="444">
        <f>d_2/1000</f>
        <v>1.0620000000000001</v>
      </c>
      <c r="F22" s="412"/>
      <c r="G22" s="412"/>
      <c r="H22" s="413">
        <f>C22/2</f>
        <v>0.17022670250963245</v>
      </c>
      <c r="I22" s="414">
        <f>E22/2</f>
        <v>0.53100000000000003</v>
      </c>
      <c r="J22" s="380" t="s">
        <v>118</v>
      </c>
      <c r="K22" s="413">
        <f t="shared" ref="K22:K24" si="0">$H22</f>
        <v>0.17022670250963245</v>
      </c>
      <c r="L22" s="414">
        <f t="shared" ref="L22:L24" si="1">$I22</f>
        <v>0.53100000000000003</v>
      </c>
      <c r="M22" s="386" t="s">
        <v>118</v>
      </c>
      <c r="N22" s="413">
        <f t="shared" ref="N22:N24" si="2">$H22</f>
        <v>0.17022670250963245</v>
      </c>
      <c r="O22" s="414">
        <f t="shared" ref="O22:O24" si="3">$I22</f>
        <v>0.53100000000000003</v>
      </c>
      <c r="P22" s="386" t="s">
        <v>118</v>
      </c>
    </row>
    <row r="23" spans="1:17">
      <c r="A23" s="357" t="s">
        <v>318</v>
      </c>
      <c r="B23" s="357" t="s">
        <v>566</v>
      </c>
      <c r="C23" s="444">
        <f>b_1_bladeFP/1000</f>
        <v>0.12105772560645466</v>
      </c>
      <c r="D23" s="357" t="s">
        <v>223</v>
      </c>
      <c r="E23" s="444">
        <f>b_2/1000</f>
        <v>8.2113490607440692E-2</v>
      </c>
      <c r="F23" s="412"/>
      <c r="G23" s="412"/>
      <c r="H23" s="413">
        <f>C23/(1+H13)</f>
        <v>0.12105772560645466</v>
      </c>
      <c r="I23" s="414">
        <f>E23/(1+I13)</f>
        <v>8.2113490607440692E-2</v>
      </c>
      <c r="J23" s="380" t="s">
        <v>118</v>
      </c>
      <c r="K23" s="413">
        <f t="shared" si="0"/>
        <v>0.12105772560645466</v>
      </c>
      <c r="L23" s="414">
        <f t="shared" si="1"/>
        <v>8.2113490607440692E-2</v>
      </c>
      <c r="M23" s="386" t="s">
        <v>118</v>
      </c>
      <c r="N23" s="413">
        <f t="shared" si="2"/>
        <v>0.12105772560645466</v>
      </c>
      <c r="O23" s="414">
        <f t="shared" si="3"/>
        <v>8.2113490607440692E-2</v>
      </c>
      <c r="P23" s="386" t="s">
        <v>118</v>
      </c>
    </row>
    <row r="24" spans="1:17" ht="14.25">
      <c r="A24" s="357" t="s">
        <v>319</v>
      </c>
      <c r="B24" s="357" t="s">
        <v>320</v>
      </c>
      <c r="C24" s="447">
        <f>INDEX('Impeller C &amp; Run Data'!$A$1:$KP$300,$F$1,MATCH(B24,'Impeller C &amp; Run Data'!$A$16:$KP$16,0))</f>
        <v>42.642793235119498</v>
      </c>
      <c r="D24" s="357" t="s">
        <v>321</v>
      </c>
      <c r="E24" s="447">
        <f>INDEX('Impeller C &amp; Run Data'!$A$1:$KP$300,$F$1,MATCH(D24,'Impeller C &amp; Run Data'!$A$16:$KP$16,0))</f>
        <v>66.462605185997276</v>
      </c>
      <c r="F24" s="361"/>
      <c r="G24" s="361"/>
      <c r="H24" s="415">
        <f>RADIANS(C24)</f>
        <v>0.74425714419999967</v>
      </c>
      <c r="I24" s="416">
        <f>RADIANS(E24)</f>
        <v>1.1599912899487108</v>
      </c>
      <c r="J24" s="380" t="s">
        <v>322</v>
      </c>
      <c r="K24" s="415">
        <f t="shared" si="0"/>
        <v>0.74425714419999967</v>
      </c>
      <c r="L24" s="416">
        <f t="shared" si="1"/>
        <v>1.1599912899487108</v>
      </c>
      <c r="M24" s="386" t="s">
        <v>322</v>
      </c>
      <c r="N24" s="415">
        <f t="shared" si="2"/>
        <v>0.74425714419999967</v>
      </c>
      <c r="O24" s="416">
        <f t="shared" si="3"/>
        <v>1.1599912899487108</v>
      </c>
      <c r="P24" s="386" t="s">
        <v>322</v>
      </c>
      <c r="Q24" s="361"/>
    </row>
    <row r="25" spans="1:17">
      <c r="F25" s="361"/>
      <c r="G25" s="361"/>
      <c r="H25" s="409"/>
      <c r="I25" s="365"/>
      <c r="J25" s="380"/>
      <c r="K25" s="410"/>
      <c r="L25" s="411"/>
      <c r="M25" s="386"/>
      <c r="N25" s="410"/>
      <c r="O25" s="411"/>
      <c r="P25" s="386"/>
    </row>
    <row r="26" spans="1:17">
      <c r="A26" s="357" t="s">
        <v>323</v>
      </c>
      <c r="F26" s="361"/>
      <c r="G26" s="361"/>
      <c r="H26" s="406">
        <f>H$10*$H$5*H$12^2*H$22*COS(H$24)</f>
        <v>623555.88624651392</v>
      </c>
      <c r="I26" s="407">
        <f>I$10*$H$5*I$12^2*I$22*COS(I$24)</f>
        <v>1543358.0047619063</v>
      </c>
      <c r="J26" s="380" t="s">
        <v>17</v>
      </c>
      <c r="K26" s="408">
        <f>K$10*$H$5*K$12^2*K$22*COS(K$24)</f>
        <v>120592.36187093114</v>
      </c>
      <c r="L26" s="390">
        <f>L$10*$H$5*L$12^2*L$22*COS(L$24)</f>
        <v>204221.29097574367</v>
      </c>
      <c r="M26" s="386" t="s">
        <v>17</v>
      </c>
      <c r="N26" s="408">
        <f>N$10*$H$5*N$12^2*N$22*COS(N$24)</f>
        <v>120592.36187093114</v>
      </c>
      <c r="O26" s="390">
        <f>O$10*$H$5*O$12^2*O$22*COS(O$24)</f>
        <v>204221.29097574367</v>
      </c>
      <c r="P26" s="386" t="s">
        <v>17</v>
      </c>
    </row>
    <row r="27" spans="1:17">
      <c r="F27" s="361"/>
      <c r="G27" s="361"/>
      <c r="H27" s="409"/>
      <c r="I27" s="365"/>
      <c r="J27" s="380"/>
      <c r="K27" s="410"/>
      <c r="L27" s="411"/>
      <c r="M27" s="386"/>
      <c r="N27" s="410"/>
      <c r="O27" s="411"/>
      <c r="P27" s="386"/>
    </row>
    <row r="28" spans="1:17">
      <c r="F28" s="361"/>
      <c r="G28" s="361"/>
      <c r="H28" s="409"/>
      <c r="I28" s="365"/>
      <c r="J28" s="380"/>
      <c r="K28" s="410"/>
      <c r="L28" s="411"/>
      <c r="M28" s="386"/>
      <c r="N28" s="410"/>
      <c r="O28" s="411"/>
      <c r="P28" s="386"/>
    </row>
    <row r="29" spans="1:17">
      <c r="A29" s="363" t="s">
        <v>324</v>
      </c>
      <c r="F29" s="361"/>
      <c r="G29" s="361"/>
      <c r="H29" s="409"/>
      <c r="I29" s="365"/>
      <c r="J29" s="380"/>
      <c r="K29" s="410"/>
      <c r="L29" s="411"/>
      <c r="M29" s="386"/>
      <c r="N29" s="410"/>
      <c r="O29" s="411"/>
      <c r="P29" s="386"/>
    </row>
    <row r="30" spans="1:17">
      <c r="A30" s="357" t="s">
        <v>325</v>
      </c>
      <c r="B30" s="357">
        <v>0.5</v>
      </c>
      <c r="C30" s="357" t="s">
        <v>118</v>
      </c>
      <c r="F30" s="361"/>
      <c r="G30" s="361"/>
      <c r="H30" s="409"/>
      <c r="I30" s="365"/>
      <c r="J30" s="380"/>
      <c r="K30" s="410"/>
      <c r="L30" s="411"/>
      <c r="M30" s="386"/>
      <c r="N30" s="410"/>
      <c r="O30" s="411"/>
      <c r="P30" s="386"/>
    </row>
    <row r="31" spans="1:17">
      <c r="A31" s="357" t="s">
        <v>221</v>
      </c>
      <c r="B31" s="441">
        <f>Front_P_T/1000</f>
        <v>6.0000000000000001E-3</v>
      </c>
      <c r="C31" s="357" t="s">
        <v>118</v>
      </c>
      <c r="F31" s="361"/>
      <c r="G31" s="361"/>
      <c r="H31" s="417">
        <f>$B$31</f>
        <v>6.0000000000000001E-3</v>
      </c>
      <c r="I31" s="418">
        <f>$B$31</f>
        <v>6.0000000000000001E-3</v>
      </c>
      <c r="J31" s="380" t="s">
        <v>118</v>
      </c>
      <c r="K31" s="419">
        <f>$H31</f>
        <v>6.0000000000000001E-3</v>
      </c>
      <c r="L31" s="420">
        <f>$I31</f>
        <v>6.0000000000000001E-3</v>
      </c>
      <c r="M31" s="386" t="s">
        <v>118</v>
      </c>
      <c r="N31" s="419">
        <f>$H31</f>
        <v>6.0000000000000001E-3</v>
      </c>
      <c r="O31" s="420">
        <f>$I31</f>
        <v>6.0000000000000001E-3</v>
      </c>
      <c r="P31" s="386" t="s">
        <v>118</v>
      </c>
    </row>
    <row r="32" spans="1:17">
      <c r="A32" s="357" t="s">
        <v>326</v>
      </c>
      <c r="F32" s="361"/>
      <c r="G32" s="361"/>
      <c r="H32" s="406">
        <f>H$31^3*$B$5/(25*H$10)</f>
        <v>453600</v>
      </c>
      <c r="I32" s="407">
        <f>I$31^3*$B$5/(25*I$10)</f>
        <v>453600</v>
      </c>
      <c r="J32" s="380" t="s">
        <v>327</v>
      </c>
      <c r="K32" s="408">
        <f>K$31^3*$B$5/(25*K$10)</f>
        <v>453600</v>
      </c>
      <c r="L32" s="390">
        <f>L$31^3*$B$5/(25*L$10)</f>
        <v>453600</v>
      </c>
      <c r="M32" s="386" t="s">
        <v>327</v>
      </c>
      <c r="N32" s="408">
        <f>N$31^3*$B$5/(25*N$10)</f>
        <v>453600</v>
      </c>
      <c r="O32" s="390">
        <f>O$31^3*$B$5/(25*O$10)</f>
        <v>453600</v>
      </c>
      <c r="P32" s="386" t="s">
        <v>327</v>
      </c>
    </row>
    <row r="33" spans="1:23">
      <c r="A33" s="357" t="s">
        <v>328</v>
      </c>
      <c r="F33" s="361"/>
      <c r="G33" s="361"/>
      <c r="H33" s="406">
        <f>$B$30*H$26*H$23^2/12</f>
        <v>380.75810969441858</v>
      </c>
      <c r="I33" s="407">
        <f>$B$30*I$26*I$23^2/12</f>
        <v>433.59519963314574</v>
      </c>
      <c r="J33" s="380" t="s">
        <v>327</v>
      </c>
      <c r="K33" s="406">
        <f>$B$30*K$26*K$23^2/12</f>
        <v>73.636574944316337</v>
      </c>
      <c r="L33" s="407">
        <f>$B$30*L$26*L$23^2/12</f>
        <v>57.374485476962832</v>
      </c>
      <c r="M33" s="386" t="s">
        <v>327</v>
      </c>
      <c r="N33" s="406">
        <f>$B$30*N$26*N$23^2/12</f>
        <v>73.636574944316337</v>
      </c>
      <c r="O33" s="407">
        <f>$B$30*O$26*O$23^2/12</f>
        <v>57.374485476962832</v>
      </c>
      <c r="P33" s="386" t="s">
        <v>327</v>
      </c>
    </row>
    <row r="34" spans="1:23">
      <c r="A34" s="357" t="s">
        <v>329</v>
      </c>
      <c r="F34" s="361"/>
      <c r="G34" s="361"/>
      <c r="H34" s="406">
        <f>H$20*H$33/H$32</f>
        <v>0.94014348072695963</v>
      </c>
      <c r="I34" s="407">
        <f>I$20*I$33/I$32</f>
        <v>1.0706054311929527</v>
      </c>
      <c r="J34" s="380" t="s">
        <v>316</v>
      </c>
      <c r="K34" s="408">
        <f>K$20*K$33/K$32</f>
        <v>0.18181870356621321</v>
      </c>
      <c r="L34" s="390">
        <f>L$20*L$33/L$32</f>
        <v>0.14166539623941443</v>
      </c>
      <c r="M34" s="386" t="s">
        <v>316</v>
      </c>
      <c r="N34" s="408">
        <f>N$20*N$33/N$32</f>
        <v>0.18181870356621321</v>
      </c>
      <c r="O34" s="390">
        <f>O$20*O$33/O$32</f>
        <v>0.14166539623941443</v>
      </c>
      <c r="P34" s="386" t="s">
        <v>316</v>
      </c>
    </row>
    <row r="35" spans="1:23">
      <c r="A35" s="357" t="s">
        <v>222</v>
      </c>
      <c r="B35" s="441">
        <f>Back_P_T/1000</f>
        <v>6.0000000000000001E-3</v>
      </c>
      <c r="C35" s="357" t="s">
        <v>118</v>
      </c>
      <c r="F35" s="361"/>
      <c r="G35" s="361"/>
      <c r="H35" s="417">
        <f>$B$31</f>
        <v>6.0000000000000001E-3</v>
      </c>
      <c r="I35" s="418">
        <f>$B$31</f>
        <v>6.0000000000000001E-3</v>
      </c>
      <c r="J35" s="380" t="s">
        <v>118</v>
      </c>
      <c r="K35" s="419">
        <f>$H35</f>
        <v>6.0000000000000001E-3</v>
      </c>
      <c r="L35" s="420">
        <f>$I35</f>
        <v>6.0000000000000001E-3</v>
      </c>
      <c r="M35" s="386" t="s">
        <v>118</v>
      </c>
      <c r="N35" s="419">
        <f>$H35</f>
        <v>6.0000000000000001E-3</v>
      </c>
      <c r="O35" s="420">
        <f>$I35</f>
        <v>6.0000000000000001E-3</v>
      </c>
      <c r="P35" s="386" t="s">
        <v>118</v>
      </c>
    </row>
    <row r="36" spans="1:23">
      <c r="A36" s="357" t="s">
        <v>330</v>
      </c>
      <c r="F36" s="361"/>
      <c r="G36" s="361"/>
      <c r="H36" s="409">
        <f>30*H$35</f>
        <v>0.18</v>
      </c>
      <c r="I36" s="365">
        <f>30*I$35</f>
        <v>0.18</v>
      </c>
      <c r="J36" s="380" t="s">
        <v>118</v>
      </c>
      <c r="K36" s="421">
        <f>30*K$35</f>
        <v>0.18</v>
      </c>
      <c r="L36" s="422">
        <f>30*L$35</f>
        <v>0.18</v>
      </c>
      <c r="M36" s="386" t="s">
        <v>118</v>
      </c>
      <c r="N36" s="421">
        <f>30*N$35</f>
        <v>0.18</v>
      </c>
      <c r="O36" s="422">
        <f>30*O$35</f>
        <v>0.18</v>
      </c>
      <c r="P36" s="386" t="s">
        <v>118</v>
      </c>
    </row>
    <row r="37" spans="1:23">
      <c r="A37" s="357" t="s">
        <v>331</v>
      </c>
      <c r="F37" s="361"/>
      <c r="G37" s="361"/>
      <c r="H37" s="406">
        <f>H$35^3*$B$5/(25*H$10)</f>
        <v>453600</v>
      </c>
      <c r="I37" s="407">
        <f>I$35^3*$B$5/(25*I$10)</f>
        <v>453600</v>
      </c>
      <c r="J37" s="380" t="s">
        <v>327</v>
      </c>
      <c r="K37" s="408">
        <f>K$35^3*$B$5/(25*K$10)</f>
        <v>453600</v>
      </c>
      <c r="L37" s="390">
        <f>L$35^3*$B$5/(25*L$10)</f>
        <v>453600</v>
      </c>
      <c r="M37" s="386" t="s">
        <v>327</v>
      </c>
      <c r="N37" s="408">
        <f>N$35^3*$B$5/(25*N$10)</f>
        <v>453600</v>
      </c>
      <c r="O37" s="390">
        <f>O$35^3*$B$5/(25*O$10)</f>
        <v>453600</v>
      </c>
      <c r="P37" s="386" t="s">
        <v>327</v>
      </c>
    </row>
    <row r="38" spans="1:23">
      <c r="A38" s="357" t="s">
        <v>332</v>
      </c>
      <c r="F38" s="361"/>
      <c r="G38" s="361"/>
      <c r="H38" s="406">
        <f>$B$30*H$26*H$23^2/12</f>
        <v>380.75810969441858</v>
      </c>
      <c r="I38" s="407">
        <f>$B$30*I$26*I$23^2/12</f>
        <v>433.59519963314574</v>
      </c>
      <c r="J38" s="380" t="s">
        <v>327</v>
      </c>
      <c r="K38" s="406">
        <f>$B$30*K$26*K$23^2/12</f>
        <v>73.636574944316337</v>
      </c>
      <c r="L38" s="407">
        <f>$B$30*L$26*L$23^2/12</f>
        <v>57.374485476962832</v>
      </c>
      <c r="M38" s="386" t="s">
        <v>327</v>
      </c>
      <c r="N38" s="406">
        <f>$B$30*N$26*N$23^2/12</f>
        <v>73.636574944316337</v>
      </c>
      <c r="O38" s="407">
        <f>$B$30*O$26*O$23^2/12</f>
        <v>57.374485476962832</v>
      </c>
      <c r="P38" s="386" t="s">
        <v>327</v>
      </c>
    </row>
    <row r="39" spans="1:23">
      <c r="A39" s="357" t="s">
        <v>333</v>
      </c>
      <c r="F39" s="361"/>
      <c r="G39" s="361"/>
      <c r="H39" s="406">
        <f>-H$20*H$38/H$37</f>
        <v>-0.94014348072695963</v>
      </c>
      <c r="I39" s="407">
        <f>-I$20*I$38/I$37</f>
        <v>-1.0706054311929527</v>
      </c>
      <c r="J39" s="380" t="s">
        <v>316</v>
      </c>
      <c r="K39" s="408">
        <f>-K$20*K$38/K$37</f>
        <v>-0.18181870356621321</v>
      </c>
      <c r="L39" s="390">
        <f>-L$20*L$38/L$37</f>
        <v>-0.14166539623941443</v>
      </c>
      <c r="M39" s="386" t="s">
        <v>316</v>
      </c>
      <c r="N39" s="408">
        <f>-N$20*N$38/N$37</f>
        <v>-0.18181870356621321</v>
      </c>
      <c r="O39" s="390">
        <f>-O$20*O$38/O$37</f>
        <v>-0.14166539623941443</v>
      </c>
      <c r="P39" s="386" t="s">
        <v>316</v>
      </c>
    </row>
    <row r="40" spans="1:23">
      <c r="F40" s="361"/>
      <c r="G40" s="361"/>
      <c r="H40" s="409"/>
      <c r="I40" s="365"/>
      <c r="J40" s="380"/>
      <c r="K40" s="410"/>
      <c r="L40" s="411"/>
      <c r="M40" s="386"/>
      <c r="N40" s="410"/>
      <c r="O40" s="411"/>
      <c r="P40" s="386"/>
    </row>
    <row r="41" spans="1:23">
      <c r="F41" s="361"/>
      <c r="G41" s="361"/>
      <c r="H41" s="409"/>
      <c r="I41" s="365"/>
      <c r="J41" s="380"/>
      <c r="K41" s="410"/>
      <c r="L41" s="411"/>
      <c r="M41" s="386"/>
      <c r="N41" s="410"/>
      <c r="O41" s="411"/>
      <c r="P41" s="386"/>
    </row>
    <row r="42" spans="1:23" ht="15.75">
      <c r="A42" s="423" t="s">
        <v>334</v>
      </c>
      <c r="D42" s="357" t="s">
        <v>300</v>
      </c>
      <c r="E42" s="357" t="s">
        <v>301</v>
      </c>
      <c r="F42" s="361"/>
      <c r="G42" s="361"/>
      <c r="H42" s="409"/>
      <c r="I42" s="365"/>
      <c r="J42" s="380"/>
      <c r="K42" s="410"/>
      <c r="L42" s="411"/>
      <c r="M42" s="386"/>
      <c r="N42" s="410"/>
      <c r="O42" s="411"/>
      <c r="P42" s="386"/>
    </row>
    <row r="43" spans="1:23">
      <c r="A43" s="357" t="s">
        <v>335</v>
      </c>
      <c r="B43" s="357" t="s">
        <v>336</v>
      </c>
      <c r="D43" s="357">
        <f>H$23/2</f>
        <v>6.0528862803227328E-2</v>
      </c>
      <c r="E43" s="357">
        <f>I$23/2</f>
        <v>4.1056745303720346E-2</v>
      </c>
      <c r="F43" s="361"/>
      <c r="G43" s="361"/>
      <c r="H43" s="406">
        <f>(-H$26*$D$43^4+4*$D$43^3*(H$26*H$23/2+6*(H$39+H$34)/H$23^2)-12*$D$43^2*(H$26*H$23^2/12+4*H$39/H$23+2*H$34/H$23)+24*H$39*$D$43)/(24*H$20)</f>
        <v>-3.3678829889252247E-4</v>
      </c>
      <c r="I43" s="407">
        <f>(-I$26*$E$43^4+4*$E$43^3*(I$26*I$23/2+6*(I$39+I$34)/I$23^2)-12*$E$43^2*(I$26*I$23^2/12+4*I$39/I$23+2*I$34/I$23)+24*I$39*$E$43)/(24*I$20)</f>
        <v>-1.8276867055298346E-4</v>
      </c>
      <c r="J43" s="424" t="s">
        <v>118</v>
      </c>
      <c r="K43" s="406">
        <f>(-K$26*$D$43^4+4*$D$43^3*(K$26*K$23/2+6*(K$39+K$34)/K$23^2)-12*$D$43^2*(K$26*K$23^2/12+4*K$39/K$23+2*K$34/K$23)+24*K$39*$D$43)/(24*K$20)</f>
        <v>-6.5133049514484324E-5</v>
      </c>
      <c r="L43" s="407">
        <f>(-L$26*$E$43^4+4*$E$43^3*(L$26*L$23/2+6*(L$39+L$34)/L$23^2)-12*$E$43^2*(L$26*L$23^2/12+4*L$39/L$23+2*L$34/L$23)+24*L$39*$E$43)/(24*L$20)</f>
        <v>-2.418444310074954E-5</v>
      </c>
      <c r="M43" s="425" t="s">
        <v>118</v>
      </c>
      <c r="N43" s="406">
        <f>(-N$26*$D$43^4+4*$D$43^3*(N$26*N$23/2+6*(N$39+N$34)/N$23^2)-12*$D$43^2*(N$26*N$23^2/12+4*N$39/N$23+2*N$34/N$23)+24*N$39*$D$43)/(24*N$20)</f>
        <v>-6.5133049514484324E-5</v>
      </c>
      <c r="O43" s="407">
        <f>(-O$26*$E$43^4+4*$E$43^3*(O$26*O$23/2+6*(O$39+O$34)/O$23^2)-12*$E$43^2*(O$26*O$23^2/12+4*O$39/O$23+2*O$34/O$23)+24*O$39*$E$43)/(24*O$20)</f>
        <v>-2.418444310074954E-5</v>
      </c>
      <c r="P43" s="425" t="s">
        <v>118</v>
      </c>
    </row>
    <row r="44" spans="1:23">
      <c r="A44" s="357" t="s">
        <v>337</v>
      </c>
      <c r="B44" s="357" t="s">
        <v>336</v>
      </c>
      <c r="D44" s="357">
        <v>0</v>
      </c>
      <c r="E44" s="357">
        <v>0</v>
      </c>
      <c r="F44" s="361"/>
      <c r="G44" s="361"/>
      <c r="H44" s="406">
        <f>-H$26*$D$44^2/2+$D$44*(H$26*H$23/2+6*(H$39+H$34)/H$23^2)-(H$26*H$23^2/12+4*H$39/H$23+2*H$34/H$23)</f>
        <v>-745.98406766506764</v>
      </c>
      <c r="I44" s="407">
        <f>-I$26*$E$44^2/2+$E$44*(I$26*I$23/2+6*(I$39+I$34)/I$23^2)-(I$26*I$23^2/12+4*I$39/I$23+2*I$34/I$23)</f>
        <v>-841.11416201774512</v>
      </c>
      <c r="J44" s="424" t="s">
        <v>327</v>
      </c>
      <c r="K44" s="406">
        <f>-K$26*$D$44^2/2+$D$44*(K$26*K$23/2+6*(K$39+K$34)/K$23^2)-(K$26*K$23^2/12+4*K$39/K$23+2*K$34/K$23)</f>
        <v>-144.26931510394019</v>
      </c>
      <c r="L44" s="407">
        <f>-L$26*$E$44^2/2+$E$44*(L$26*L$23/2+6*(L$39+L$34)/L$23^2)-(L$26*L$23^2/12+4*L$39/L$23+2*L$34/L$23)</f>
        <v>-111.29849295837501</v>
      </c>
      <c r="M44" s="425" t="s">
        <v>327</v>
      </c>
      <c r="N44" s="406">
        <f>-N$26*$D$44^2/2+$D$44*(N$26*N$23/2+6*(N$39+N$34)/N$23^2)-(N$26*N$23^2/12+4*N$39/N$23+2*N$34/N$23)</f>
        <v>-144.26931510394019</v>
      </c>
      <c r="O44" s="407">
        <f>-O$26*$E$44^2/2+$E$44*(O$26*O$23/2+6*(O$39+O$34)/O$23^2)-(O$26*O$23^2/12+4*O$39/O$23+2*O$34/O$23)</f>
        <v>-111.29849295837501</v>
      </c>
      <c r="P44" s="425" t="s">
        <v>327</v>
      </c>
    </row>
    <row r="45" spans="1:23">
      <c r="A45" s="357" t="s">
        <v>338</v>
      </c>
      <c r="B45" s="357" t="s">
        <v>336</v>
      </c>
      <c r="D45" s="357">
        <f>H$23/2</f>
        <v>6.0528862803227328E-2</v>
      </c>
      <c r="E45" s="357">
        <f>I$23/2</f>
        <v>4.1056745303720346E-2</v>
      </c>
      <c r="F45" s="361"/>
      <c r="G45" s="361"/>
      <c r="H45" s="406">
        <f>-H$26*$D$45^2/2+$D$45*(H$26*H$23/2+6*(H$39+H$34)/H$23^2)-(H$26*H$23^2/12+4*H$39/H$23+2*H$34/H$23)</f>
        <v>396.29026141818804</v>
      </c>
      <c r="I45" s="407">
        <f>-I$26*$E$45^2/2+$E$45*(I$26*I$23/2+6*(I$39+I$34)/I$23^2)-(I$26*I$23^2/12+4*I$39/I$23+2*I$34/I$23)</f>
        <v>459.6714368816921</v>
      </c>
      <c r="J45" s="424" t="s">
        <v>327</v>
      </c>
      <c r="K45" s="406">
        <f>-K$26*$D$45^2/2+$D$45*(K$26*K$23/2+6*(K$39+K$34)/K$23^2)-(K$26*K$23^2/12+4*K$39/K$23+2*K$34/K$23)</f>
        <v>76.640409729008894</v>
      </c>
      <c r="L45" s="407">
        <f>-L$26*$E$45^2/2+$E$45*(L$26*L$23/2+6*(L$39+L$34)/L$23^2)-(L$26*L$23^2/12+4*L$39/L$23+2*L$34/L$23)</f>
        <v>60.824963472513431</v>
      </c>
      <c r="M45" s="425" t="s">
        <v>327</v>
      </c>
      <c r="N45" s="406">
        <f>-N$26*$D$45^2/2+$D$45*(N$26*N$23/2+6*(N$39+N$34)/N$23^2)-(N$26*N$23^2/12+4*N$39/N$23+2*N$34/N$23)</f>
        <v>76.640409729008894</v>
      </c>
      <c r="O45" s="407">
        <f>-O$26*$E$45^2/2+$E$45*(O$26*O$23/2+6*(O$39+O$34)/O$23^2)-(O$26*O$23^2/12+4*O$39/O$23+2*O$34/O$23)</f>
        <v>60.824963472513431</v>
      </c>
      <c r="P45" s="425" t="s">
        <v>327</v>
      </c>
    </row>
    <row r="46" spans="1:23">
      <c r="A46" s="357" t="s">
        <v>339</v>
      </c>
      <c r="F46" s="361"/>
      <c r="G46" s="361"/>
      <c r="H46" s="406">
        <f>ABS((-H$26*H$10^2/2+H$10*(H$26*H$23/2+6*(H$39+H$34)/H$23^2)-(H$26*H$23^2/12+4*H$39/H$23+2*H$34/H$23))/H$18)</f>
        <v>224999999.99999982</v>
      </c>
      <c r="I46" s="407">
        <f>ABS((-I$26*I$10^2/2+I$10*(I$26*I$23/2+6*(I$39+I$34)/I$23^2)-(I$26*I$23^2/12+4*I$39/I$23+2*I$34/I$23))/I$18)</f>
        <v>224999999.99998873</v>
      </c>
      <c r="J46" s="380" t="s">
        <v>17</v>
      </c>
      <c r="K46" s="408">
        <f>ABS((-K$26*K$10^2/2+K$10*(K$26*K$23/2+6*(K$39+K$34)/K$23^2)-(K$26*K$23^2/12+4*K$39/K$23+2*K$34/K$23))/K$18)</f>
        <v>43513792.459386267</v>
      </c>
      <c r="L46" s="390">
        <f>ABS((-L$26*L$10^2/2+L$10*(L$26*L$23/2+6*(L$39+L$34)/L$23^2)-(L$26*L$23^2/12+4*L$39/L$23+2*L$34/L$23))/L$18)</f>
        <v>29772606.438535746</v>
      </c>
      <c r="M46" s="386" t="s">
        <v>17</v>
      </c>
      <c r="N46" s="408">
        <f>ABS((-N$26*N$10^2/2+N$10*(N$26*N$23/2+6*(N$39+N$34)/N$23^2)-(N$26*N$23^2/12+4*N$39/N$23+2*N$34/N$23))/N$18)</f>
        <v>43513792.459386267</v>
      </c>
      <c r="O46" s="390">
        <f>ABS((-O$26*O$10^2/2+O$10*(O$26*O$23/2+6*(O$39+O$34)/O$23^2)-(O$26*O$23^2/12+4*O$39/O$23+2*O$34/O$23))/O$18)</f>
        <v>29772606.438535746</v>
      </c>
      <c r="P46" s="386" t="s">
        <v>17</v>
      </c>
    </row>
    <row r="47" spans="1:23" s="361" customFormat="1" ht="14.25" thickBot="1">
      <c r="A47" s="357" t="s">
        <v>340</v>
      </c>
      <c r="B47" s="366">
        <f>IF(($D$4*($D$3-20)^2+$E$4*($D$3-20)+$F$4)*Stress_safety&lt;0,0,($D$4*($D$3-20)^2+$E$4*($D$3-20)+$F$4)*Stress_safety)*10^6</f>
        <v>225000000</v>
      </c>
      <c r="C47" s="357" t="s">
        <v>17</v>
      </c>
      <c r="D47" s="357"/>
      <c r="E47" s="357"/>
      <c r="H47" s="426">
        <f>H$46-$B$47</f>
        <v>0</v>
      </c>
      <c r="I47" s="427">
        <f>I$46-$B$47</f>
        <v>-1.1265277862548828E-5</v>
      </c>
      <c r="J47" s="428" t="s">
        <v>17</v>
      </c>
      <c r="K47" s="429"/>
      <c r="L47" s="430"/>
      <c r="M47" s="431"/>
      <c r="N47" s="429"/>
      <c r="O47" s="430"/>
      <c r="P47" s="431"/>
      <c r="Q47" s="357"/>
      <c r="R47" s="357"/>
      <c r="S47" s="357"/>
      <c r="T47" s="357"/>
      <c r="U47" s="357"/>
      <c r="V47" s="357"/>
      <c r="W47" s="357"/>
    </row>
    <row r="48" spans="1:23" s="361" customFormat="1">
      <c r="B48" s="366"/>
      <c r="H48" s="390"/>
      <c r="I48" s="390"/>
      <c r="J48" s="422"/>
      <c r="K48" s="390"/>
      <c r="L48" s="390"/>
      <c r="M48" s="390"/>
    </row>
    <row r="49" spans="1:37" s="361" customFormat="1" ht="15.75">
      <c r="A49" s="423" t="s">
        <v>341</v>
      </c>
      <c r="B49" s="357" t="s">
        <v>300</v>
      </c>
      <c r="C49" s="357" t="s">
        <v>301</v>
      </c>
      <c r="D49" s="357"/>
      <c r="E49" s="357" t="s">
        <v>300</v>
      </c>
      <c r="F49" s="357" t="s">
        <v>301</v>
      </c>
      <c r="H49" s="357" t="s">
        <v>300</v>
      </c>
      <c r="I49" s="357" t="s">
        <v>301</v>
      </c>
      <c r="J49" s="357"/>
      <c r="K49" s="357" t="s">
        <v>300</v>
      </c>
      <c r="L49" s="357" t="s">
        <v>301</v>
      </c>
      <c r="M49" s="357"/>
      <c r="N49" s="357" t="s">
        <v>300</v>
      </c>
      <c r="O49" s="357" t="s">
        <v>301</v>
      </c>
      <c r="P49" s="357"/>
    </row>
    <row r="50" spans="1:37" s="361" customFormat="1">
      <c r="A50" s="357"/>
      <c r="B50" s="578"/>
      <c r="C50" s="578"/>
      <c r="D50" s="357"/>
      <c r="E50" s="357"/>
      <c r="H50" s="1466" t="s">
        <v>342</v>
      </c>
      <c r="I50" s="1466"/>
      <c r="J50" s="357"/>
      <c r="K50" s="1466" t="s">
        <v>343</v>
      </c>
      <c r="L50" s="1466"/>
      <c r="M50" s="360"/>
      <c r="N50" s="1466" t="s">
        <v>344</v>
      </c>
      <c r="O50" s="1466"/>
      <c r="P50" s="357"/>
    </row>
    <row r="51" spans="1:37" s="361" customFormat="1" ht="15">
      <c r="A51" s="357" t="s">
        <v>345</v>
      </c>
      <c r="B51" s="357"/>
      <c r="C51" s="357"/>
      <c r="D51" s="357"/>
      <c r="E51" s="357"/>
      <c r="H51" s="446">
        <f>Int_ring_D/1000</f>
        <v>0</v>
      </c>
      <c r="I51" s="446">
        <f>Ext_ring_D/1000</f>
        <v>0</v>
      </c>
      <c r="J51" s="357" t="s">
        <v>118</v>
      </c>
      <c r="K51" s="412">
        <f>N51</f>
        <v>0</v>
      </c>
      <c r="L51" s="412">
        <f>O51</f>
        <v>0</v>
      </c>
      <c r="M51" s="357" t="s">
        <v>118</v>
      </c>
      <c r="N51" s="446">
        <f>Int_ring_D/1000</f>
        <v>0</v>
      </c>
      <c r="O51" s="446">
        <f>Ext_ring_D/1000</f>
        <v>0</v>
      </c>
      <c r="P51" s="357" t="s">
        <v>118</v>
      </c>
    </row>
    <row r="52" spans="1:37" s="361" customFormat="1" ht="15">
      <c r="A52" s="357" t="s">
        <v>346</v>
      </c>
      <c r="B52" s="383"/>
      <c r="C52" s="383"/>
      <c r="D52" s="357"/>
      <c r="E52" s="412"/>
      <c r="F52" s="412"/>
      <c r="H52" s="446">
        <f>Int_ring_T/1000</f>
        <v>0</v>
      </c>
      <c r="I52" s="446">
        <f>Ext_ring_T/1000</f>
        <v>0</v>
      </c>
      <c r="J52" s="357" t="s">
        <v>118</v>
      </c>
      <c r="K52" s="412">
        <f>N52</f>
        <v>0</v>
      </c>
      <c r="L52" s="412">
        <f>O52</f>
        <v>0</v>
      </c>
      <c r="M52" s="357" t="s">
        <v>118</v>
      </c>
      <c r="N52" s="446">
        <f>Int_ring_T/1000</f>
        <v>0</v>
      </c>
      <c r="O52" s="446">
        <f>Ext_ring_T/1000</f>
        <v>0</v>
      </c>
      <c r="P52" s="357" t="s">
        <v>118</v>
      </c>
    </row>
    <row r="53" spans="1:37" s="361" customFormat="1" ht="15">
      <c r="A53" s="360" t="s">
        <v>347</v>
      </c>
      <c r="B53" s="432"/>
      <c r="C53" s="432"/>
      <c r="D53" s="360"/>
      <c r="E53" s="360"/>
      <c r="H53" s="432">
        <f>IF(H$13=0,0,IF(H52=FALSE,FALSE,(H$22*H$12)^2*(Blade_TW/(H$52*(H$13+2)*2*PI()*H$22*Blade_L/1000*SIN(H$24))+$H$5)/1000000))</f>
        <v>0</v>
      </c>
      <c r="I53" s="432">
        <f>IF(I$13=0,0,IF(I52=FALSE,FALSE,((I$22-I$51)*I$12)^2*(Blade_TW/(I$52*(I$13+2)*2*PI()*(I$22-I$51)*Blade_L/1000*SIN(I$24))+$H$5)/1000000))</f>
        <v>0</v>
      </c>
      <c r="J53" s="360" t="s">
        <v>73</v>
      </c>
      <c r="K53" s="432">
        <f>IF(K$13=0,0,IF(K52=FALSE,FALSE,(K$22*K$12)^2*(Blade_TW/(K$52*(K$13+2)*2*PI()*K$22*Blade_L/1000*SIN(K$24))+$H$5)/1000000))</f>
        <v>0</v>
      </c>
      <c r="L53" s="432">
        <f>IF(L$13=0,0,IF(L52=FALSE,FALSE,((L$22-L$51)*L$12)^2*(Blade_TW/(L$52*(L$13+2)*2*PI()*(L$22-L$51)*Blade_L/1000*SIN(L$24))+$H$5)/1000000))</f>
        <v>0</v>
      </c>
      <c r="M53" s="360" t="s">
        <v>73</v>
      </c>
      <c r="N53" s="432">
        <f>IF(N$13=0,0,IF(N52=FALSE,FALSE,(N$22*N$12)^2*(Blade_TW/(N$52*(N$13+2)*2*PI()*N$22*Blade_L/1000*SIN(N$24))+$H$5)/1000000))</f>
        <v>0</v>
      </c>
      <c r="O53" s="432">
        <f>IF(O$13=0,0,IF(O52=FALSE,FALSE,((O$22-O$51)*O$12)^2*(Blade_TW/(O$52*(O$13+2)*2*PI()*(O$22-O$51)*Blade_L/1000*SIN(O$24))+$H$5)/1000000))</f>
        <v>0</v>
      </c>
      <c r="P53" s="360" t="s">
        <v>73</v>
      </c>
    </row>
    <row r="54" spans="1:37" s="361" customFormat="1" ht="15">
      <c r="A54" s="360" t="s">
        <v>348</v>
      </c>
      <c r="B54" s="432"/>
      <c r="C54" s="432"/>
      <c r="D54" s="360"/>
      <c r="E54" s="360"/>
      <c r="H54" s="432">
        <f>IF(H$13=0,H$11,IF($H$52=FALSE,0,60/(2*PI())*SQRT(Max_Stress/Stress_safety)/(H$22*SQRT((Blade_TW/($K$52*(H$13+2)*2*PI()*H$22*Blade_L/1000*SIN(H$24))+$H$5)))))</f>
        <v>3802.8754695346634</v>
      </c>
      <c r="I54" s="432">
        <f>IF(I$13=0,I$11,IF($I$52=FALSE,0,60/(2*PI())*SQRT(Max_Stress/Stress_safety)/((I$22-I$51)*SQRT((Blade_TW/(I$52*(I$13+2)*2*PI()*(I$22-I$51)*Blade_L/1000*SIN(I$24))+$H$5)))))</f>
        <v>4597.4513663748539</v>
      </c>
      <c r="J54" s="360" t="s">
        <v>135</v>
      </c>
      <c r="K54" s="432"/>
      <c r="L54" s="432"/>
      <c r="M54" s="360"/>
      <c r="N54" s="432"/>
      <c r="O54" s="432"/>
      <c r="P54" s="360"/>
    </row>
    <row r="55" spans="1:37" s="361" customFormat="1" ht="15">
      <c r="A55" s="360"/>
      <c r="B55" s="432"/>
      <c r="C55" s="432"/>
      <c r="D55" s="360"/>
      <c r="E55" s="360"/>
      <c r="H55" s="432"/>
      <c r="I55" s="432"/>
      <c r="J55" s="360"/>
      <c r="K55" s="432"/>
      <c r="L55" s="432"/>
      <c r="M55" s="360"/>
      <c r="N55" s="432"/>
      <c r="O55" s="432"/>
      <c r="P55" s="360"/>
    </row>
    <row r="56" spans="1:37" s="361" customFormat="1">
      <c r="A56" s="433" t="s">
        <v>349</v>
      </c>
      <c r="B56" s="434">
        <f>MIN($H$11,$I$11,$H$54,$I$54)</f>
        <v>3802.8754695346634</v>
      </c>
      <c r="C56" s="433" t="s">
        <v>135</v>
      </c>
      <c r="H56" s="390"/>
      <c r="I56" s="390"/>
      <c r="J56" s="422"/>
      <c r="K56" s="390"/>
      <c r="L56" s="390"/>
      <c r="M56" s="390"/>
    </row>
    <row r="57" spans="1:37">
      <c r="A57" s="361"/>
      <c r="B57" s="366"/>
      <c r="C57" s="361"/>
      <c r="D57" s="361"/>
      <c r="E57" s="361"/>
      <c r="F57" s="361"/>
      <c r="G57" s="361"/>
      <c r="H57" s="390"/>
      <c r="I57" s="390"/>
      <c r="J57" s="422"/>
      <c r="K57" s="390"/>
      <c r="L57" s="390"/>
      <c r="M57" s="390"/>
      <c r="N57" s="361"/>
      <c r="O57" s="361"/>
      <c r="P57" s="361"/>
      <c r="Q57" s="361"/>
      <c r="R57" s="361"/>
      <c r="S57" s="361"/>
      <c r="T57" s="361"/>
      <c r="U57" s="361"/>
      <c r="V57" s="361"/>
      <c r="W57" s="361"/>
      <c r="X57" s="361"/>
      <c r="Y57" s="361"/>
      <c r="Z57" s="361"/>
      <c r="AA57" s="361"/>
      <c r="AB57" s="361"/>
      <c r="AC57" s="361"/>
      <c r="AD57" s="361"/>
      <c r="AE57" s="361"/>
      <c r="AF57" s="361"/>
      <c r="AG57" s="361"/>
      <c r="AH57" s="361"/>
      <c r="AI57" s="361"/>
      <c r="AJ57" s="361"/>
      <c r="AK57" s="361"/>
    </row>
    <row r="58" spans="1:37">
      <c r="F58" s="361"/>
      <c r="G58" s="361"/>
    </row>
    <row r="59" spans="1:37">
      <c r="A59" s="1461" t="s">
        <v>350</v>
      </c>
      <c r="B59" s="1461"/>
      <c r="C59" s="1461"/>
      <c r="D59" s="1461"/>
      <c r="E59" s="1461"/>
      <c r="F59" s="1461"/>
      <c r="G59" s="435"/>
      <c r="H59" s="435"/>
      <c r="I59" s="435"/>
      <c r="J59" s="435"/>
      <c r="K59" s="435"/>
      <c r="L59" s="435"/>
      <c r="M59" s="435"/>
      <c r="N59" s="435"/>
      <c r="O59" s="435"/>
      <c r="P59" s="435"/>
      <c r="Q59" s="435"/>
      <c r="R59" s="435"/>
      <c r="S59" s="435"/>
      <c r="T59" s="435"/>
      <c r="U59" s="435"/>
      <c r="V59" s="435"/>
      <c r="W59" s="435"/>
      <c r="X59" s="435"/>
      <c r="Y59" s="435"/>
    </row>
    <row r="61" spans="1:37">
      <c r="A61" s="373" t="s">
        <v>351</v>
      </c>
      <c r="B61" s="1462" t="s">
        <v>352</v>
      </c>
      <c r="C61" s="1462"/>
      <c r="D61" s="1462" t="s">
        <v>353</v>
      </c>
      <c r="E61" s="1462"/>
      <c r="F61" s="373" t="s">
        <v>351</v>
      </c>
    </row>
    <row r="62" spans="1:37">
      <c r="A62" s="369">
        <f>H23/50</f>
        <v>2.4211545121290931E-3</v>
      </c>
      <c r="B62" s="436" t="s">
        <v>354</v>
      </c>
      <c r="C62" s="437" t="s">
        <v>355</v>
      </c>
      <c r="D62" s="357" t="s">
        <v>356</v>
      </c>
      <c r="E62" s="357" t="s">
        <v>357</v>
      </c>
      <c r="F62" s="369">
        <f>I23/50</f>
        <v>1.6422698121488139E-3</v>
      </c>
    </row>
    <row r="63" spans="1:37">
      <c r="A63" s="369">
        <v>0</v>
      </c>
      <c r="B63" s="407">
        <f t="shared" ref="B63:B113" si="4">(-K$26*$A63^4+4*$A63^3*(K$26*K$23/2+6*(K$39+K$34)/K$23^2)-12*$A63^2*(K$26*K$23^2/12+4*K$39/K$23+2*K$34/K$23)+24*K$39*$A63)/(24*K$20)</f>
        <v>0</v>
      </c>
      <c r="C63" s="438">
        <f t="shared" ref="C63:C113" si="5">-K$26*$A63^2/2+$A63*(K$26*K$23/2+6*(K$39+K$34)/K$23^2)-(K$26*K$23^2/12+4*K$39/K$23+2*K$34/K$23)</f>
        <v>-144.26931510394019</v>
      </c>
      <c r="D63" s="369">
        <f t="shared" ref="D63:D113" si="6">(-L$26*$F63^4+4*$F63^3*(L$26*L$23/2+6*(L$39+L$34)/L$23^2)-12*$F63^2*(L$26*L$23^2/12+4*L$39/L$23+2*L$34/L$23)+24*L$39*$F63)/(24*L$20)</f>
        <v>0</v>
      </c>
      <c r="E63" s="369">
        <f t="shared" ref="E63:E113" si="7">-L$26*$F63^2/2+$F63*(L$26*L$23/2+6*(L$39+L$34)/L$23^2)-(L$26*L$23^2/12+4*L$39/L$23+2*L$34/L$23)</f>
        <v>-111.29849295837501</v>
      </c>
      <c r="F63" s="369">
        <v>0</v>
      </c>
    </row>
    <row r="64" spans="1:37">
      <c r="A64" s="369">
        <f t="shared" ref="A64:A113" si="8">A63+A$62</f>
        <v>2.4211545121290931E-3</v>
      </c>
      <c r="B64" s="407">
        <f t="shared" si="4"/>
        <v>-7.5533048796377245E-7</v>
      </c>
      <c r="C64" s="438">
        <f t="shared" si="5"/>
        <v>-126.94999267703699</v>
      </c>
      <c r="D64" s="369">
        <f t="shared" si="6"/>
        <v>-3.3626235146490396E-7</v>
      </c>
      <c r="E64" s="369">
        <f t="shared" si="7"/>
        <v>-97.804013974193353</v>
      </c>
      <c r="F64" s="369">
        <f t="shared" ref="F64:F113" si="9">F63+F$62</f>
        <v>1.6422698121488139E-3</v>
      </c>
    </row>
    <row r="65" spans="1:6">
      <c r="A65" s="369">
        <f t="shared" si="8"/>
        <v>4.8423090242581861E-3</v>
      </c>
      <c r="B65" s="407">
        <f t="shared" si="4"/>
        <v>-2.1754152686524067E-6</v>
      </c>
      <c r="C65" s="438">
        <f t="shared" si="5"/>
        <v>-110.33758136959922</v>
      </c>
      <c r="D65" s="369">
        <f t="shared" si="6"/>
        <v>-9.0815516960059903E-7</v>
      </c>
      <c r="E65" s="369">
        <f t="shared" si="7"/>
        <v>-84.860330050590534</v>
      </c>
      <c r="F65" s="369">
        <f t="shared" si="9"/>
        <v>3.2845396242976279E-3</v>
      </c>
    </row>
    <row r="66" spans="1:6">
      <c r="A66" s="369">
        <f t="shared" si="8"/>
        <v>7.2634635363872796E-3</v>
      </c>
      <c r="B66" s="407">
        <f t="shared" si="4"/>
        <v>-4.1733063284958882E-6</v>
      </c>
      <c r="C66" s="438">
        <f t="shared" si="5"/>
        <v>-94.432081181626884</v>
      </c>
      <c r="D66" s="369">
        <f t="shared" si="6"/>
        <v>-1.6845090218310688E-6</v>
      </c>
      <c r="E66" s="369">
        <f t="shared" si="7"/>
        <v>-72.467441187566564</v>
      </c>
      <c r="F66" s="369">
        <f t="shared" si="9"/>
        <v>4.9268094364464422E-3</v>
      </c>
    </row>
    <row r="67" spans="1:6">
      <c r="A67" s="369">
        <f t="shared" si="8"/>
        <v>9.6846180485163722E-3</v>
      </c>
      <c r="B67" s="407">
        <f t="shared" si="4"/>
        <v>-6.6657555693952661E-6</v>
      </c>
      <c r="C67" s="438">
        <f t="shared" si="5"/>
        <v>-79.233492113119993</v>
      </c>
      <c r="D67" s="369">
        <f t="shared" si="6"/>
        <v>-2.6354808344133175E-6</v>
      </c>
      <c r="E67" s="369">
        <f t="shared" si="7"/>
        <v>-60.625347385121437</v>
      </c>
      <c r="F67" s="369">
        <f t="shared" si="9"/>
        <v>6.5690792485952557E-3</v>
      </c>
    </row>
    <row r="68" spans="1:6">
      <c r="A68" s="369">
        <f t="shared" si="8"/>
        <v>1.2105772560645465E-2</v>
      </c>
      <c r="B68" s="407">
        <f t="shared" si="4"/>
        <v>-9.5732148087226551E-6</v>
      </c>
      <c r="C68" s="438">
        <f t="shared" si="5"/>
        <v>-64.741814164078534</v>
      </c>
      <c r="D68" s="369">
        <f t="shared" si="6"/>
        <v>-3.7325538924373732E-6</v>
      </c>
      <c r="E68" s="369">
        <f t="shared" si="7"/>
        <v>-49.334048643255151</v>
      </c>
      <c r="F68" s="369">
        <f t="shared" si="9"/>
        <v>8.2113490607440692E-3</v>
      </c>
    </row>
    <row r="69" spans="1:6">
      <c r="A69" s="369">
        <f t="shared" si="8"/>
        <v>1.4526927072774557E-2</v>
      </c>
      <c r="B69" s="407">
        <f t="shared" si="4"/>
        <v>-1.2819835779321231E-5</v>
      </c>
      <c r="C69" s="438">
        <f t="shared" si="5"/>
        <v>-50.957047334502519</v>
      </c>
      <c r="D69" s="369">
        <f t="shared" si="6"/>
        <v>-4.9485378398262847E-6</v>
      </c>
      <c r="E69" s="369">
        <f t="shared" si="7"/>
        <v>-38.593544961967723</v>
      </c>
      <c r="F69" s="369">
        <f t="shared" si="9"/>
        <v>9.8536188728928827E-3</v>
      </c>
    </row>
    <row r="70" spans="1:6">
      <c r="A70" s="369">
        <f t="shared" si="8"/>
        <v>1.694808158490365E-2</v>
      </c>
      <c r="B70" s="407">
        <f t="shared" si="4"/>
        <v>-1.6333470129505239E-5</v>
      </c>
      <c r="C70" s="438">
        <f t="shared" si="5"/>
        <v>-37.879191624391936</v>
      </c>
      <c r="D70" s="369">
        <f t="shared" si="6"/>
        <v>-6.2575686793361234E-6</v>
      </c>
      <c r="E70" s="369">
        <f t="shared" si="7"/>
        <v>-28.403836341259122</v>
      </c>
      <c r="F70" s="369">
        <f t="shared" si="9"/>
        <v>1.1495888685041696E-2</v>
      </c>
    </row>
    <row r="71" spans="1:6">
      <c r="A71" s="369">
        <f t="shared" si="8"/>
        <v>1.9369236097032744E-2</v>
      </c>
      <c r="B71" s="407">
        <f t="shared" si="4"/>
        <v>-2.0045669423059996E-5</v>
      </c>
      <c r="C71" s="438">
        <f t="shared" si="5"/>
        <v>-25.508247033746798</v>
      </c>
      <c r="D71" s="369">
        <f t="shared" si="6"/>
        <v>-7.6351087725559823E-6</v>
      </c>
      <c r="E71" s="369">
        <f t="shared" si="7"/>
        <v>-18.764922781129371</v>
      </c>
      <c r="F71" s="369">
        <f t="shared" si="9"/>
        <v>1.313815849719051E-2</v>
      </c>
    </row>
    <row r="72" spans="1:6">
      <c r="A72" s="369">
        <f t="shared" si="8"/>
        <v>2.1790390609161839E-2</v>
      </c>
      <c r="B72" s="407">
        <f t="shared" si="4"/>
        <v>-2.3891685139241862E-5</v>
      </c>
      <c r="C72" s="438">
        <f t="shared" si="5"/>
        <v>-13.844213562567063</v>
      </c>
      <c r="D72" s="369">
        <f t="shared" si="6"/>
        <v>-9.0579468399079764E-6</v>
      </c>
      <c r="E72" s="369">
        <f t="shared" si="7"/>
        <v>-9.6768042815784696</v>
      </c>
      <c r="F72" s="369">
        <f t="shared" si="9"/>
        <v>1.4780428309339323E-2</v>
      </c>
    </row>
    <row r="73" spans="1:6">
      <c r="A73" s="369">
        <f t="shared" si="8"/>
        <v>2.4211545121290933E-2</v>
      </c>
      <c r="B73" s="407">
        <f t="shared" si="4"/>
        <v>-2.7810468672778277E-5</v>
      </c>
      <c r="C73" s="438">
        <f t="shared" si="5"/>
        <v>-2.8870912108527875</v>
      </c>
      <c r="D73" s="369">
        <f t="shared" si="6"/>
        <v>-1.0504197960647247E-5</v>
      </c>
      <c r="E73" s="369">
        <f t="shared" si="7"/>
        <v>-1.1394808426063747</v>
      </c>
      <c r="F73" s="369">
        <f t="shared" si="9"/>
        <v>1.6422698121488138E-2</v>
      </c>
    </row>
    <row r="74" spans="1:6">
      <c r="A74" s="369">
        <f t="shared" si="8"/>
        <v>2.6632699633420027E-2</v>
      </c>
      <c r="B74" s="407">
        <f t="shared" si="4"/>
        <v>-3.1744671333867742E-5</v>
      </c>
      <c r="C74" s="438">
        <f t="shared" si="5"/>
        <v>7.3631200213960426</v>
      </c>
      <c r="D74" s="369">
        <f t="shared" si="6"/>
        <v>-1.1953303572861943E-5</v>
      </c>
      <c r="E74" s="369">
        <f t="shared" si="7"/>
        <v>6.8470475357868423</v>
      </c>
      <c r="F74" s="369">
        <f t="shared" si="9"/>
        <v>1.8064967933636954E-2</v>
      </c>
    </row>
    <row r="75" spans="1:6">
      <c r="A75" s="369">
        <f t="shared" si="8"/>
        <v>2.9053854145549122E-2</v>
      </c>
      <c r="B75" s="407">
        <f t="shared" si="4"/>
        <v>-3.5640644348179824E-5</v>
      </c>
      <c r="C75" s="438">
        <f t="shared" si="5"/>
        <v>16.906420134179456</v>
      </c>
      <c r="D75" s="369">
        <f t="shared" si="6"/>
        <v>-1.3386031473473259E-5</v>
      </c>
      <c r="E75" s="369">
        <f t="shared" si="7"/>
        <v>14.282780853601224</v>
      </c>
      <c r="F75" s="369">
        <f t="shared" si="9"/>
        <v>1.9707237745785769E-2</v>
      </c>
    </row>
    <row r="76" spans="1:6">
      <c r="A76" s="369">
        <f t="shared" si="8"/>
        <v>3.1475008657678216E-2</v>
      </c>
      <c r="B76" s="407">
        <f t="shared" si="4"/>
        <v>-3.9448438856855152E-5</v>
      </c>
      <c r="C76" s="438">
        <f t="shared" si="5"/>
        <v>25.742809127497424</v>
      </c>
      <c r="D76" s="369">
        <f t="shared" si="6"/>
        <v>-1.4784475818235389E-5</v>
      </c>
      <c r="E76" s="369">
        <f t="shared" si="7"/>
        <v>21.167719110836785</v>
      </c>
      <c r="F76" s="369">
        <f t="shared" si="9"/>
        <v>2.1349507557934584E-2</v>
      </c>
    </row>
    <row r="77" spans="1:6">
      <c r="A77" s="369">
        <f t="shared" si="8"/>
        <v>3.3896163169807307E-2</v>
      </c>
      <c r="B77" s="407">
        <f t="shared" si="4"/>
        <v>-4.3121805916505409E-5</v>
      </c>
      <c r="C77" s="438">
        <f t="shared" si="5"/>
        <v>33.872287001349946</v>
      </c>
      <c r="D77" s="369">
        <f t="shared" si="6"/>
        <v>-1.6132057121735558E-5</v>
      </c>
      <c r="E77" s="369">
        <f t="shared" si="7"/>
        <v>27.501862307493482</v>
      </c>
      <c r="F77" s="369">
        <f t="shared" si="9"/>
        <v>2.2991777370083399E-2</v>
      </c>
    </row>
    <row r="78" spans="1:6">
      <c r="A78" s="369">
        <f t="shared" si="8"/>
        <v>3.6317317681936398E-2</v>
      </c>
      <c r="B78" s="407">
        <f t="shared" si="4"/>
        <v>-4.6618196499213351E-5</v>
      </c>
      <c r="C78" s="438">
        <f t="shared" si="5"/>
        <v>41.294853755736995</v>
      </c>
      <c r="D78" s="369">
        <f t="shared" si="6"/>
        <v>-1.7413522257394016E-5</v>
      </c>
      <c r="E78" s="369">
        <f t="shared" si="7"/>
        <v>33.28521044357133</v>
      </c>
      <c r="F78" s="369">
        <f t="shared" si="9"/>
        <v>2.4634047182232215E-2</v>
      </c>
    </row>
    <row r="79" spans="1:6">
      <c r="A79" s="369">
        <f t="shared" si="8"/>
        <v>3.8738472194065489E-2</v>
      </c>
      <c r="B79" s="407">
        <f t="shared" si="4"/>
        <v>-4.9898761492532837E-5</v>
      </c>
      <c r="C79" s="438">
        <f t="shared" si="5"/>
        <v>48.010509390658626</v>
      </c>
      <c r="D79" s="369">
        <f t="shared" si="6"/>
        <v>-1.8614944457464037E-5</v>
      </c>
      <c r="E79" s="369">
        <f t="shared" si="7"/>
        <v>38.517763519070328</v>
      </c>
      <c r="F79" s="369">
        <f t="shared" si="9"/>
        <v>2.627631699438103E-2</v>
      </c>
    </row>
    <row r="80" spans="1:6">
      <c r="A80" s="369">
        <f t="shared" si="8"/>
        <v>4.115962670619458E-2</v>
      </c>
      <c r="B80" s="407">
        <f t="shared" si="4"/>
        <v>-5.2928351699488711E-5</v>
      </c>
      <c r="C80" s="438">
        <f t="shared" si="5"/>
        <v>54.019253906114869</v>
      </c>
      <c r="D80" s="369">
        <f t="shared" si="6"/>
        <v>-1.972372331303191E-5</v>
      </c>
      <c r="E80" s="369">
        <f t="shared" si="7"/>
        <v>43.199521533990534</v>
      </c>
      <c r="F80" s="369">
        <f t="shared" si="9"/>
        <v>2.7918586806529845E-2</v>
      </c>
    </row>
    <row r="81" spans="1:6">
      <c r="A81" s="369">
        <f t="shared" si="8"/>
        <v>4.3580781218323671E-2</v>
      </c>
      <c r="B81" s="407">
        <f t="shared" si="4"/>
        <v>-5.5675517838576949E-5</v>
      </c>
      <c r="C81" s="438">
        <f t="shared" si="5"/>
        <v>59.321087302105639</v>
      </c>
      <c r="D81" s="369">
        <f t="shared" si="6"/>
        <v>-2.0728584774016931E-5</v>
      </c>
      <c r="E81" s="369">
        <f t="shared" si="7"/>
        <v>47.330484488331805</v>
      </c>
      <c r="F81" s="369">
        <f t="shared" si="9"/>
        <v>2.956085661867866E-2</v>
      </c>
    </row>
    <row r="82" spans="1:6">
      <c r="A82" s="369">
        <f t="shared" si="8"/>
        <v>4.6001935730452762E-2</v>
      </c>
      <c r="B82" s="407">
        <f t="shared" si="4"/>
        <v>-5.8112510543764568E-5</v>
      </c>
      <c r="C82" s="438">
        <f t="shared" si="5"/>
        <v>63.916009578630991</v>
      </c>
      <c r="D82" s="369">
        <f t="shared" si="6"/>
        <v>-2.161958114917145E-5</v>
      </c>
      <c r="E82" s="369">
        <f t="shared" si="7"/>
        <v>50.910652382094312</v>
      </c>
      <c r="F82" s="369">
        <f t="shared" si="9"/>
        <v>3.1203126430827476E-2</v>
      </c>
    </row>
    <row r="83" spans="1:6">
      <c r="A83" s="369">
        <f t="shared" si="8"/>
        <v>4.8423090242581852E-2</v>
      </c>
      <c r="B83" s="407">
        <f t="shared" si="4"/>
        <v>-6.0215280364489659E-5</v>
      </c>
      <c r="C83" s="438">
        <f t="shared" si="5"/>
        <v>67.804020735690841</v>
      </c>
      <c r="D83" s="369">
        <f t="shared" si="6"/>
        <v>-2.238809110608083E-5</v>
      </c>
      <c r="E83" s="369">
        <f t="shared" si="7"/>
        <v>53.94002521527797</v>
      </c>
      <c r="F83" s="369">
        <f t="shared" si="9"/>
        <v>3.2845396242976291E-2</v>
      </c>
    </row>
    <row r="84" spans="1:6">
      <c r="A84" s="369">
        <f t="shared" si="8"/>
        <v>5.0844244754710943E-2</v>
      </c>
      <c r="B84" s="407">
        <f t="shared" si="4"/>
        <v>-6.1963477765661359E-5</v>
      </c>
      <c r="C84" s="438">
        <f t="shared" si="5"/>
        <v>70.985120773285331</v>
      </c>
      <c r="D84" s="369">
        <f t="shared" si="6"/>
        <v>-2.3026819671163432E-5</v>
      </c>
      <c r="E84" s="369">
        <f t="shared" si="7"/>
        <v>56.418602987882693</v>
      </c>
      <c r="F84" s="369">
        <f t="shared" si="9"/>
        <v>3.4487666055125106E-2</v>
      </c>
    </row>
    <row r="85" spans="1:6">
      <c r="A85" s="369">
        <f t="shared" si="8"/>
        <v>5.3265399266840034E-2</v>
      </c>
      <c r="B85" s="407">
        <f t="shared" si="4"/>
        <v>-6.3340453127659892E-5</v>
      </c>
      <c r="C85" s="438">
        <f t="shared" si="5"/>
        <v>73.459309691414347</v>
      </c>
      <c r="D85" s="369">
        <f t="shared" si="6"/>
        <v>-2.3529798229670681E-5</v>
      </c>
      <c r="E85" s="369">
        <f t="shared" si="7"/>
        <v>58.346385699908652</v>
      </c>
      <c r="F85" s="369">
        <f t="shared" si="9"/>
        <v>3.6129935867273921E-2</v>
      </c>
    </row>
    <row r="86" spans="1:6">
      <c r="A86" s="369">
        <f t="shared" si="8"/>
        <v>5.5686553778969125E-2</v>
      </c>
      <c r="B86" s="407">
        <f t="shared" si="4"/>
        <v>-6.433325674633648E-5</v>
      </c>
      <c r="C86" s="438">
        <f t="shared" si="5"/>
        <v>75.226587490077975</v>
      </c>
      <c r="D86" s="369">
        <f t="shared" si="6"/>
        <v>-2.3892384525686965E-5</v>
      </c>
      <c r="E86" s="369">
        <f t="shared" si="7"/>
        <v>59.723373351355761</v>
      </c>
      <c r="F86" s="369">
        <f t="shared" si="9"/>
        <v>3.7772205679422736E-2</v>
      </c>
    </row>
    <row r="87" spans="1:6">
      <c r="A87" s="369">
        <f t="shared" si="8"/>
        <v>5.8107708291098216E-2</v>
      </c>
      <c r="B87" s="407">
        <f t="shared" si="4"/>
        <v>-6.4932638833013501E-5</v>
      </c>
      <c r="C87" s="438">
        <f t="shared" si="5"/>
        <v>76.2869541692761</v>
      </c>
      <c r="D87" s="369">
        <f t="shared" si="6"/>
        <v>-2.4111262662129768E-5</v>
      </c>
      <c r="E87" s="369">
        <f t="shared" si="7"/>
        <v>60.549565942224021</v>
      </c>
      <c r="F87" s="369">
        <f t="shared" si="9"/>
        <v>3.9414475491571552E-2</v>
      </c>
    </row>
    <row r="88" spans="1:6">
      <c r="A88" s="369">
        <f t="shared" si="8"/>
        <v>6.0528862803227307E-2</v>
      </c>
      <c r="B88" s="407">
        <f t="shared" si="4"/>
        <v>-6.5133049514484311E-5</v>
      </c>
      <c r="C88" s="438">
        <f t="shared" si="5"/>
        <v>76.640409729008866</v>
      </c>
      <c r="D88" s="369">
        <f t="shared" si="6"/>
        <v>-2.4184443100749537E-5</v>
      </c>
      <c r="E88" s="369">
        <f t="shared" si="7"/>
        <v>60.824963472513431</v>
      </c>
      <c r="F88" s="369">
        <f t="shared" si="9"/>
        <v>4.1056745303720367E-2</v>
      </c>
    </row>
    <row r="89" spans="1:6">
      <c r="A89" s="369">
        <f t="shared" si="8"/>
        <v>6.2950017315356405E-2</v>
      </c>
      <c r="B89" s="407">
        <f t="shared" si="4"/>
        <v>-6.4932638833013488E-5</v>
      </c>
      <c r="C89" s="438">
        <f t="shared" si="5"/>
        <v>76.2869541692761</v>
      </c>
      <c r="D89" s="369">
        <f t="shared" si="6"/>
        <v>-2.4111262662129761E-5</v>
      </c>
      <c r="E89" s="369">
        <f t="shared" si="7"/>
        <v>60.549565942224021</v>
      </c>
      <c r="F89" s="369">
        <f t="shared" si="9"/>
        <v>4.2699015115869182E-2</v>
      </c>
    </row>
    <row r="90" spans="1:6">
      <c r="A90" s="369">
        <f t="shared" si="8"/>
        <v>6.5371171827485502E-2</v>
      </c>
      <c r="B90" s="407">
        <f t="shared" si="4"/>
        <v>-6.4333256746336426E-5</v>
      </c>
      <c r="C90" s="438">
        <f t="shared" si="5"/>
        <v>75.226587490078032</v>
      </c>
      <c r="D90" s="369">
        <f t="shared" si="6"/>
        <v>-2.3892384525686975E-5</v>
      </c>
      <c r="E90" s="369">
        <f t="shared" si="7"/>
        <v>59.723373351355761</v>
      </c>
      <c r="F90" s="369">
        <f t="shared" si="9"/>
        <v>4.4341284928017997E-2</v>
      </c>
    </row>
    <row r="91" spans="1:6">
      <c r="A91" s="369">
        <f t="shared" si="8"/>
        <v>6.77923263396146E-2</v>
      </c>
      <c r="B91" s="407">
        <f t="shared" si="4"/>
        <v>-6.3340453127659879E-5</v>
      </c>
      <c r="C91" s="438">
        <f t="shared" si="5"/>
        <v>73.459309691414433</v>
      </c>
      <c r="D91" s="369">
        <f t="shared" si="6"/>
        <v>-2.352979822967067E-5</v>
      </c>
      <c r="E91" s="369">
        <f t="shared" si="7"/>
        <v>58.346385699908652</v>
      </c>
      <c r="F91" s="369">
        <f t="shared" si="9"/>
        <v>4.5983554740166813E-2</v>
      </c>
    </row>
    <row r="92" spans="1:6">
      <c r="A92" s="369">
        <f t="shared" si="8"/>
        <v>7.0213480851743698E-2</v>
      </c>
      <c r="B92" s="407">
        <f t="shared" si="4"/>
        <v>-6.1963477765661359E-5</v>
      </c>
      <c r="C92" s="438">
        <f t="shared" si="5"/>
        <v>70.98512077328536</v>
      </c>
      <c r="D92" s="369">
        <f t="shared" si="6"/>
        <v>-2.3026819671163439E-5</v>
      </c>
      <c r="E92" s="369">
        <f t="shared" si="7"/>
        <v>56.418602987882664</v>
      </c>
      <c r="F92" s="369">
        <f t="shared" si="9"/>
        <v>4.7625824552315628E-2</v>
      </c>
    </row>
    <row r="93" spans="1:6">
      <c r="A93" s="369">
        <f t="shared" si="8"/>
        <v>7.2634635363872796E-2</v>
      </c>
      <c r="B93" s="407">
        <f t="shared" si="4"/>
        <v>-6.0215280364489585E-5</v>
      </c>
      <c r="C93" s="438">
        <f t="shared" si="5"/>
        <v>67.80402073569087</v>
      </c>
      <c r="D93" s="369">
        <f t="shared" si="6"/>
        <v>-2.2388091106080823E-5</v>
      </c>
      <c r="E93" s="369">
        <f t="shared" si="7"/>
        <v>53.940025215277856</v>
      </c>
      <c r="F93" s="369">
        <f t="shared" si="9"/>
        <v>4.9268094364464443E-2</v>
      </c>
    </row>
    <row r="94" spans="1:6">
      <c r="A94" s="369">
        <f t="shared" si="8"/>
        <v>7.5055789876001894E-2</v>
      </c>
      <c r="B94" s="407">
        <f t="shared" si="4"/>
        <v>-5.8112510543764588E-5</v>
      </c>
      <c r="C94" s="438">
        <f t="shared" si="5"/>
        <v>63.916009578631019</v>
      </c>
      <c r="D94" s="369">
        <f t="shared" si="6"/>
        <v>-2.1619581149171416E-5</v>
      </c>
      <c r="E94" s="369">
        <f t="shared" si="7"/>
        <v>50.910652382094256</v>
      </c>
      <c r="F94" s="369">
        <f t="shared" si="9"/>
        <v>5.0910364176613258E-2</v>
      </c>
    </row>
    <row r="95" spans="1:6">
      <c r="A95" s="369">
        <f t="shared" si="8"/>
        <v>7.7476944388130992E-2</v>
      </c>
      <c r="B95" s="407">
        <f t="shared" si="4"/>
        <v>-5.5675517838576901E-5</v>
      </c>
      <c r="C95" s="438">
        <f t="shared" si="5"/>
        <v>59.321087302105582</v>
      </c>
      <c r="D95" s="369">
        <f t="shared" si="6"/>
        <v>-2.0728584774016921E-5</v>
      </c>
      <c r="E95" s="369">
        <f t="shared" si="7"/>
        <v>47.330484488331749</v>
      </c>
      <c r="F95" s="369">
        <f t="shared" si="9"/>
        <v>5.2552633988762074E-2</v>
      </c>
    </row>
    <row r="96" spans="1:6">
      <c r="A96" s="369">
        <f t="shared" si="8"/>
        <v>7.9898098900260089E-2</v>
      </c>
      <c r="B96" s="407">
        <f t="shared" si="4"/>
        <v>-5.2928351699488643E-5</v>
      </c>
      <c r="C96" s="438">
        <f t="shared" si="5"/>
        <v>54.019253906114841</v>
      </c>
      <c r="D96" s="369">
        <f t="shared" si="6"/>
        <v>-1.9723723313031863E-5</v>
      </c>
      <c r="E96" s="369">
        <f t="shared" si="7"/>
        <v>43.199521533990421</v>
      </c>
      <c r="F96" s="369">
        <f t="shared" si="9"/>
        <v>5.4194903800910889E-2</v>
      </c>
    </row>
    <row r="97" spans="1:6">
      <c r="A97" s="369">
        <f t="shared" si="8"/>
        <v>8.2319253412389187E-2</v>
      </c>
      <c r="B97" s="407">
        <f t="shared" si="4"/>
        <v>-4.9898761492532804E-5</v>
      </c>
      <c r="C97" s="438">
        <f t="shared" si="5"/>
        <v>48.010509390658683</v>
      </c>
      <c r="D97" s="369">
        <f t="shared" si="6"/>
        <v>-1.8614944457464E-5</v>
      </c>
      <c r="E97" s="369">
        <f t="shared" si="7"/>
        <v>38.517763519070215</v>
      </c>
      <c r="F97" s="369">
        <f t="shared" si="9"/>
        <v>5.5837173613059704E-2</v>
      </c>
    </row>
    <row r="98" spans="1:6">
      <c r="A98" s="369">
        <f t="shared" si="8"/>
        <v>8.4740407924518285E-2</v>
      </c>
      <c r="B98" s="407">
        <f t="shared" si="4"/>
        <v>-4.6618196499213304E-5</v>
      </c>
      <c r="C98" s="438">
        <f t="shared" si="5"/>
        <v>41.294853755736938</v>
      </c>
      <c r="D98" s="369">
        <f t="shared" si="6"/>
        <v>-1.7413522257394036E-5</v>
      </c>
      <c r="E98" s="369">
        <f t="shared" si="7"/>
        <v>33.285210443571188</v>
      </c>
      <c r="F98" s="369">
        <f t="shared" si="9"/>
        <v>5.7479443425208519E-2</v>
      </c>
    </row>
    <row r="99" spans="1:6">
      <c r="A99" s="369">
        <f t="shared" si="8"/>
        <v>8.7161562436647383E-2</v>
      </c>
      <c r="B99" s="407">
        <f t="shared" si="4"/>
        <v>-4.3121805916505259E-5</v>
      </c>
      <c r="C99" s="438">
        <f t="shared" si="5"/>
        <v>33.872287001349832</v>
      </c>
      <c r="D99" s="369">
        <f t="shared" si="6"/>
        <v>-1.6132057121735541E-5</v>
      </c>
      <c r="E99" s="369">
        <f t="shared" si="7"/>
        <v>27.501862307493283</v>
      </c>
      <c r="F99" s="369">
        <f t="shared" si="9"/>
        <v>5.9121713237357335E-2</v>
      </c>
    </row>
    <row r="100" spans="1:6">
      <c r="A100" s="369">
        <f t="shared" si="8"/>
        <v>8.9582716948776481E-2</v>
      </c>
      <c r="B100" s="407">
        <f t="shared" si="4"/>
        <v>-3.9448438856854976E-5</v>
      </c>
      <c r="C100" s="438">
        <f t="shared" si="5"/>
        <v>25.742809127497253</v>
      </c>
      <c r="D100" s="369">
        <f t="shared" si="6"/>
        <v>-1.4784475818235406E-5</v>
      </c>
      <c r="E100" s="369">
        <f t="shared" si="7"/>
        <v>21.167719110836558</v>
      </c>
      <c r="F100" s="369">
        <f t="shared" si="9"/>
        <v>6.076398304950615E-2</v>
      </c>
    </row>
    <row r="101" spans="1:6">
      <c r="A101" s="369">
        <f t="shared" si="8"/>
        <v>9.2003871460905579E-2</v>
      </c>
      <c r="B101" s="407">
        <f t="shared" si="4"/>
        <v>-3.564064434817958E-5</v>
      </c>
      <c r="C101" s="438">
        <f t="shared" si="5"/>
        <v>16.906420134179257</v>
      </c>
      <c r="D101" s="369">
        <f t="shared" si="6"/>
        <v>-1.3386031473473222E-5</v>
      </c>
      <c r="E101" s="369">
        <f t="shared" si="7"/>
        <v>14.282780853601068</v>
      </c>
      <c r="F101" s="369">
        <f t="shared" si="9"/>
        <v>6.2406252861654965E-2</v>
      </c>
    </row>
    <row r="102" spans="1:6">
      <c r="A102" s="369">
        <f t="shared" si="8"/>
        <v>9.4425025973034676E-2</v>
      </c>
      <c r="B102" s="407">
        <f t="shared" si="4"/>
        <v>-3.1744671333867593E-5</v>
      </c>
      <c r="C102" s="438">
        <f t="shared" si="5"/>
        <v>7.3631200213957868</v>
      </c>
      <c r="D102" s="369">
        <f t="shared" si="6"/>
        <v>-1.1953303572861951E-5</v>
      </c>
      <c r="E102" s="369">
        <f t="shared" si="7"/>
        <v>6.8470475357866434</v>
      </c>
      <c r="F102" s="369">
        <f t="shared" si="9"/>
        <v>6.4048522673803773E-2</v>
      </c>
    </row>
    <row r="103" spans="1:6">
      <c r="A103" s="369">
        <f t="shared" si="8"/>
        <v>9.6846180485163774E-2</v>
      </c>
      <c r="B103" s="407">
        <f t="shared" si="4"/>
        <v>-2.7810468672777999E-5</v>
      </c>
      <c r="C103" s="438">
        <f t="shared" si="5"/>
        <v>-2.8870912108529296</v>
      </c>
      <c r="D103" s="369">
        <f t="shared" si="6"/>
        <v>-1.0504197960647279E-5</v>
      </c>
      <c r="E103" s="369">
        <f t="shared" si="7"/>
        <v>-1.1394808426064884</v>
      </c>
      <c r="F103" s="369">
        <f t="shared" si="9"/>
        <v>6.5690792485952582E-2</v>
      </c>
    </row>
    <row r="104" spans="1:6">
      <c r="A104" s="369">
        <f t="shared" si="8"/>
        <v>9.9267334997292872E-2</v>
      </c>
      <c r="B104" s="407">
        <f t="shared" si="4"/>
        <v>-2.3891685139241604E-5</v>
      </c>
      <c r="C104" s="438">
        <f t="shared" si="5"/>
        <v>-13.84421356256729</v>
      </c>
      <c r="D104" s="369">
        <f t="shared" si="6"/>
        <v>-9.0579468399079747E-6</v>
      </c>
      <c r="E104" s="369">
        <f t="shared" si="7"/>
        <v>-9.6768042815786117</v>
      </c>
      <c r="F104" s="369">
        <f t="shared" si="9"/>
        <v>6.733306229810139E-2</v>
      </c>
    </row>
    <row r="105" spans="1:6">
      <c r="A105" s="369">
        <f t="shared" si="8"/>
        <v>0.10168848950942197</v>
      </c>
      <c r="B105" s="407">
        <f t="shared" si="4"/>
        <v>-2.0045669423059647E-5</v>
      </c>
      <c r="C105" s="438">
        <f t="shared" si="5"/>
        <v>-25.508247033747068</v>
      </c>
      <c r="D105" s="369">
        <f t="shared" si="6"/>
        <v>-7.6351087725560162E-6</v>
      </c>
      <c r="E105" s="369">
        <f t="shared" si="7"/>
        <v>-18.764922781129556</v>
      </c>
      <c r="F105" s="369">
        <f t="shared" si="9"/>
        <v>6.8975332110250198E-2</v>
      </c>
    </row>
    <row r="106" spans="1:6">
      <c r="A106" s="369">
        <f t="shared" si="8"/>
        <v>0.10410964402155107</v>
      </c>
      <c r="B106" s="407">
        <f t="shared" si="4"/>
        <v>-1.633347012950486E-5</v>
      </c>
      <c r="C106" s="438">
        <f t="shared" si="5"/>
        <v>-37.879191624392263</v>
      </c>
      <c r="D106" s="369">
        <f t="shared" si="6"/>
        <v>-6.2575686793361378E-6</v>
      </c>
      <c r="E106" s="369">
        <f t="shared" si="7"/>
        <v>-28.403836341259208</v>
      </c>
      <c r="F106" s="369">
        <f t="shared" si="9"/>
        <v>7.0617601922399006E-2</v>
      </c>
    </row>
    <row r="107" spans="1:6">
      <c r="A107" s="369">
        <f t="shared" si="8"/>
        <v>0.10653079853368017</v>
      </c>
      <c r="B107" s="407">
        <f t="shared" si="4"/>
        <v>-1.2819835779321058E-5</v>
      </c>
      <c r="C107" s="438">
        <f t="shared" si="5"/>
        <v>-50.957047334502874</v>
      </c>
      <c r="D107" s="369">
        <f t="shared" si="6"/>
        <v>-4.9485378398263212E-6</v>
      </c>
      <c r="E107" s="369">
        <f t="shared" si="7"/>
        <v>-38.593544961967794</v>
      </c>
      <c r="F107" s="369">
        <f t="shared" si="9"/>
        <v>7.2259871734547815E-2</v>
      </c>
    </row>
    <row r="108" spans="1:6">
      <c r="A108" s="369">
        <f t="shared" si="8"/>
        <v>0.10895195304580926</v>
      </c>
      <c r="B108" s="407">
        <f t="shared" si="4"/>
        <v>-9.5732148087223501E-6</v>
      </c>
      <c r="C108" s="438">
        <f t="shared" si="5"/>
        <v>-64.741814164078903</v>
      </c>
      <c r="D108" s="369">
        <f t="shared" si="6"/>
        <v>-3.7325538924373626E-6</v>
      </c>
      <c r="E108" s="369">
        <f t="shared" si="7"/>
        <v>-49.334048643255144</v>
      </c>
      <c r="F108" s="369">
        <f t="shared" si="9"/>
        <v>7.3902141546696623E-2</v>
      </c>
    </row>
    <row r="109" spans="1:6">
      <c r="A109" s="369">
        <f t="shared" si="8"/>
        <v>0.11137310755793836</v>
      </c>
      <c r="B109" s="407">
        <f t="shared" si="4"/>
        <v>-6.6657555693948697E-6</v>
      </c>
      <c r="C109" s="438">
        <f t="shared" si="5"/>
        <v>-79.233492113120462</v>
      </c>
      <c r="D109" s="369">
        <f t="shared" si="6"/>
        <v>-2.6354808344133738E-6</v>
      </c>
      <c r="E109" s="369">
        <f t="shared" si="7"/>
        <v>-60.625347385121543</v>
      </c>
      <c r="F109" s="369">
        <f t="shared" si="9"/>
        <v>7.5544411358845431E-2</v>
      </c>
    </row>
    <row r="110" spans="1:6">
      <c r="A110" s="369">
        <f t="shared" si="8"/>
        <v>0.11379426207006746</v>
      </c>
      <c r="B110" s="407">
        <f t="shared" si="4"/>
        <v>-4.1733063284957027E-6</v>
      </c>
      <c r="C110" s="438">
        <f t="shared" si="5"/>
        <v>-94.432081181627325</v>
      </c>
      <c r="D110" s="369">
        <f t="shared" si="6"/>
        <v>-1.6845090218311876E-6</v>
      </c>
      <c r="E110" s="369">
        <f t="shared" si="7"/>
        <v>-72.467441187566422</v>
      </c>
      <c r="F110" s="369">
        <f t="shared" si="9"/>
        <v>7.718668117099424E-2</v>
      </c>
    </row>
    <row r="111" spans="1:6">
      <c r="A111" s="369">
        <f t="shared" si="8"/>
        <v>0.11621541658219656</v>
      </c>
      <c r="B111" s="407">
        <f t="shared" si="4"/>
        <v>-2.1754152686518379E-6</v>
      </c>
      <c r="C111" s="438">
        <f t="shared" si="5"/>
        <v>-110.33758136959983</v>
      </c>
      <c r="D111" s="369">
        <f t="shared" si="6"/>
        <v>-9.0815516960058072E-7</v>
      </c>
      <c r="E111" s="369">
        <f t="shared" si="7"/>
        <v>-84.860330050590463</v>
      </c>
      <c r="F111" s="369">
        <f t="shared" si="9"/>
        <v>7.8828950983143048E-2</v>
      </c>
    </row>
    <row r="112" spans="1:6">
      <c r="A112" s="369">
        <f t="shared" si="8"/>
        <v>0.11863657109432565</v>
      </c>
      <c r="B112" s="407">
        <f t="shared" si="4"/>
        <v>-7.5533048796360103E-7</v>
      </c>
      <c r="C112" s="438">
        <f t="shared" si="5"/>
        <v>-126.94999267703764</v>
      </c>
      <c r="D112" s="369">
        <f t="shared" si="6"/>
        <v>-3.3626235146488225E-7</v>
      </c>
      <c r="E112" s="369">
        <f t="shared" si="7"/>
        <v>-97.804013974193097</v>
      </c>
      <c r="F112" s="369">
        <f t="shared" si="9"/>
        <v>8.0471220795291856E-2</v>
      </c>
    </row>
    <row r="113" spans="1:26">
      <c r="A113" s="369">
        <f t="shared" si="8"/>
        <v>0.12105772560645475</v>
      </c>
      <c r="B113" s="407">
        <f t="shared" si="4"/>
        <v>3.6346587115704521E-19</v>
      </c>
      <c r="C113" s="438">
        <f t="shared" si="5"/>
        <v>-144.26931510394087</v>
      </c>
      <c r="D113" s="369">
        <f t="shared" si="6"/>
        <v>-1.3216940769347098E-19</v>
      </c>
      <c r="E113" s="369">
        <f t="shared" si="7"/>
        <v>-111.29849295837489</v>
      </c>
      <c r="F113" s="369">
        <f t="shared" si="9"/>
        <v>8.2113490607440665E-2</v>
      </c>
    </row>
    <row r="114" spans="1:26">
      <c r="A114" s="369"/>
    </row>
    <row r="116" spans="1:26">
      <c r="Z116" s="360"/>
    </row>
  </sheetData>
  <mergeCells count="11">
    <mergeCell ref="H8:I8"/>
    <mergeCell ref="K8:L8"/>
    <mergeCell ref="N8:O8"/>
    <mergeCell ref="H50:I50"/>
    <mergeCell ref="K50:L50"/>
    <mergeCell ref="N50:O50"/>
    <mergeCell ref="A59:F59"/>
    <mergeCell ref="B61:C61"/>
    <mergeCell ref="D61:E61"/>
    <mergeCell ref="D1:E1"/>
    <mergeCell ref="B1:C1"/>
  </mergeCells>
  <phoneticPr fontId="77" type="noConversion"/>
  <pageMargins left="0.51181102362204722" right="0.35433070866141736" top="0.98425196850393704" bottom="0.98425196850393704" header="0.51181102362204722" footer="0.51181102362204722"/>
  <pageSetup paperSize="9" scale="52" orientation="landscape" r:id="rId1"/>
  <headerFooter alignWithMargins="0">
    <oddHeader>&amp;L&amp;F / &amp;A&amp;R&amp;D</oddHeader>
    <oddFooter>&amp;LCONFIDENTIAL&amp;CBARKER JET&amp;RPage &amp;P / &amp;N</oddFooter>
  </headerFooter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M63"/>
  <sheetViews>
    <sheetView zoomScale="80" zoomScaleNormal="80" workbookViewId="0">
      <pane ySplit="1" topLeftCell="A2" activePane="bottomLeft" state="frozen"/>
      <selection activeCell="N11" sqref="N11"/>
      <selection pane="bottomLeft" activeCell="B2" sqref="B2:L63"/>
    </sheetView>
  </sheetViews>
  <sheetFormatPr defaultColWidth="9.140625" defaultRowHeight="12"/>
  <cols>
    <col min="1" max="2" width="9.140625" style="4"/>
    <col min="3" max="3" width="18.140625" style="4" customWidth="1"/>
    <col min="4" max="4" width="9.140625" style="4"/>
    <col min="5" max="8" width="9.140625" style="596"/>
    <col min="9" max="9" width="36.140625" style="4" customWidth="1"/>
    <col min="10" max="10" width="24.85546875" style="4" customWidth="1"/>
    <col min="11" max="16384" width="9.140625" style="4"/>
  </cols>
  <sheetData>
    <row r="1" spans="1:13" ht="14.25" thickBot="1">
      <c r="A1" s="726"/>
      <c r="B1" s="78" t="s">
        <v>776</v>
      </c>
      <c r="C1" s="77" t="s">
        <v>167</v>
      </c>
      <c r="D1" s="78" t="s">
        <v>182</v>
      </c>
      <c r="E1" s="78" t="s">
        <v>13</v>
      </c>
      <c r="F1" s="78"/>
      <c r="G1" s="78"/>
      <c r="H1" s="78"/>
      <c r="I1" s="78" t="s">
        <v>171</v>
      </c>
      <c r="J1" s="727" t="s">
        <v>178</v>
      </c>
      <c r="K1" s="725" t="s">
        <v>252</v>
      </c>
      <c r="L1" s="727">
        <f>MATCH(M1,'House C Data'!$A$16:$AC$16,0)</f>
        <v>2</v>
      </c>
      <c r="M1" s="728" t="str">
        <f>Fan_drive</f>
        <v>Direct</v>
      </c>
    </row>
    <row r="2" spans="1:13" ht="13.5">
      <c r="A2" s="241">
        <v>1</v>
      </c>
      <c r="B2" s="243">
        <v>119</v>
      </c>
      <c r="C2" s="242" t="s">
        <v>873</v>
      </c>
      <c r="D2" s="243">
        <v>3643.9078461311055</v>
      </c>
      <c r="E2" s="244">
        <v>0.5115197138784815</v>
      </c>
      <c r="F2" s="590" t="s">
        <v>1904</v>
      </c>
      <c r="G2" s="590"/>
      <c r="H2" s="591"/>
      <c r="I2" s="243" t="s">
        <v>1662</v>
      </c>
      <c r="J2" s="243" t="s">
        <v>1958</v>
      </c>
      <c r="K2" s="245">
        <f t="shared" ref="K2:K33" si="0">L2/$M$2</f>
        <v>1</v>
      </c>
      <c r="L2" s="246">
        <f>IF(C2="",999999,INDEX('House C Data'!$A$1:$AC$300,$B2,L$1))*IF(F2="HS",1.1,1)</f>
        <v>4924.6290115769789</v>
      </c>
      <c r="M2" s="247">
        <f>MIN(L2:L63)</f>
        <v>4924.6290115769789</v>
      </c>
    </row>
    <row r="3" spans="1:13" ht="13.5">
      <c r="A3" s="248">
        <v>2</v>
      </c>
      <c r="B3" s="250">
        <v>120</v>
      </c>
      <c r="C3" s="249" t="s">
        <v>874</v>
      </c>
      <c r="D3" s="250">
        <v>3643.9078461311055</v>
      </c>
      <c r="E3" s="251">
        <v>0.5115197138784815</v>
      </c>
      <c r="F3" s="592" t="s">
        <v>1904</v>
      </c>
      <c r="G3" s="592"/>
      <c r="H3" s="593"/>
      <c r="I3" s="250" t="s">
        <v>1662</v>
      </c>
      <c r="J3" s="250" t="s">
        <v>1958</v>
      </c>
      <c r="K3" s="252">
        <f t="shared" si="0"/>
        <v>1</v>
      </c>
      <c r="L3" s="246">
        <f>IF(C3="",999999,INDEX('House C Data'!$A$1:$AC$300,$B3,L$1))*IF(F3="HS",1.1,1)</f>
        <v>4924.6290115769789</v>
      </c>
    </row>
    <row r="4" spans="1:13" ht="13.5">
      <c r="A4" s="248">
        <v>3</v>
      </c>
      <c r="B4" s="250">
        <v>118</v>
      </c>
      <c r="C4" s="249" t="s">
        <v>872</v>
      </c>
      <c r="D4" s="250">
        <v>3643.9078461311055</v>
      </c>
      <c r="E4" s="251">
        <v>0.5115197138784815</v>
      </c>
      <c r="F4" s="592" t="s">
        <v>1904</v>
      </c>
      <c r="G4" s="592"/>
      <c r="H4" s="593"/>
      <c r="I4" s="250" t="s">
        <v>1662</v>
      </c>
      <c r="J4" s="250" t="s">
        <v>1958</v>
      </c>
      <c r="K4" s="252">
        <f t="shared" si="0"/>
        <v>1.0212645459696192</v>
      </c>
      <c r="L4" s="246">
        <f>IF(C4="",999999,INDEX('House C Data'!$A$1:$AC$300,$B4,L$1))*IF(F4="HS",1.1,1)</f>
        <v>5029.3490115769782</v>
      </c>
    </row>
    <row r="5" spans="1:13" ht="13.5">
      <c r="A5" s="248">
        <v>4</v>
      </c>
      <c r="B5" s="250">
        <v>122</v>
      </c>
      <c r="C5" s="249" t="s">
        <v>876</v>
      </c>
      <c r="D5" s="250">
        <v>3242.1372634741952</v>
      </c>
      <c r="E5" s="251">
        <v>0.65781622148943353</v>
      </c>
      <c r="F5" s="592" t="s">
        <v>1904</v>
      </c>
      <c r="G5" s="592"/>
      <c r="H5" s="593"/>
      <c r="I5" s="250" t="s">
        <v>1662</v>
      </c>
      <c r="J5" s="250" t="s">
        <v>1957</v>
      </c>
      <c r="K5" s="252">
        <f t="shared" si="0"/>
        <v>1.0991722624268288</v>
      </c>
      <c r="L5" s="246">
        <f>IF(C5="",999999,INDEX('House C Data'!$A$1:$AC$300,$B5,L$1))*IF(F5="HS",1.1,1)</f>
        <v>5413.0156122678654</v>
      </c>
    </row>
    <row r="6" spans="1:13" ht="13.5">
      <c r="A6" s="248">
        <v>5</v>
      </c>
      <c r="B6" s="250">
        <v>121</v>
      </c>
      <c r="C6" s="249" t="s">
        <v>875</v>
      </c>
      <c r="D6" s="250">
        <v>3242.1372634741952</v>
      </c>
      <c r="E6" s="251">
        <v>0.65781622148943353</v>
      </c>
      <c r="F6" s="592" t="s">
        <v>1904</v>
      </c>
      <c r="G6" s="592"/>
      <c r="H6" s="593"/>
      <c r="I6" s="250" t="s">
        <v>1662</v>
      </c>
      <c r="J6" s="250" t="s">
        <v>1957</v>
      </c>
      <c r="K6" s="252">
        <f t="shared" si="0"/>
        <v>1.1356257698033192</v>
      </c>
      <c r="L6" s="246">
        <f>IF(C6="",999999,INDEX('House C Data'!$A$1:$AC$300,$B6,L$1))*IF(F6="HS",1.1,1)</f>
        <v>5592.5356122678659</v>
      </c>
    </row>
    <row r="7" spans="1:13" ht="13.5">
      <c r="A7" s="248">
        <v>6</v>
      </c>
      <c r="B7" s="250">
        <v>123</v>
      </c>
      <c r="C7" s="249" t="s">
        <v>877</v>
      </c>
      <c r="D7" s="250">
        <v>3242.1372634741952</v>
      </c>
      <c r="E7" s="251">
        <v>0.65781622148943397</v>
      </c>
      <c r="F7" s="592" t="s">
        <v>1904</v>
      </c>
      <c r="G7" s="592"/>
      <c r="H7" s="593"/>
      <c r="I7" s="250" t="s">
        <v>1662</v>
      </c>
      <c r="J7" s="250" t="s">
        <v>1957</v>
      </c>
      <c r="K7" s="252">
        <f t="shared" si="0"/>
        <v>1.1438489286678506</v>
      </c>
      <c r="L7" s="246">
        <f>IF(C7="",999999,INDEX('House C Data'!$A$1:$AC$300,$B7,L$1))*IF(F7="HS",1.1,1)</f>
        <v>5633.0316189789428</v>
      </c>
    </row>
    <row r="8" spans="1:13" ht="13.5">
      <c r="A8" s="248">
        <v>7</v>
      </c>
      <c r="B8" s="250">
        <v>125</v>
      </c>
      <c r="C8" s="249" t="s">
        <v>879</v>
      </c>
      <c r="D8" s="250">
        <v>3108.1816806874131</v>
      </c>
      <c r="E8" s="251">
        <v>0.67699589844942432</v>
      </c>
      <c r="F8" s="592" t="s">
        <v>1904</v>
      </c>
      <c r="G8" s="592"/>
      <c r="H8" s="593"/>
      <c r="I8" s="250" t="s">
        <v>1953</v>
      </c>
      <c r="J8" s="250">
        <v>0</v>
      </c>
      <c r="K8" s="252">
        <f t="shared" si="0"/>
        <v>1.1440446820657506</v>
      </c>
      <c r="L8" s="246">
        <f>IF(C8="",999999,INDEX('House C Data'!$A$1:$AC$300,$B8,L$1))*IF(F8="HS",1.1,1)</f>
        <v>5633.995631841357</v>
      </c>
    </row>
    <row r="9" spans="1:13" ht="13.5">
      <c r="A9" s="248">
        <v>8</v>
      </c>
      <c r="B9" s="250">
        <v>18</v>
      </c>
      <c r="C9" s="249" t="s">
        <v>795</v>
      </c>
      <c r="D9" s="250">
        <v>3689.4147087578035</v>
      </c>
      <c r="E9" s="251">
        <v>0.85473388930663108</v>
      </c>
      <c r="F9" s="592" t="s">
        <v>1904</v>
      </c>
      <c r="G9" s="592"/>
      <c r="H9" s="593"/>
      <c r="I9" s="250" t="s">
        <v>1953</v>
      </c>
      <c r="J9" s="250">
        <v>0</v>
      </c>
      <c r="K9" s="252">
        <f t="shared" si="0"/>
        <v>1.1607964200092948</v>
      </c>
      <c r="L9" s="246">
        <f>IF(C9="",999999,INDEX('House C Data'!$A$1:$AC$300,$B9,L$1))*IF(F9="HS",1.1,1)</f>
        <v>5716.4917265124695</v>
      </c>
    </row>
    <row r="10" spans="1:13" ht="13.5">
      <c r="A10" s="248">
        <v>9</v>
      </c>
      <c r="B10" s="250">
        <v>126</v>
      </c>
      <c r="C10" s="249" t="s">
        <v>880</v>
      </c>
      <c r="D10" s="250">
        <v>3108.1816806874131</v>
      </c>
      <c r="E10" s="251">
        <v>0.67699589844942432</v>
      </c>
      <c r="F10" s="592" t="s">
        <v>1904</v>
      </c>
      <c r="G10" s="592"/>
      <c r="H10" s="593"/>
      <c r="I10" s="250" t="s">
        <v>1953</v>
      </c>
      <c r="J10" s="250">
        <v>0</v>
      </c>
      <c r="K10" s="252">
        <f t="shared" si="0"/>
        <v>1.1653092280353701</v>
      </c>
      <c r="L10" s="246">
        <f>IF(C10="",999999,INDEX('House C Data'!$A$1:$AC$300,$B10,L$1))*IF(F10="HS",1.1,1)</f>
        <v>5738.7156318413563</v>
      </c>
    </row>
    <row r="11" spans="1:13" ht="13.5">
      <c r="A11" s="248">
        <v>10</v>
      </c>
      <c r="B11" s="250">
        <v>124</v>
      </c>
      <c r="C11" s="249" t="s">
        <v>878</v>
      </c>
      <c r="D11" s="250">
        <v>3108.1816806874131</v>
      </c>
      <c r="E11" s="251">
        <v>0.67699589844942432</v>
      </c>
      <c r="F11" s="592" t="s">
        <v>1904</v>
      </c>
      <c r="G11" s="592"/>
      <c r="H11" s="593"/>
      <c r="I11" s="250" t="s">
        <v>1953</v>
      </c>
      <c r="J11" s="250">
        <v>0</v>
      </c>
      <c r="K11" s="252">
        <f t="shared" si="0"/>
        <v>1.1804981894422413</v>
      </c>
      <c r="L11" s="246">
        <f>IF(C11="",999999,INDEX('House C Data'!$A$1:$AC$300,$B11,L$1))*IF(F11="HS",1.1,1)</f>
        <v>5813.5156318413574</v>
      </c>
    </row>
    <row r="12" spans="1:13" ht="13.5">
      <c r="A12" s="248">
        <v>11</v>
      </c>
      <c r="B12" s="250">
        <v>129</v>
      </c>
      <c r="C12" s="249" t="s">
        <v>883</v>
      </c>
      <c r="D12" s="250">
        <v>2826.2934715348752</v>
      </c>
      <c r="E12" s="251">
        <v>0.70575566000187451</v>
      </c>
      <c r="F12" s="592" t="s">
        <v>1904</v>
      </c>
      <c r="G12" s="592"/>
      <c r="H12" s="593"/>
      <c r="I12" s="250" t="s">
        <v>1662</v>
      </c>
      <c r="J12" s="250" t="s">
        <v>1957</v>
      </c>
      <c r="K12" s="252">
        <f t="shared" si="0"/>
        <v>1.2799180945155932</v>
      </c>
      <c r="L12" s="246">
        <f>IF(C12="",999999,INDEX('House C Data'!$A$1:$AC$300,$B12,L$1))*IF(F12="HS",1.1,1)</f>
        <v>6303.1217806938166</v>
      </c>
    </row>
    <row r="13" spans="1:13" ht="13.5">
      <c r="A13" s="248">
        <v>12</v>
      </c>
      <c r="B13" s="250">
        <v>130</v>
      </c>
      <c r="C13" s="249" t="s">
        <v>884</v>
      </c>
      <c r="D13" s="250">
        <v>2713.6453609783889</v>
      </c>
      <c r="E13" s="251">
        <v>0.67692506510895234</v>
      </c>
      <c r="F13" s="592" t="s">
        <v>1904</v>
      </c>
      <c r="G13" s="592"/>
      <c r="H13" s="593"/>
      <c r="I13" s="250" t="s">
        <v>1953</v>
      </c>
      <c r="J13" s="250">
        <v>0</v>
      </c>
      <c r="K13" s="252">
        <f t="shared" si="0"/>
        <v>1.2945040363439286</v>
      </c>
      <c r="L13" s="246">
        <f>IF(C13="",999999,INDEX('House C Data'!$A$1:$AC$300,$B13,L$1))*IF(F13="HS",1.1,1)</f>
        <v>6374.9521329828103</v>
      </c>
    </row>
    <row r="14" spans="1:13" ht="13.5">
      <c r="A14" s="248">
        <v>13</v>
      </c>
      <c r="B14" s="250">
        <v>19</v>
      </c>
      <c r="C14" s="249" t="s">
        <v>796</v>
      </c>
      <c r="D14" s="250">
        <v>2770.6286734032878</v>
      </c>
      <c r="E14" s="251">
        <v>0.81178349536114836</v>
      </c>
      <c r="F14" s="592" t="s">
        <v>1904</v>
      </c>
      <c r="G14" s="592"/>
      <c r="H14" s="593"/>
      <c r="I14" s="250" t="s">
        <v>1953</v>
      </c>
      <c r="J14" s="250">
        <v>0</v>
      </c>
      <c r="K14" s="252">
        <f t="shared" si="0"/>
        <v>1.5013046498205218</v>
      </c>
      <c r="L14" s="246">
        <f>IF(C14="",999999,INDEX('House C Data'!$A$1:$AC$300,$B14,L$1))*IF(F14="HS",1.1,1)</f>
        <v>7393.3684337215591</v>
      </c>
    </row>
    <row r="15" spans="1:13" ht="13.5">
      <c r="A15" s="248">
        <v>14</v>
      </c>
      <c r="B15" s="250">
        <v>91</v>
      </c>
      <c r="C15" s="249" t="s">
        <v>1002</v>
      </c>
      <c r="D15" s="250">
        <v>3069.2262304698233</v>
      </c>
      <c r="E15" s="251">
        <v>0.86382457678112212</v>
      </c>
      <c r="F15" s="592" t="s">
        <v>1904</v>
      </c>
      <c r="G15" s="592"/>
      <c r="H15" s="593"/>
      <c r="I15" s="250" t="s">
        <v>1910</v>
      </c>
      <c r="J15" s="250">
        <v>0</v>
      </c>
      <c r="K15" s="252">
        <f t="shared" si="0"/>
        <v>1.5960460192727226</v>
      </c>
      <c r="L15" s="246">
        <f>IF(C15="",999999,INDEX('House C Data'!$A$1:$AC$300,$B15,L$1))*IF(F15="HS",1.1,1)</f>
        <v>7859.9345303224</v>
      </c>
    </row>
    <row r="16" spans="1:13" ht="13.5">
      <c r="A16" s="248">
        <v>15</v>
      </c>
      <c r="B16" s="250">
        <v>134</v>
      </c>
      <c r="C16" s="249" t="s">
        <v>887</v>
      </c>
      <c r="D16" s="250">
        <v>2900.8490895054006</v>
      </c>
      <c r="E16" s="251">
        <v>0.48864421335549169</v>
      </c>
      <c r="F16" s="592" t="s">
        <v>1904</v>
      </c>
      <c r="G16" s="592"/>
      <c r="H16" s="593"/>
      <c r="I16" s="250" t="s">
        <v>1910</v>
      </c>
      <c r="J16" s="250">
        <v>0</v>
      </c>
      <c r="K16" s="252">
        <f t="shared" si="0"/>
        <v>1.6146997722666636</v>
      </c>
      <c r="L16" s="246">
        <f>IF(C16="",999999,INDEX('House C Data'!$A$1:$AC$300,$B16,L$1))*IF(F16="HS",1.1,1)</f>
        <v>7951.7973434911528</v>
      </c>
    </row>
    <row r="17" spans="1:12" ht="13.5">
      <c r="A17" s="248">
        <v>16</v>
      </c>
      <c r="B17" s="250">
        <v>105</v>
      </c>
      <c r="C17" s="249" t="s">
        <v>1197</v>
      </c>
      <c r="D17" s="250">
        <v>3381.2770876824429</v>
      </c>
      <c r="E17" s="251">
        <v>0.84457309592917607</v>
      </c>
      <c r="F17" s="592" t="s">
        <v>1904</v>
      </c>
      <c r="G17" s="592"/>
      <c r="H17" s="593"/>
      <c r="I17" s="250" t="s">
        <v>1662</v>
      </c>
      <c r="J17" s="250" t="s">
        <v>1956</v>
      </c>
      <c r="K17" s="252">
        <f t="shared" si="0"/>
        <v>1.6377305862344798</v>
      </c>
      <c r="L17" s="246">
        <f>IF(C17="",999999,INDEX('House C Data'!$A$1:$AC$300,$B17,L$1))*IF(F17="HS",1.1,1)</f>
        <v>8065.2155581172919</v>
      </c>
    </row>
    <row r="18" spans="1:12" ht="13.5">
      <c r="A18" s="248">
        <v>17</v>
      </c>
      <c r="B18" s="250">
        <v>20</v>
      </c>
      <c r="C18" s="249" t="s">
        <v>797</v>
      </c>
      <c r="D18" s="250">
        <v>2759.2078270401316</v>
      </c>
      <c r="E18" s="251">
        <v>0.83428047130529737</v>
      </c>
      <c r="F18" s="592" t="s">
        <v>1904</v>
      </c>
      <c r="G18" s="592"/>
      <c r="H18" s="593"/>
      <c r="I18" s="250" t="s">
        <v>1954</v>
      </c>
      <c r="J18" s="250">
        <v>0</v>
      </c>
      <c r="K18" s="252">
        <f t="shared" si="0"/>
        <v>1.6437748997452757</v>
      </c>
      <c r="L18" s="246">
        <f>IF(C18="",999999,INDEX('House C Data'!$A$1:$AC$300,$B18,L$1))*IF(F18="HS",1.1,1)</f>
        <v>8094.981559787625</v>
      </c>
    </row>
    <row r="19" spans="1:12" ht="13.5">
      <c r="A19" s="248">
        <v>18</v>
      </c>
      <c r="B19" s="250">
        <v>135</v>
      </c>
      <c r="C19" s="249" t="s">
        <v>888</v>
      </c>
      <c r="D19" s="250">
        <v>2344.2889981444041</v>
      </c>
      <c r="E19" s="251">
        <v>0.62278862052470463</v>
      </c>
      <c r="F19" s="592" t="s">
        <v>1904</v>
      </c>
      <c r="G19" s="592"/>
      <c r="H19" s="593"/>
      <c r="I19" s="250" t="s">
        <v>1662</v>
      </c>
      <c r="J19" s="250" t="s">
        <v>1957</v>
      </c>
      <c r="K19" s="252">
        <f t="shared" si="0"/>
        <v>1.71012843864335</v>
      </c>
      <c r="L19" s="246">
        <f>IF(C19="",999999,INDEX('House C Data'!$A$1:$AC$300,$B19,L$1))*IF(F19="HS",1.1,1)</f>
        <v>8421.7481224658823</v>
      </c>
    </row>
    <row r="20" spans="1:12" ht="13.5">
      <c r="A20" s="248">
        <v>19</v>
      </c>
      <c r="B20" s="250">
        <v>92</v>
      </c>
      <c r="C20" s="249" t="s">
        <v>1003</v>
      </c>
      <c r="D20" s="250">
        <v>2801.3429388943682</v>
      </c>
      <c r="E20" s="251">
        <v>0.62429735055103874</v>
      </c>
      <c r="F20" s="592" t="s">
        <v>1904</v>
      </c>
      <c r="G20" s="592"/>
      <c r="H20" s="593"/>
      <c r="I20" s="250" t="s">
        <v>1910</v>
      </c>
      <c r="J20" s="250">
        <v>0</v>
      </c>
      <c r="K20" s="252">
        <f t="shared" si="0"/>
        <v>1.7538083970470661</v>
      </c>
      <c r="L20" s="246">
        <f>IF(C20="",999999,INDEX('House C Data'!$A$1:$AC$300,$B20,L$1))*IF(F20="HS",1.1,1)</f>
        <v>8636.8557128452994</v>
      </c>
    </row>
    <row r="21" spans="1:12" ht="13.5">
      <c r="A21" s="248">
        <v>20</v>
      </c>
      <c r="B21" s="250">
        <v>136</v>
      </c>
      <c r="C21" s="249" t="s">
        <v>790</v>
      </c>
      <c r="D21" s="250">
        <v>2222.6380402067343</v>
      </c>
      <c r="E21" s="251">
        <v>0.70408067650417472</v>
      </c>
      <c r="F21" s="592" t="s">
        <v>1904</v>
      </c>
      <c r="G21" s="592"/>
      <c r="H21" s="593"/>
      <c r="I21" s="250" t="s">
        <v>1910</v>
      </c>
      <c r="J21" s="250">
        <v>0</v>
      </c>
      <c r="K21" s="252">
        <f t="shared" si="0"/>
        <v>1.7565397362299975</v>
      </c>
      <c r="L21" s="246">
        <f>IF(C21="",999999,INDEX('House C Data'!$A$1:$AC$300,$B21,L$1))*IF(F21="HS",1.1,1)</f>
        <v>8650.3065450260201</v>
      </c>
    </row>
    <row r="22" spans="1:12" ht="13.5">
      <c r="A22" s="248">
        <v>21</v>
      </c>
      <c r="B22" s="250">
        <v>137</v>
      </c>
      <c r="C22" s="249" t="s">
        <v>889</v>
      </c>
      <c r="D22" s="250">
        <v>2271.570113321151</v>
      </c>
      <c r="E22" s="251">
        <v>0.69835674435996609</v>
      </c>
      <c r="F22" s="592" t="s">
        <v>1904</v>
      </c>
      <c r="G22" s="592"/>
      <c r="H22" s="593"/>
      <c r="I22" s="250" t="s">
        <v>1910</v>
      </c>
      <c r="J22" s="250">
        <v>0</v>
      </c>
      <c r="K22" s="252">
        <f t="shared" si="0"/>
        <v>1.7944493933672736</v>
      </c>
      <c r="L22" s="246">
        <f>IF(C22="",999999,INDEX('House C Data'!$A$1:$AC$300,$B22,L$1))*IF(F22="HS",1.1,1)</f>
        <v>8836.9975423831856</v>
      </c>
    </row>
    <row r="23" spans="1:12" ht="13.5">
      <c r="A23" s="248">
        <v>22</v>
      </c>
      <c r="B23" s="250">
        <v>24</v>
      </c>
      <c r="C23" s="249" t="s">
        <v>801</v>
      </c>
      <c r="D23" s="250">
        <v>2266.63902328104</v>
      </c>
      <c r="E23" s="251">
        <v>0.80342662280993604</v>
      </c>
      <c r="F23" s="592" t="s">
        <v>1904</v>
      </c>
      <c r="G23" s="592"/>
      <c r="H23" s="593"/>
      <c r="I23" s="250" t="s">
        <v>1910</v>
      </c>
      <c r="J23" s="250">
        <v>0</v>
      </c>
      <c r="K23" s="252">
        <f t="shared" si="0"/>
        <v>1.919461771800874</v>
      </c>
      <c r="L23" s="246">
        <f>IF(C23="",999999,INDEX('House C Data'!$A$1:$AC$300,$B23,L$1))*IF(F23="HS",1.1,1)</f>
        <v>9452.6371280235344</v>
      </c>
    </row>
    <row r="24" spans="1:12" ht="13.5">
      <c r="A24" s="248">
        <v>23</v>
      </c>
      <c r="B24" s="250">
        <v>25</v>
      </c>
      <c r="C24" s="249" t="s">
        <v>802</v>
      </c>
      <c r="D24" s="250">
        <v>2297.2763082609194</v>
      </c>
      <c r="E24" s="251">
        <v>0.72211035295840942</v>
      </c>
      <c r="F24" s="592" t="s">
        <v>1904</v>
      </c>
      <c r="G24" s="592"/>
      <c r="H24" s="593"/>
      <c r="I24" s="250" t="s">
        <v>1910</v>
      </c>
      <c r="J24" s="250">
        <v>0</v>
      </c>
      <c r="K24" s="252">
        <f t="shared" si="0"/>
        <v>1.9986747014683119</v>
      </c>
      <c r="L24" s="246">
        <f>IF(C24="",999999,INDEX('House C Data'!$A$1:$AC$300,$B24,L$1))*IF(F24="HS",1.1,1)</f>
        <v>9842.7314195558065</v>
      </c>
    </row>
    <row r="25" spans="1:12" ht="13.5">
      <c r="A25" s="248">
        <v>24</v>
      </c>
      <c r="B25" s="250">
        <v>26</v>
      </c>
      <c r="C25" s="249" t="s">
        <v>803</v>
      </c>
      <c r="D25" s="250">
        <v>2431.4827453708522</v>
      </c>
      <c r="E25" s="251">
        <v>0.74981755342772294</v>
      </c>
      <c r="F25" s="592" t="s">
        <v>1904</v>
      </c>
      <c r="G25" s="592"/>
      <c r="H25" s="593"/>
      <c r="I25" s="250" t="s">
        <v>1910</v>
      </c>
      <c r="J25" s="250">
        <v>0</v>
      </c>
      <c r="K25" s="252">
        <f t="shared" si="0"/>
        <v>2.137116692657409</v>
      </c>
      <c r="L25" s="246">
        <f>IF(C25="",999999,INDEX('House C Data'!$A$1:$AC$300,$B25,L$1))*IF(F25="HS",1.1,1)</f>
        <v>10524.506865786119</v>
      </c>
    </row>
    <row r="26" spans="1:12" ht="13.5">
      <c r="A26" s="248">
        <v>25</v>
      </c>
      <c r="B26" s="250">
        <v>88</v>
      </c>
      <c r="C26" s="249" t="s">
        <v>999</v>
      </c>
      <c r="D26" s="250">
        <v>2132.9757119702394</v>
      </c>
      <c r="E26" s="251">
        <v>0.7880370788469786</v>
      </c>
      <c r="F26" s="592" t="s">
        <v>1904</v>
      </c>
      <c r="G26" s="592"/>
      <c r="H26" s="593"/>
      <c r="I26" s="250" t="s">
        <v>1955</v>
      </c>
      <c r="J26" s="250">
        <v>0</v>
      </c>
      <c r="K26" s="252">
        <f t="shared" si="0"/>
        <v>2.257858646225567</v>
      </c>
      <c r="L26" s="246">
        <f>IF(C26="",999999,INDEX('House C Data'!$A$1:$AC$300,$B26,L$1))*IF(F26="HS",1.1,1)</f>
        <v>11119.116193242349</v>
      </c>
    </row>
    <row r="27" spans="1:12" ht="13.5">
      <c r="A27" s="248">
        <v>26</v>
      </c>
      <c r="B27" s="250">
        <v>89</v>
      </c>
      <c r="C27" s="249" t="s">
        <v>1000</v>
      </c>
      <c r="D27" s="250">
        <v>2292.2933375398534</v>
      </c>
      <c r="E27" s="251">
        <v>0.60152579198470635</v>
      </c>
      <c r="F27" s="592" t="s">
        <v>1904</v>
      </c>
      <c r="G27" s="592"/>
      <c r="H27" s="593"/>
      <c r="I27" s="250" t="s">
        <v>1910</v>
      </c>
      <c r="J27" s="250">
        <v>0</v>
      </c>
      <c r="K27" s="252">
        <f t="shared" si="0"/>
        <v>2.3652853710212542</v>
      </c>
      <c r="L27" s="246">
        <f>IF(C27="",999999,INDEX('House C Data'!$A$1:$AC$300,$B27,L$1))*IF(F27="HS",1.1,1)</f>
        <v>11648.152958789888</v>
      </c>
    </row>
    <row r="28" spans="1:12" ht="13.5">
      <c r="A28" s="248">
        <v>27</v>
      </c>
      <c r="B28" s="250">
        <v>32</v>
      </c>
      <c r="C28" s="249" t="s">
        <v>809</v>
      </c>
      <c r="D28" s="250">
        <v>1951.1701892125279</v>
      </c>
      <c r="E28" s="251">
        <v>0.79473270359515613</v>
      </c>
      <c r="F28" s="592" t="s">
        <v>1904</v>
      </c>
      <c r="G28" s="592"/>
      <c r="H28" s="593"/>
      <c r="I28" s="250" t="s">
        <v>1952</v>
      </c>
      <c r="J28" s="250">
        <v>0</v>
      </c>
      <c r="K28" s="252">
        <f t="shared" si="0"/>
        <v>2.7447588402241605</v>
      </c>
      <c r="L28" s="246">
        <f>IF(C28="",999999,INDEX('House C Data'!$A$1:$AC$300,$B28,L$1))*IF(F28="HS",1.1,1)</f>
        <v>13516.919014350282</v>
      </c>
    </row>
    <row r="29" spans="1:12" ht="13.5">
      <c r="A29" s="248">
        <v>28</v>
      </c>
      <c r="B29" s="250">
        <v>33</v>
      </c>
      <c r="C29" s="249" t="s">
        <v>810</v>
      </c>
      <c r="D29" s="250">
        <v>1824.3906116719097</v>
      </c>
      <c r="E29" s="251">
        <v>0.81690851486359295</v>
      </c>
      <c r="F29" s="592" t="s">
        <v>1904</v>
      </c>
      <c r="G29" s="592"/>
      <c r="H29" s="593"/>
      <c r="I29" s="250" t="s">
        <v>1952</v>
      </c>
      <c r="J29" s="250">
        <v>0</v>
      </c>
      <c r="K29" s="252">
        <f t="shared" si="0"/>
        <v>2.8248671406561452</v>
      </c>
      <c r="L29" s="246">
        <f>IF(C29="",999999,INDEX('House C Data'!$A$1:$AC$300,$B29,L$1))*IF(F29="HS",1.1,1)</f>
        <v>13911.422674725758</v>
      </c>
    </row>
    <row r="30" spans="1:12" ht="13.5">
      <c r="A30" s="248">
        <v>29</v>
      </c>
      <c r="B30" s="250">
        <v>35</v>
      </c>
      <c r="C30" s="249" t="s">
        <v>812</v>
      </c>
      <c r="D30" s="250">
        <v>1871.360097261585</v>
      </c>
      <c r="E30" s="251">
        <v>0.67490658017655258</v>
      </c>
      <c r="F30" s="592" t="s">
        <v>1904</v>
      </c>
      <c r="G30" s="592"/>
      <c r="H30" s="593"/>
      <c r="I30" s="250" t="s">
        <v>1910</v>
      </c>
      <c r="J30" s="250">
        <v>0</v>
      </c>
      <c r="K30" s="252">
        <f t="shared" si="0"/>
        <v>2.8608005114316137</v>
      </c>
      <c r="L30" s="246">
        <f>IF(C30="",999999,INDEX('House C Data'!$A$1:$AC$300,$B30,L$1))*IF(F30="HS",1.1,1)</f>
        <v>14088.381194930384</v>
      </c>
    </row>
    <row r="31" spans="1:12" ht="13.5">
      <c r="A31" s="248">
        <v>30</v>
      </c>
      <c r="B31" s="250">
        <v>93</v>
      </c>
      <c r="C31" s="249" t="s">
        <v>1004</v>
      </c>
      <c r="D31" s="250">
        <v>1672.3774886767021</v>
      </c>
      <c r="E31" s="251">
        <v>0.89787337149793101</v>
      </c>
      <c r="F31" s="592" t="s">
        <v>1904</v>
      </c>
      <c r="G31" s="592"/>
      <c r="H31" s="593"/>
      <c r="I31" s="250" t="s">
        <v>1952</v>
      </c>
      <c r="J31" s="250">
        <v>0</v>
      </c>
      <c r="K31" s="252">
        <f t="shared" si="0"/>
        <v>3.2680696881802684</v>
      </c>
      <c r="L31" s="246">
        <f>IF(C31="",999999,INDEX('House C Data'!$A$1:$AC$300,$B31,L$1))*IF(F31="HS",1.1,1)</f>
        <v>16094.030798267881</v>
      </c>
    </row>
    <row r="32" spans="1:12" ht="14.25" thickBot="1">
      <c r="A32" s="253">
        <v>31</v>
      </c>
      <c r="B32" s="255">
        <v>80</v>
      </c>
      <c r="C32" s="254" t="s">
        <v>788</v>
      </c>
      <c r="D32" s="255">
        <v>1573.7634363317159</v>
      </c>
      <c r="E32" s="256">
        <v>0.65463417198010898</v>
      </c>
      <c r="F32" s="594" t="s">
        <v>1904</v>
      </c>
      <c r="G32" s="594"/>
      <c r="H32" s="595"/>
      <c r="I32" s="255" t="s">
        <v>1910</v>
      </c>
      <c r="J32" s="255">
        <v>0</v>
      </c>
      <c r="K32" s="257">
        <f t="shared" si="0"/>
        <v>3.391212086171671</v>
      </c>
      <c r="L32" s="258">
        <f>IF(C32="",999999,INDEX('House C Data'!$A$1:$AC$300,$B32,L$1))*IF(F32="HS",1.1,1)</f>
        <v>16700.461423971501</v>
      </c>
    </row>
    <row r="33" spans="1:12" ht="13.5">
      <c r="A33" s="241">
        <v>32</v>
      </c>
      <c r="B33" s="243">
        <v>83</v>
      </c>
      <c r="C33" s="242" t="s">
        <v>856</v>
      </c>
      <c r="D33" s="243">
        <v>1783.5949129058154</v>
      </c>
      <c r="E33" s="244">
        <v>0.68437531954940956</v>
      </c>
      <c r="F33" s="590" t="s">
        <v>1904</v>
      </c>
      <c r="G33" s="590"/>
      <c r="H33" s="591"/>
      <c r="I33" s="243" t="s">
        <v>1662</v>
      </c>
      <c r="J33" s="243" t="s">
        <v>1951</v>
      </c>
      <c r="K33" s="252">
        <f t="shared" si="0"/>
        <v>3.4462338277986535</v>
      </c>
      <c r="L33" s="246">
        <f>IF(C33="",999999,INDEX('House C Data'!$A$1:$AC$300,$B33,L$1))*IF(F33="HS",1.1,1)</f>
        <v>16971.423089055232</v>
      </c>
    </row>
    <row r="34" spans="1:12" ht="13.5">
      <c r="A34" s="248">
        <v>33</v>
      </c>
      <c r="B34" s="250">
        <v>41</v>
      </c>
      <c r="C34" s="249" t="s">
        <v>818</v>
      </c>
      <c r="D34" s="250">
        <v>1600.1659201387738</v>
      </c>
      <c r="E34" s="251">
        <v>0.78922727872696086</v>
      </c>
      <c r="F34" s="592" t="s">
        <v>1904</v>
      </c>
      <c r="G34" s="592"/>
      <c r="H34" s="593"/>
      <c r="I34" s="250" t="s">
        <v>1952</v>
      </c>
      <c r="J34" s="250">
        <v>0</v>
      </c>
      <c r="K34" s="252">
        <f t="shared" ref="K34:K65" si="1">L34/$M$2</f>
        <v>3.4856274602565658</v>
      </c>
      <c r="L34" s="246">
        <f>IF(C34="",999999,INDEX('House C Data'!$A$1:$AC$300,$B34,L$1))*IF(F34="HS",1.1,1)</f>
        <v>17165.422114328867</v>
      </c>
    </row>
    <row r="35" spans="1:12" ht="13.5">
      <c r="A35" s="248"/>
      <c r="B35" s="250"/>
      <c r="C35" s="249"/>
      <c r="D35" s="250"/>
      <c r="E35" s="251"/>
      <c r="F35" s="592"/>
      <c r="G35" s="592"/>
      <c r="H35" s="593"/>
      <c r="I35" s="250"/>
      <c r="J35" s="250"/>
      <c r="K35" s="252">
        <f t="shared" si="1"/>
        <v>203.06077831429934</v>
      </c>
      <c r="L35" s="246">
        <f>IF(C35="",999999,INDEX('House C Data'!$A$1:$AC$300,$B35,L$1))*IF(F35="HS",1.1,1)</f>
        <v>999999</v>
      </c>
    </row>
    <row r="36" spans="1:12" ht="13.5">
      <c r="A36" s="248"/>
      <c r="B36" s="250"/>
      <c r="C36" s="249"/>
      <c r="D36" s="250"/>
      <c r="E36" s="251"/>
      <c r="F36" s="592"/>
      <c r="G36" s="592"/>
      <c r="H36" s="593"/>
      <c r="I36" s="250"/>
      <c r="J36" s="250"/>
      <c r="K36" s="252">
        <f t="shared" si="1"/>
        <v>203.06077831429934</v>
      </c>
      <c r="L36" s="246">
        <f>IF(C36="",999999,INDEX('House C Data'!$A$1:$AC$300,$B36,L$1))*IF(F36="HS",1.1,1)</f>
        <v>999999</v>
      </c>
    </row>
    <row r="37" spans="1:12" ht="13.5">
      <c r="A37" s="248"/>
      <c r="B37" s="250"/>
      <c r="C37" s="249"/>
      <c r="D37" s="250"/>
      <c r="E37" s="251"/>
      <c r="F37" s="592"/>
      <c r="G37" s="592"/>
      <c r="H37" s="593"/>
      <c r="I37" s="250"/>
      <c r="J37" s="250"/>
      <c r="K37" s="252">
        <f t="shared" si="1"/>
        <v>203.06077831429934</v>
      </c>
      <c r="L37" s="246">
        <f>IF(C37="",999999,INDEX('House C Data'!$A$1:$AC$300,$B37,L$1))*IF(F37="HS",1.1,1)</f>
        <v>999999</v>
      </c>
    </row>
    <row r="38" spans="1:12" ht="13.5">
      <c r="A38" s="248"/>
      <c r="B38" s="250"/>
      <c r="C38" s="249"/>
      <c r="D38" s="250"/>
      <c r="E38" s="251"/>
      <c r="F38" s="592"/>
      <c r="G38" s="592"/>
      <c r="H38" s="593"/>
      <c r="I38" s="250"/>
      <c r="J38" s="250"/>
      <c r="K38" s="252">
        <f t="shared" si="1"/>
        <v>203.06077831429934</v>
      </c>
      <c r="L38" s="246">
        <f>IF(C38="",999999,INDEX('House C Data'!$A$1:$AC$300,$B38,L$1))*IF(F38="HS",1.1,1)</f>
        <v>999999</v>
      </c>
    </row>
    <row r="39" spans="1:12" ht="13.5">
      <c r="A39" s="248"/>
      <c r="B39" s="250"/>
      <c r="C39" s="249"/>
      <c r="D39" s="250"/>
      <c r="E39" s="251"/>
      <c r="F39" s="592"/>
      <c r="G39" s="592"/>
      <c r="H39" s="593"/>
      <c r="I39" s="250"/>
      <c r="J39" s="250"/>
      <c r="K39" s="252">
        <f t="shared" si="1"/>
        <v>203.06077831429934</v>
      </c>
      <c r="L39" s="246">
        <f>IF(C39="",999999,INDEX('House C Data'!$A$1:$AC$300,$B39,L$1))*IF(F39="HS",1.1,1)</f>
        <v>999999</v>
      </c>
    </row>
    <row r="40" spans="1:12" ht="13.5">
      <c r="A40" s="248"/>
      <c r="B40" s="250"/>
      <c r="C40" s="249"/>
      <c r="D40" s="250"/>
      <c r="E40" s="251"/>
      <c r="F40" s="592"/>
      <c r="G40" s="592"/>
      <c r="H40" s="593"/>
      <c r="I40" s="250"/>
      <c r="J40" s="250"/>
      <c r="K40" s="252">
        <f t="shared" si="1"/>
        <v>203.06077831429934</v>
      </c>
      <c r="L40" s="246">
        <f>IF(C40="",999999,INDEX('House C Data'!$A$1:$AC$300,$B40,L$1))*IF(F40="HS",1.1,1)</f>
        <v>999999</v>
      </c>
    </row>
    <row r="41" spans="1:12" ht="13.5">
      <c r="A41" s="248"/>
      <c r="B41" s="250"/>
      <c r="C41" s="249"/>
      <c r="D41" s="250"/>
      <c r="E41" s="251"/>
      <c r="F41" s="592"/>
      <c r="G41" s="592"/>
      <c r="H41" s="593"/>
      <c r="I41" s="250"/>
      <c r="J41" s="250"/>
      <c r="K41" s="252">
        <f t="shared" si="1"/>
        <v>203.06077831429934</v>
      </c>
      <c r="L41" s="246">
        <f>IF(C41="",999999,INDEX('House C Data'!$A$1:$AC$300,$B41,L$1))*IF(F41="HS",1.1,1)</f>
        <v>999999</v>
      </c>
    </row>
    <row r="42" spans="1:12" ht="13.5">
      <c r="A42" s="248"/>
      <c r="B42" s="250"/>
      <c r="C42" s="249"/>
      <c r="D42" s="250"/>
      <c r="E42" s="251"/>
      <c r="F42" s="592"/>
      <c r="G42" s="592"/>
      <c r="H42" s="593"/>
      <c r="I42" s="250"/>
      <c r="J42" s="250"/>
      <c r="K42" s="252">
        <f t="shared" si="1"/>
        <v>203.06077831429934</v>
      </c>
      <c r="L42" s="246">
        <f>IF(C42="",999999,INDEX('House C Data'!$A$1:$AC$300,$B42,L$1))*IF(F42="HS",1.1,1)</f>
        <v>999999</v>
      </c>
    </row>
    <row r="43" spans="1:12" ht="13.5">
      <c r="A43" s="248"/>
      <c r="B43" s="250"/>
      <c r="C43" s="249"/>
      <c r="D43" s="250"/>
      <c r="E43" s="251"/>
      <c r="F43" s="592"/>
      <c r="G43" s="592"/>
      <c r="H43" s="593"/>
      <c r="I43" s="250"/>
      <c r="J43" s="250"/>
      <c r="K43" s="252">
        <f t="shared" si="1"/>
        <v>203.06077831429934</v>
      </c>
      <c r="L43" s="246">
        <f>IF(C43="",999999,INDEX('House C Data'!$A$1:$AC$300,$B43,L$1))*IF(F43="HS",1.1,1)</f>
        <v>999999</v>
      </c>
    </row>
    <row r="44" spans="1:12" ht="13.5">
      <c r="A44" s="248"/>
      <c r="B44" s="250"/>
      <c r="C44" s="249"/>
      <c r="D44" s="250"/>
      <c r="E44" s="251"/>
      <c r="F44" s="592"/>
      <c r="G44" s="592"/>
      <c r="H44" s="593"/>
      <c r="I44" s="250"/>
      <c r="J44" s="250"/>
      <c r="K44" s="252">
        <f t="shared" si="1"/>
        <v>203.06077831429934</v>
      </c>
      <c r="L44" s="246">
        <f>IF(C44="",999999,INDEX('House C Data'!$A$1:$AC$300,$B44,L$1))*IF(F44="HS",1.1,1)</f>
        <v>999999</v>
      </c>
    </row>
    <row r="45" spans="1:12" ht="13.5">
      <c r="A45" s="248"/>
      <c r="B45" s="250"/>
      <c r="C45" s="249"/>
      <c r="D45" s="250"/>
      <c r="E45" s="251"/>
      <c r="F45" s="592"/>
      <c r="G45" s="592"/>
      <c r="H45" s="593"/>
      <c r="I45" s="250"/>
      <c r="J45" s="250"/>
      <c r="K45" s="252">
        <f t="shared" si="1"/>
        <v>203.06077831429934</v>
      </c>
      <c r="L45" s="246">
        <f>IF(C45="",999999,INDEX('House C Data'!$A$1:$AC$300,$B45,L$1))*IF(F45="HS",1.1,1)</f>
        <v>999999</v>
      </c>
    </row>
    <row r="46" spans="1:12" ht="13.5">
      <c r="A46" s="248"/>
      <c r="B46" s="250"/>
      <c r="C46" s="249"/>
      <c r="D46" s="250"/>
      <c r="E46" s="251"/>
      <c r="F46" s="592"/>
      <c r="G46" s="592"/>
      <c r="H46" s="593"/>
      <c r="I46" s="250"/>
      <c r="J46" s="250"/>
      <c r="K46" s="252">
        <f t="shared" si="1"/>
        <v>203.06077831429934</v>
      </c>
      <c r="L46" s="246">
        <f>IF(C46="",999999,INDEX('House C Data'!$A$1:$AC$300,$B46,L$1))*IF(F46="HS",1.1,1)</f>
        <v>999999</v>
      </c>
    </row>
    <row r="47" spans="1:12" ht="13.5">
      <c r="A47" s="248"/>
      <c r="B47" s="250"/>
      <c r="C47" s="249"/>
      <c r="D47" s="250"/>
      <c r="E47" s="251"/>
      <c r="F47" s="592"/>
      <c r="G47" s="592"/>
      <c r="H47" s="593"/>
      <c r="I47" s="250"/>
      <c r="J47" s="250"/>
      <c r="K47" s="252">
        <f t="shared" si="1"/>
        <v>203.06077831429934</v>
      </c>
      <c r="L47" s="246">
        <f>IF(C47="",999999,INDEX('House C Data'!$A$1:$AC$300,$B47,L$1))*IF(F47="HS",1.1,1)</f>
        <v>999999</v>
      </c>
    </row>
    <row r="48" spans="1:12" ht="13.5">
      <c r="A48" s="248"/>
      <c r="B48" s="250"/>
      <c r="C48" s="249"/>
      <c r="D48" s="250"/>
      <c r="E48" s="251"/>
      <c r="F48" s="592"/>
      <c r="G48" s="592"/>
      <c r="H48" s="593"/>
      <c r="I48" s="250"/>
      <c r="J48" s="250"/>
      <c r="K48" s="252">
        <f t="shared" si="1"/>
        <v>203.06077831429934</v>
      </c>
      <c r="L48" s="246">
        <f>IF(C48="",999999,INDEX('House C Data'!$A$1:$AC$300,$B48,L$1))*IF(F48="HS",1.1,1)</f>
        <v>999999</v>
      </c>
    </row>
    <row r="49" spans="1:12" ht="13.5">
      <c r="A49" s="248"/>
      <c r="B49" s="250"/>
      <c r="C49" s="249"/>
      <c r="D49" s="250"/>
      <c r="E49" s="251"/>
      <c r="F49" s="592"/>
      <c r="G49" s="592"/>
      <c r="H49" s="593"/>
      <c r="I49" s="250"/>
      <c r="J49" s="250"/>
      <c r="K49" s="252">
        <f t="shared" si="1"/>
        <v>203.06077831429934</v>
      </c>
      <c r="L49" s="246">
        <f>IF(C49="",999999,INDEX('House C Data'!$A$1:$AC$300,$B49,L$1))*IF(F49="HS",1.1,1)</f>
        <v>999999</v>
      </c>
    </row>
    <row r="50" spans="1:12" ht="13.5">
      <c r="A50" s="248"/>
      <c r="B50" s="250"/>
      <c r="C50" s="249"/>
      <c r="D50" s="250"/>
      <c r="E50" s="251"/>
      <c r="F50" s="592"/>
      <c r="G50" s="592"/>
      <c r="H50" s="593"/>
      <c r="I50" s="250"/>
      <c r="J50" s="250"/>
      <c r="K50" s="252">
        <f t="shared" si="1"/>
        <v>203.06077831429934</v>
      </c>
      <c r="L50" s="246">
        <f>IF(C50="",999999,INDEX('House C Data'!$A$1:$AC$300,$B50,L$1))*IF(F50="HS",1.1,1)</f>
        <v>999999</v>
      </c>
    </row>
    <row r="51" spans="1:12" ht="13.5">
      <c r="A51" s="248"/>
      <c r="B51" s="250"/>
      <c r="C51" s="249"/>
      <c r="D51" s="250"/>
      <c r="E51" s="251"/>
      <c r="F51" s="592"/>
      <c r="G51" s="592"/>
      <c r="H51" s="593"/>
      <c r="I51" s="250"/>
      <c r="J51" s="250"/>
      <c r="K51" s="252">
        <f t="shared" si="1"/>
        <v>203.06077831429934</v>
      </c>
      <c r="L51" s="246">
        <f>IF(C51="",999999,INDEX('House C Data'!$A$1:$AC$300,$B51,L$1))*IF(F51="HS",1.1,1)</f>
        <v>999999</v>
      </c>
    </row>
    <row r="52" spans="1:12" ht="13.5">
      <c r="A52" s="248"/>
      <c r="B52" s="250"/>
      <c r="C52" s="249"/>
      <c r="D52" s="250"/>
      <c r="E52" s="251"/>
      <c r="F52" s="592"/>
      <c r="G52" s="592"/>
      <c r="H52" s="593"/>
      <c r="I52" s="250"/>
      <c r="J52" s="250"/>
      <c r="K52" s="252">
        <f t="shared" si="1"/>
        <v>203.06077831429934</v>
      </c>
      <c r="L52" s="246">
        <f>IF(C52="",999999,INDEX('House C Data'!$A$1:$AC$300,$B52,L$1))*IF(F52="HS",1.1,1)</f>
        <v>999999</v>
      </c>
    </row>
    <row r="53" spans="1:12" ht="13.5">
      <c r="A53" s="248"/>
      <c r="B53" s="250"/>
      <c r="C53" s="249"/>
      <c r="D53" s="250"/>
      <c r="E53" s="251"/>
      <c r="F53" s="592"/>
      <c r="G53" s="592"/>
      <c r="H53" s="593"/>
      <c r="I53" s="250"/>
      <c r="J53" s="250"/>
      <c r="K53" s="252">
        <f t="shared" si="1"/>
        <v>203.06077831429934</v>
      </c>
      <c r="L53" s="246">
        <f>IF(C53="",999999,INDEX('House C Data'!$A$1:$AC$300,$B53,L$1))*IF(F53="HS",1.1,1)</f>
        <v>999999</v>
      </c>
    </row>
    <row r="54" spans="1:12" ht="13.5">
      <c r="A54" s="248"/>
      <c r="B54" s="250"/>
      <c r="C54" s="249"/>
      <c r="D54" s="250"/>
      <c r="E54" s="251"/>
      <c r="F54" s="592"/>
      <c r="G54" s="592"/>
      <c r="H54" s="593"/>
      <c r="I54" s="250"/>
      <c r="J54" s="250"/>
      <c r="K54" s="252">
        <f t="shared" si="1"/>
        <v>203.06077831429934</v>
      </c>
      <c r="L54" s="246">
        <f>IF(C54="",999999,INDEX('House C Data'!$A$1:$AC$300,$B54,L$1))*IF(F54="HS",1.1,1)</f>
        <v>999999</v>
      </c>
    </row>
    <row r="55" spans="1:12" ht="13.5">
      <c r="A55" s="248"/>
      <c r="B55" s="250"/>
      <c r="C55" s="249"/>
      <c r="D55" s="250"/>
      <c r="E55" s="251"/>
      <c r="F55" s="592"/>
      <c r="G55" s="592"/>
      <c r="H55" s="593"/>
      <c r="I55" s="250"/>
      <c r="J55" s="250"/>
      <c r="K55" s="252">
        <f t="shared" si="1"/>
        <v>203.06077831429934</v>
      </c>
      <c r="L55" s="246">
        <f>IF(C55="",999999,INDEX('House C Data'!$A$1:$AC$300,$B55,L$1))*IF(F55="HS",1.1,1)</f>
        <v>999999</v>
      </c>
    </row>
    <row r="56" spans="1:12" ht="13.5">
      <c r="A56" s="248"/>
      <c r="B56" s="250"/>
      <c r="C56" s="249"/>
      <c r="D56" s="250"/>
      <c r="E56" s="251"/>
      <c r="F56" s="592"/>
      <c r="G56" s="592"/>
      <c r="H56" s="593"/>
      <c r="I56" s="250"/>
      <c r="J56" s="250"/>
      <c r="K56" s="252">
        <f t="shared" si="1"/>
        <v>203.06077831429934</v>
      </c>
      <c r="L56" s="246">
        <f>IF(C56="",999999,INDEX('House C Data'!$A$1:$AC$300,$B56,L$1))*IF(F56="HS",1.1,1)</f>
        <v>999999</v>
      </c>
    </row>
    <row r="57" spans="1:12" ht="13.5">
      <c r="A57" s="248"/>
      <c r="B57" s="250"/>
      <c r="C57" s="249"/>
      <c r="D57" s="250"/>
      <c r="E57" s="251"/>
      <c r="F57" s="592"/>
      <c r="G57" s="592"/>
      <c r="H57" s="593"/>
      <c r="I57" s="250"/>
      <c r="J57" s="250"/>
      <c r="K57" s="252">
        <f t="shared" si="1"/>
        <v>203.06077831429934</v>
      </c>
      <c r="L57" s="246">
        <f>IF(C57="",999999,INDEX('House C Data'!$A$1:$AC$300,$B57,L$1))*IF(F57="HS",1.1,1)</f>
        <v>999999</v>
      </c>
    </row>
    <row r="58" spans="1:12" ht="13.5">
      <c r="A58" s="248"/>
      <c r="B58" s="250"/>
      <c r="C58" s="249"/>
      <c r="D58" s="250"/>
      <c r="E58" s="251"/>
      <c r="F58" s="592"/>
      <c r="G58" s="592"/>
      <c r="H58" s="593"/>
      <c r="I58" s="250"/>
      <c r="J58" s="250"/>
      <c r="K58" s="252">
        <f t="shared" si="1"/>
        <v>203.06077831429934</v>
      </c>
      <c r="L58" s="246">
        <f>IF(C58="",999999,INDEX('House C Data'!$A$1:$AC$300,$B58,L$1))*IF(F58="HS",1.1,1)</f>
        <v>999999</v>
      </c>
    </row>
    <row r="59" spans="1:12" ht="13.5">
      <c r="A59" s="248"/>
      <c r="B59" s="250"/>
      <c r="C59" s="249"/>
      <c r="D59" s="250"/>
      <c r="E59" s="251"/>
      <c r="F59" s="592"/>
      <c r="G59" s="592"/>
      <c r="H59" s="593"/>
      <c r="I59" s="250"/>
      <c r="J59" s="250"/>
      <c r="K59" s="252">
        <f t="shared" si="1"/>
        <v>203.06077831429934</v>
      </c>
      <c r="L59" s="246">
        <f>IF(C59="",999999,INDEX('House C Data'!$A$1:$AC$300,$B59,L$1))*IF(F59="HS",1.1,1)</f>
        <v>999999</v>
      </c>
    </row>
    <row r="60" spans="1:12" ht="13.5">
      <c r="A60" s="248"/>
      <c r="B60" s="250"/>
      <c r="C60" s="249"/>
      <c r="D60" s="250"/>
      <c r="E60" s="251"/>
      <c r="F60" s="592"/>
      <c r="G60" s="592"/>
      <c r="H60" s="593"/>
      <c r="I60" s="250"/>
      <c r="J60" s="250"/>
      <c r="K60" s="252">
        <f t="shared" si="1"/>
        <v>203.06077831429934</v>
      </c>
      <c r="L60" s="246">
        <f>IF(C60="",999999,INDEX('House C Data'!$A$1:$AC$300,$B60,L$1))*IF(F60="HS",1.1,1)</f>
        <v>999999</v>
      </c>
    </row>
    <row r="61" spans="1:12" ht="13.5">
      <c r="A61" s="248"/>
      <c r="B61" s="250"/>
      <c r="C61" s="249"/>
      <c r="D61" s="250"/>
      <c r="E61" s="251"/>
      <c r="F61" s="592"/>
      <c r="G61" s="592"/>
      <c r="H61" s="593"/>
      <c r="I61" s="250"/>
      <c r="J61" s="250"/>
      <c r="K61" s="252">
        <f t="shared" si="1"/>
        <v>203.06077831429934</v>
      </c>
      <c r="L61" s="246">
        <f>IF(C61="",999999,INDEX('House C Data'!$A$1:$AC$300,$B61,L$1))*IF(F61="HS",1.1,1)</f>
        <v>999999</v>
      </c>
    </row>
    <row r="62" spans="1:12" ht="13.5">
      <c r="A62" s="248"/>
      <c r="B62" s="250"/>
      <c r="C62" s="249"/>
      <c r="D62" s="250"/>
      <c r="E62" s="251"/>
      <c r="F62" s="592"/>
      <c r="G62" s="592"/>
      <c r="H62" s="593"/>
      <c r="I62" s="250"/>
      <c r="J62" s="250"/>
      <c r="K62" s="252">
        <f t="shared" si="1"/>
        <v>203.06077831429934</v>
      </c>
      <c r="L62" s="246">
        <f>IF(C62="",999999,INDEX('House C Data'!$A$1:$AC$300,$B62,L$1))*IF(F62="HS",1.1,1)</f>
        <v>999999</v>
      </c>
    </row>
    <row r="63" spans="1:12" ht="14.25" thickBot="1">
      <c r="A63" s="253"/>
      <c r="B63" s="255"/>
      <c r="C63" s="254"/>
      <c r="D63" s="255"/>
      <c r="E63" s="256"/>
      <c r="F63" s="594"/>
      <c r="G63" s="594"/>
      <c r="H63" s="595"/>
      <c r="I63" s="255"/>
      <c r="J63" s="255"/>
      <c r="K63" s="257">
        <f t="shared" si="1"/>
        <v>203.06077831429934</v>
      </c>
      <c r="L63" s="258">
        <f>IF(C63="",999999,INDEX('House C Data'!$A$1:$AC$300,$B63,L$1))*IF(F63="HS",1.1,1)</f>
        <v>999999</v>
      </c>
    </row>
  </sheetData>
  <sortState ref="B2:L63">
    <sortCondition ref="K2:K63"/>
  </sortState>
  <phoneticPr fontId="77" type="noConversion"/>
  <conditionalFormatting sqref="A2:A63 C2:J63">
    <cfRule type="expression" dxfId="259" priority="4">
      <formula>OR($O2="O.P. warning",$O2="A.S. warning",$O2="P.S. warning")</formula>
    </cfRule>
  </conditionalFormatting>
  <conditionalFormatting sqref="B2:B63">
    <cfRule type="expression" dxfId="258" priority="1">
      <formula>OR($O2="O.P. warning",$O2="A.S. warning",$O2="P.S. warning")</formula>
    </cfRule>
  </conditionalFormatting>
  <pageMargins left="0.51181102362204722" right="0.35433070866141736" top="0.98425196850393704" bottom="0.98425196850393704" header="0.51181102362204722" footer="0.51181102362204722"/>
  <pageSetup paperSize="9" scale="49" orientation="landscape" r:id="rId1"/>
  <headerFooter alignWithMargins="0">
    <oddHeader>&amp;L&amp;F / &amp;A&amp;R&amp;D</oddHeader>
    <oddFooter>&amp;LCONFIDENTIAL&amp;CBARKER JET&amp;RPage &amp;P / &amp;N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72">
    <pageSetUpPr fitToPage="1"/>
  </sheetPr>
  <dimension ref="A1:P300"/>
  <sheetViews>
    <sheetView zoomScaleNormal="100" workbookViewId="0">
      <pane xSplit="1" ySplit="16" topLeftCell="B97" activePane="bottomRight" state="frozen"/>
      <selection activeCell="N11" sqref="N11"/>
      <selection pane="topRight" activeCell="N11" sqref="N11"/>
      <selection pane="bottomLeft" activeCell="N11" sqref="N11"/>
      <selection pane="bottomRight" activeCell="N11" sqref="N11"/>
    </sheetView>
  </sheetViews>
  <sheetFormatPr defaultColWidth="9.140625" defaultRowHeight="12"/>
  <cols>
    <col min="1" max="1" width="18.42578125" style="122" customWidth="1"/>
    <col min="2" max="16384" width="9.140625" style="125"/>
  </cols>
  <sheetData>
    <row r="1" spans="1:16" ht="13.7" customHeight="1">
      <c r="P1" s="125">
        <v>47</v>
      </c>
    </row>
    <row r="2" spans="1:16" s="517" customFormat="1" ht="13.7" customHeight="1">
      <c r="A2" s="516"/>
    </row>
    <row r="3" spans="1:16" ht="13.7" customHeight="1"/>
    <row r="4" spans="1:16" s="517" customFormat="1" ht="13.7" customHeight="1">
      <c r="A4" s="516"/>
    </row>
    <row r="5" spans="1:16" ht="13.7" customHeight="1"/>
    <row r="6" spans="1:16" s="517" customFormat="1" ht="13.7" customHeight="1">
      <c r="A6" s="516"/>
    </row>
    <row r="7" spans="1:16" ht="3" customHeight="1">
      <c r="A7" s="124"/>
    </row>
    <row r="8" spans="1:16" s="121" customFormat="1" ht="3" customHeight="1">
      <c r="A8" s="123"/>
    </row>
    <row r="9" spans="1:16" s="121" customFormat="1" ht="3" customHeight="1">
      <c r="A9" s="123"/>
    </row>
    <row r="10" spans="1:16" s="121" customFormat="1" ht="3" customHeight="1">
      <c r="A10" s="514"/>
    </row>
    <row r="11" spans="1:16" ht="3" customHeight="1">
      <c r="A11" s="120"/>
    </row>
    <row r="12" spans="1:16" ht="13.7" customHeight="1"/>
    <row r="13" spans="1:16" s="517" customFormat="1" ht="13.7" customHeight="1">
      <c r="A13" s="516"/>
    </row>
    <row r="14" spans="1:16" ht="13.7" customHeight="1">
      <c r="A14" s="614" t="s">
        <v>1008</v>
      </c>
    </row>
    <row r="15" spans="1:16" ht="13.7" customHeight="1">
      <c r="A15" s="126"/>
    </row>
    <row r="16" spans="1:16" s="128" customFormat="1" ht="30" customHeight="1">
      <c r="A16" s="127" t="s">
        <v>2</v>
      </c>
      <c r="B16" s="128" t="s">
        <v>675</v>
      </c>
      <c r="D16" s="128" t="s">
        <v>730</v>
      </c>
    </row>
    <row r="17" spans="1:4" ht="12.75" customHeight="1">
      <c r="A17" s="123" t="str">
        <f>'House C Data'!A17</f>
        <v>TESTFAN</v>
      </c>
    </row>
    <row r="18" spans="1:4" ht="13.7" customHeight="1">
      <c r="A18" s="123" t="str">
        <f>'House C Data'!A18</f>
        <v>XOE 96-35</v>
      </c>
      <c r="B18" s="125" t="b">
        <f>IF(AND(A18&lt;&gt;0,OR(Pt_in_SU&lt;='Fan Hydraulic Data'!$AI18,Ps_in_SU&lt;='Fan Hydraulic Data'!$AI18),OR(Pt_in_SU&lt;='Fan Hydraulic Data'!$AI18,Ps_in_SU&lt;='Fan Hydraulic Data'!$AI18),Q_in_SU&lt;='Fan Hydraulic Data'!$AK18,Q_in_SU&gt;='Fan Hydraulic Data'!$AL18),TRUE,FALSE)</f>
        <v>1</v>
      </c>
      <c r="D18" s="122" t="b">
        <f>IF(OR(A18=0,ISERROR('Fan Hydraulic Data'!B18)),FALSE,TRUE)</f>
        <v>1</v>
      </c>
    </row>
    <row r="19" spans="1:4">
      <c r="A19" s="123" t="str">
        <f>'House C Data'!A19</f>
        <v>XOE 116-35</v>
      </c>
      <c r="B19" s="125" t="b">
        <f>IF(AND(A19&lt;&gt;0,OR(Pt_in_SU&lt;='Fan Hydraulic Data'!$AI19,Ps_in_SU&lt;='Fan Hydraulic Data'!$AI19),OR(Pt_in_SU&lt;='Fan Hydraulic Data'!$AI19,Ps_in_SU&lt;='Fan Hydraulic Data'!$AI19),Q_in_SU&lt;='Fan Hydraulic Data'!$AK19,Q_in_SU&gt;='Fan Hydraulic Data'!$AL19),TRUE,FALSE)</f>
        <v>1</v>
      </c>
      <c r="D19" s="122" t="b">
        <f>IF(OR(A19=0,ISERROR('Fan Hydraulic Data'!B19)),FALSE,TRUE)</f>
        <v>1</v>
      </c>
    </row>
    <row r="20" spans="1:4">
      <c r="A20" s="123" t="str">
        <f>'House C Data'!A20</f>
        <v>XOE 116-40</v>
      </c>
      <c r="B20" s="125" t="b">
        <f>IF(AND(A20&lt;&gt;0,OR(Pt_in_SU&lt;='Fan Hydraulic Data'!$AI20,Ps_in_SU&lt;='Fan Hydraulic Data'!$AI20),OR(Pt_in_SU&lt;='Fan Hydraulic Data'!$AI20,Ps_in_SU&lt;='Fan Hydraulic Data'!$AI20),Q_in_SU&lt;='Fan Hydraulic Data'!$AK20,Q_in_SU&gt;='Fan Hydraulic Data'!$AL20),TRUE,FALSE)</f>
        <v>1</v>
      </c>
      <c r="D20" s="122" t="b">
        <f>IF(OR(A20=0,ISERROR('Fan Hydraulic Data'!B20)),FALSE,TRUE)</f>
        <v>1</v>
      </c>
    </row>
    <row r="21" spans="1:4">
      <c r="A21" s="123" t="str">
        <f>'House C Data'!A21</f>
        <v>XOE 116-60</v>
      </c>
      <c r="B21" s="125" t="b">
        <f>IF(AND(A21&lt;&gt;0,OR(Pt_in_SU&lt;='Fan Hydraulic Data'!$AI21,Ps_in_SU&lt;='Fan Hydraulic Data'!$AI21),OR(Pt_in_SU&lt;='Fan Hydraulic Data'!$AI21,Ps_in_SU&lt;='Fan Hydraulic Data'!$AI21),Q_in_SU&lt;='Fan Hydraulic Data'!$AK21,Q_in_SU&gt;='Fan Hydraulic Data'!$AL21),TRUE,FALSE)</f>
        <v>1</v>
      </c>
      <c r="D21" s="122" t="b">
        <f>IF(OR(A21=0,ISERROR('Fan Hydraulic Data'!B21)),FALSE,TRUE)</f>
        <v>1</v>
      </c>
    </row>
    <row r="22" spans="1:4">
      <c r="A22" s="123" t="str">
        <f>'House C Data'!A22</f>
        <v>XOE 116-60A</v>
      </c>
      <c r="B22" s="125" t="b">
        <f>IF(AND(A22&lt;&gt;0,OR(Pt_in_SU&lt;='Fan Hydraulic Data'!$AI22,Ps_in_SU&lt;='Fan Hydraulic Data'!$AI22),OR(Pt_in_SU&lt;='Fan Hydraulic Data'!$AI22,Ps_in_SU&lt;='Fan Hydraulic Data'!$AI22),Q_in_SU&lt;='Fan Hydraulic Data'!$AK22,Q_in_SU&gt;='Fan Hydraulic Data'!$AL22),TRUE,FALSE)</f>
        <v>1</v>
      </c>
      <c r="D22" s="122" t="b">
        <f>IF(OR(A22=0,ISERROR('Fan Hydraulic Data'!B22)),FALSE,TRUE)</f>
        <v>1</v>
      </c>
    </row>
    <row r="23" spans="1:4">
      <c r="A23" s="123" t="str">
        <f>'House C Data'!A23</f>
        <v>XOE 138-45</v>
      </c>
      <c r="B23" s="125" t="b">
        <f>IF(AND(A23&lt;&gt;0,OR(Pt_in_SU&lt;='Fan Hydraulic Data'!$AI23,Ps_in_SU&lt;='Fan Hydraulic Data'!$AI23),OR(Pt_in_SU&lt;='Fan Hydraulic Data'!$AI23,Ps_in_SU&lt;='Fan Hydraulic Data'!$AI23),Q_in_SU&lt;='Fan Hydraulic Data'!$AK23,Q_in_SU&gt;='Fan Hydraulic Data'!$AL23),TRUE,FALSE)</f>
        <v>0</v>
      </c>
      <c r="D23" s="122" t="b">
        <f>IF(OR(A23=0,ISERROR('Fan Hydraulic Data'!B23)),FALSE,TRUE)</f>
        <v>1</v>
      </c>
    </row>
    <row r="24" spans="1:4">
      <c r="A24" s="123" t="str">
        <f>'House C Data'!A24</f>
        <v>XOE 135-45</v>
      </c>
      <c r="B24" s="125" t="b">
        <f>IF(AND(A24&lt;&gt;0,OR(Pt_in_SU&lt;='Fan Hydraulic Data'!$AI24,Ps_in_SU&lt;='Fan Hydraulic Data'!$AI24),OR(Pt_in_SU&lt;='Fan Hydraulic Data'!$AI24,Ps_in_SU&lt;='Fan Hydraulic Data'!$AI24),Q_in_SU&lt;='Fan Hydraulic Data'!$AK24,Q_in_SU&gt;='Fan Hydraulic Data'!$AL24),TRUE,FALSE)</f>
        <v>1</v>
      </c>
      <c r="D24" s="122" t="b">
        <f>IF(OR(A24=0,ISERROR('Fan Hydraulic Data'!B24)),FALSE,TRUE)</f>
        <v>1</v>
      </c>
    </row>
    <row r="25" spans="1:4">
      <c r="A25" s="123" t="str">
        <f>'House C Data'!A25</f>
        <v>XOE 135-45A</v>
      </c>
      <c r="B25" s="125" t="b">
        <f>IF(AND(A25&lt;&gt;0,OR(Pt_in_SU&lt;='Fan Hydraulic Data'!$AI25,Ps_in_SU&lt;='Fan Hydraulic Data'!$AI25),OR(Pt_in_SU&lt;='Fan Hydraulic Data'!$AI25,Ps_in_SU&lt;='Fan Hydraulic Data'!$AI25),Q_in_SU&lt;='Fan Hydraulic Data'!$AK25,Q_in_SU&gt;='Fan Hydraulic Data'!$AL25),TRUE,FALSE)</f>
        <v>1</v>
      </c>
      <c r="D25" s="122" t="b">
        <f>IF(OR(A25=0,ISERROR('Fan Hydraulic Data'!B25)),FALSE,TRUE)</f>
        <v>1</v>
      </c>
    </row>
    <row r="26" spans="1:4">
      <c r="A26" s="123" t="str">
        <f>'House C Data'!A26</f>
        <v>XOE 135-55</v>
      </c>
      <c r="B26" s="125" t="b">
        <f>IF(AND(A26&lt;&gt;0,OR(Pt_in_SU&lt;='Fan Hydraulic Data'!$AI26,Ps_in_SU&lt;='Fan Hydraulic Data'!$AI26),OR(Pt_in_SU&lt;='Fan Hydraulic Data'!$AI26,Ps_in_SU&lt;='Fan Hydraulic Data'!$AI26),Q_in_SU&lt;='Fan Hydraulic Data'!$AK26,Q_in_SU&gt;='Fan Hydraulic Data'!$AL26),TRUE,FALSE)</f>
        <v>1</v>
      </c>
      <c r="D26" s="122" t="b">
        <f>IF(OR(A26=0,ISERROR('Fan Hydraulic Data'!B26)),FALSE,TRUE)</f>
        <v>1</v>
      </c>
    </row>
    <row r="27" spans="1:4">
      <c r="A27" s="123" t="str">
        <f>'House C Data'!A27</f>
        <v>XOE 135-65</v>
      </c>
      <c r="B27" s="125" t="b">
        <f>IF(AND(A27&lt;&gt;0,OR(Pt_in_SU&lt;='Fan Hydraulic Data'!$AI27,Ps_in_SU&lt;='Fan Hydraulic Data'!$AI27),OR(Pt_in_SU&lt;='Fan Hydraulic Data'!$AI27,Ps_in_SU&lt;='Fan Hydraulic Data'!$AI27),Q_in_SU&lt;='Fan Hydraulic Data'!$AK27,Q_in_SU&gt;='Fan Hydraulic Data'!$AL27),TRUE,FALSE)</f>
        <v>1</v>
      </c>
      <c r="D27" s="122" t="b">
        <f>IF(OR(A27=0,ISERROR('Fan Hydraulic Data'!B27)),FALSE,TRUE)</f>
        <v>1</v>
      </c>
    </row>
    <row r="28" spans="1:4">
      <c r="A28" s="123" t="str">
        <f>'House C Data'!A28</f>
        <v>XOE 153-55</v>
      </c>
      <c r="B28" s="125" t="b">
        <f>IF(AND(A28&lt;&gt;0,OR(Pt_in_SU&lt;='Fan Hydraulic Data'!$AI28,Ps_in_SU&lt;='Fan Hydraulic Data'!$AI28),OR(Pt_in_SU&lt;='Fan Hydraulic Data'!$AI28,Ps_in_SU&lt;='Fan Hydraulic Data'!$AI28),Q_in_SU&lt;='Fan Hydraulic Data'!$AK28,Q_in_SU&gt;='Fan Hydraulic Data'!$AL28),TRUE,FALSE)</f>
        <v>1</v>
      </c>
      <c r="D28" s="122" t="b">
        <f>IF(OR(A28=0,ISERROR('Fan Hydraulic Data'!B28)),FALSE,TRUE)</f>
        <v>1</v>
      </c>
    </row>
    <row r="29" spans="1:4">
      <c r="A29" s="123" t="str">
        <f>'House C Data'!A29</f>
        <v>XOE 153-63</v>
      </c>
      <c r="B29" s="125" t="b">
        <f>IF(AND(A29&lt;&gt;0,OR(Pt_in_SU&lt;='Fan Hydraulic Data'!$AI29,Ps_in_SU&lt;='Fan Hydraulic Data'!$AI29),OR(Pt_in_SU&lt;='Fan Hydraulic Data'!$AI29,Ps_in_SU&lt;='Fan Hydraulic Data'!$AI29),Q_in_SU&lt;='Fan Hydraulic Data'!$AK29,Q_in_SU&gt;='Fan Hydraulic Data'!$AL29),TRUE,FALSE)</f>
        <v>1</v>
      </c>
      <c r="D29" s="122" t="b">
        <f>IF(OR(A29=0,ISERROR('Fan Hydraulic Data'!B29)),FALSE,TRUE)</f>
        <v>1</v>
      </c>
    </row>
    <row r="30" spans="1:4">
      <c r="A30" s="123" t="str">
        <f>'House C Data'!A30</f>
        <v>XOE 153-70</v>
      </c>
      <c r="B30" s="125" t="b">
        <f>IF(AND(A30&lt;&gt;0,OR(Pt_in_SU&lt;='Fan Hydraulic Data'!$AI30,Ps_in_SU&lt;='Fan Hydraulic Data'!$AI30),OR(Pt_in_SU&lt;='Fan Hydraulic Data'!$AI30,Ps_in_SU&lt;='Fan Hydraulic Data'!$AI30),Q_in_SU&lt;='Fan Hydraulic Data'!$AK30,Q_in_SU&gt;='Fan Hydraulic Data'!$AL30),TRUE,FALSE)</f>
        <v>1</v>
      </c>
      <c r="D30" s="122" t="b">
        <f>IF(OR(A30=0,ISERROR('Fan Hydraulic Data'!B30)),FALSE,TRUE)</f>
        <v>1</v>
      </c>
    </row>
    <row r="31" spans="1:4">
      <c r="A31" s="123" t="str">
        <f>'House C Data'!A31</f>
        <v>XOE 153-70A</v>
      </c>
      <c r="B31" s="125" t="b">
        <f>IF(AND(A31&lt;&gt;0,OR(Pt_in_SU&lt;='Fan Hydraulic Data'!$AI31,Ps_in_SU&lt;='Fan Hydraulic Data'!$AI31),OR(Pt_in_SU&lt;='Fan Hydraulic Data'!$AI31,Ps_in_SU&lt;='Fan Hydraulic Data'!$AI31),Q_in_SU&lt;='Fan Hydraulic Data'!$AK31,Q_in_SU&gt;='Fan Hydraulic Data'!$AL31),TRUE,FALSE)</f>
        <v>1</v>
      </c>
      <c r="D31" s="122" t="b">
        <f>IF(OR(A31=0,ISERROR('Fan Hydraulic Data'!B31)),FALSE,TRUE)</f>
        <v>1</v>
      </c>
    </row>
    <row r="32" spans="1:4">
      <c r="A32" s="123" t="str">
        <f>'House C Data'!A32</f>
        <v>XOE 166-45</v>
      </c>
      <c r="B32" s="125" t="b">
        <f>IF(AND(A32&lt;&gt;0,OR(Pt_in_SU&lt;='Fan Hydraulic Data'!$AI32,Ps_in_SU&lt;='Fan Hydraulic Data'!$AI32),OR(Pt_in_SU&lt;='Fan Hydraulic Data'!$AI32,Ps_in_SU&lt;='Fan Hydraulic Data'!$AI32),Q_in_SU&lt;='Fan Hydraulic Data'!$AK32,Q_in_SU&gt;='Fan Hydraulic Data'!$AL32),TRUE,FALSE)</f>
        <v>1</v>
      </c>
      <c r="D32" s="122" t="b">
        <f>IF(OR(A32=0,ISERROR('Fan Hydraulic Data'!B32)),FALSE,TRUE)</f>
        <v>1</v>
      </c>
    </row>
    <row r="33" spans="1:4">
      <c r="A33" s="123" t="str">
        <f>'House C Data'!A33</f>
        <v>XOE 166-45A</v>
      </c>
      <c r="B33" s="125" t="b">
        <f>IF(AND(A33&lt;&gt;0,OR(Pt_in_SU&lt;='Fan Hydraulic Data'!$AI33,Ps_in_SU&lt;='Fan Hydraulic Data'!$AI33),OR(Pt_in_SU&lt;='Fan Hydraulic Data'!$AI33,Ps_in_SU&lt;='Fan Hydraulic Data'!$AI33),Q_in_SU&lt;='Fan Hydraulic Data'!$AK33,Q_in_SU&gt;='Fan Hydraulic Data'!$AL33),TRUE,FALSE)</f>
        <v>1</v>
      </c>
      <c r="D33" s="122" t="b">
        <f>IF(OR(A33=0,ISERROR('Fan Hydraulic Data'!B33)),FALSE,TRUE)</f>
        <v>1</v>
      </c>
    </row>
    <row r="34" spans="1:4">
      <c r="A34" s="123" t="str">
        <f>'House C Data'!A34</f>
        <v>XOE 166-50</v>
      </c>
      <c r="B34" s="125" t="b">
        <f>IF(AND(A34&lt;&gt;0,OR(Pt_in_SU&lt;='Fan Hydraulic Data'!$AI34,Ps_in_SU&lt;='Fan Hydraulic Data'!$AI34),OR(Pt_in_SU&lt;='Fan Hydraulic Data'!$AI34,Ps_in_SU&lt;='Fan Hydraulic Data'!$AI34),Q_in_SU&lt;='Fan Hydraulic Data'!$AK34,Q_in_SU&gt;='Fan Hydraulic Data'!$AL34),TRUE,FALSE)</f>
        <v>0</v>
      </c>
      <c r="D34" s="122" t="b">
        <f>IF(OR(A34=0,ISERROR('Fan Hydraulic Data'!B34)),FALSE,TRUE)</f>
        <v>1</v>
      </c>
    </row>
    <row r="35" spans="1:4">
      <c r="A35" s="123" t="str">
        <f>'House C Data'!A35</f>
        <v>XOE 166-50A</v>
      </c>
      <c r="B35" s="125" t="b">
        <f>IF(AND(A35&lt;&gt;0,OR(Pt_in_SU&lt;='Fan Hydraulic Data'!$AI35,Ps_in_SU&lt;='Fan Hydraulic Data'!$AI35),OR(Pt_in_SU&lt;='Fan Hydraulic Data'!$AI35,Ps_in_SU&lt;='Fan Hydraulic Data'!$AI35),Q_in_SU&lt;='Fan Hydraulic Data'!$AK35,Q_in_SU&gt;='Fan Hydraulic Data'!$AL35),TRUE,FALSE)</f>
        <v>1</v>
      </c>
      <c r="D35" s="122" t="b">
        <f>IF(OR(A35=0,ISERROR('Fan Hydraulic Data'!B35)),FALSE,TRUE)</f>
        <v>1</v>
      </c>
    </row>
    <row r="36" spans="1:4">
      <c r="A36" s="123" t="str">
        <f>'House C Data'!A36</f>
        <v>XOE 166-55</v>
      </c>
      <c r="B36" s="125" t="b">
        <f>IF(AND(A36&lt;&gt;0,OR(Pt_in_SU&lt;='Fan Hydraulic Data'!$AI36,Ps_in_SU&lt;='Fan Hydraulic Data'!$AI36),OR(Pt_in_SU&lt;='Fan Hydraulic Data'!$AI36,Ps_in_SU&lt;='Fan Hydraulic Data'!$AI36),Q_in_SU&lt;='Fan Hydraulic Data'!$AK36,Q_in_SU&gt;='Fan Hydraulic Data'!$AL36),TRUE,FALSE)</f>
        <v>1</v>
      </c>
      <c r="D36" s="122" t="b">
        <f>IF(OR(A36=0,ISERROR('Fan Hydraulic Data'!B36)),FALSE,TRUE)</f>
        <v>1</v>
      </c>
    </row>
    <row r="37" spans="1:4">
      <c r="A37" s="123" t="str">
        <f>'House C Data'!A37</f>
        <v>XOE 166-60</v>
      </c>
      <c r="B37" s="125" t="b">
        <f>IF(AND(A37&lt;&gt;0,OR(Pt_in_SU&lt;='Fan Hydraulic Data'!$AI37,Ps_in_SU&lt;='Fan Hydraulic Data'!$AI37),OR(Pt_in_SU&lt;='Fan Hydraulic Data'!$AI37,Ps_in_SU&lt;='Fan Hydraulic Data'!$AI37),Q_in_SU&lt;='Fan Hydraulic Data'!$AK37,Q_in_SU&gt;='Fan Hydraulic Data'!$AL37),TRUE,FALSE)</f>
        <v>1</v>
      </c>
      <c r="D37" s="122" t="b">
        <f>IF(OR(A37=0,ISERROR('Fan Hydraulic Data'!B37)),FALSE,TRUE)</f>
        <v>1</v>
      </c>
    </row>
    <row r="38" spans="1:4">
      <c r="A38" s="123" t="str">
        <f>'House C Data'!A38</f>
        <v>XOE 166-70</v>
      </c>
      <c r="B38" s="125" t="b">
        <f>IF(AND(A38&lt;&gt;0,OR(Pt_in_SU&lt;='Fan Hydraulic Data'!$AI38,Ps_in_SU&lt;='Fan Hydraulic Data'!$AI38),OR(Pt_in_SU&lt;='Fan Hydraulic Data'!$AI38,Ps_in_SU&lt;='Fan Hydraulic Data'!$AI38),Q_in_SU&lt;='Fan Hydraulic Data'!$AK38,Q_in_SU&gt;='Fan Hydraulic Data'!$AL38),TRUE,FALSE)</f>
        <v>1</v>
      </c>
      <c r="D38" s="122" t="b">
        <f>IF(OR(A38=0,ISERROR('Fan Hydraulic Data'!B38)),FALSE,TRUE)</f>
        <v>1</v>
      </c>
    </row>
    <row r="39" spans="1:4">
      <c r="A39" s="123" t="str">
        <f>'House C Data'!A39</f>
        <v>XOE 166-63</v>
      </c>
      <c r="B39" s="125" t="b">
        <f>IF(AND(A39&lt;&gt;0,OR(Pt_in_SU&lt;='Fan Hydraulic Data'!$AI39,Ps_in_SU&lt;='Fan Hydraulic Data'!$AI39),OR(Pt_in_SU&lt;='Fan Hydraulic Data'!$AI39,Ps_in_SU&lt;='Fan Hydraulic Data'!$AI39),Q_in_SU&lt;='Fan Hydraulic Data'!$AK39,Q_in_SU&gt;='Fan Hydraulic Data'!$AL39),TRUE,FALSE)</f>
        <v>1</v>
      </c>
      <c r="D39" s="122" t="b">
        <f>IF(OR(A39=0,ISERROR('Fan Hydraulic Data'!B39)),FALSE,TRUE)</f>
        <v>1</v>
      </c>
    </row>
    <row r="40" spans="1:4">
      <c r="A40" s="123" t="str">
        <f>'House C Data'!A40</f>
        <v>XOE 166-80</v>
      </c>
      <c r="B40" s="125" t="b">
        <f>IF(AND(A40&lt;&gt;0,OR(Pt_in_SU&lt;='Fan Hydraulic Data'!$AI40,Ps_in_SU&lt;='Fan Hydraulic Data'!$AI40),OR(Pt_in_SU&lt;='Fan Hydraulic Data'!$AI40,Ps_in_SU&lt;='Fan Hydraulic Data'!$AI40),Q_in_SU&lt;='Fan Hydraulic Data'!$AK40,Q_in_SU&gt;='Fan Hydraulic Data'!$AL40),TRUE,FALSE)</f>
        <v>1</v>
      </c>
      <c r="D40" s="122" t="b">
        <f>IF(OR(A40=0,ISERROR('Fan Hydraulic Data'!B40)),FALSE,TRUE)</f>
        <v>1</v>
      </c>
    </row>
    <row r="41" spans="1:4">
      <c r="A41" s="123" t="str">
        <f>'House C Data'!A41</f>
        <v>XOE 181-45</v>
      </c>
      <c r="B41" s="125" t="b">
        <f>IF(AND(A41&lt;&gt;0,OR(Pt_in_SU&lt;='Fan Hydraulic Data'!$AI41,Ps_in_SU&lt;='Fan Hydraulic Data'!$AI41),OR(Pt_in_SU&lt;='Fan Hydraulic Data'!$AI41,Ps_in_SU&lt;='Fan Hydraulic Data'!$AI41),Q_in_SU&lt;='Fan Hydraulic Data'!$AK41,Q_in_SU&gt;='Fan Hydraulic Data'!$AL41),TRUE,FALSE)</f>
        <v>1</v>
      </c>
      <c r="D41" s="122" t="b">
        <f>IF(OR(A41=0,ISERROR('Fan Hydraulic Data'!B41)),FALSE,TRUE)</f>
        <v>1</v>
      </c>
    </row>
    <row r="42" spans="1:4">
      <c r="A42" s="123" t="str">
        <f>'House C Data'!A42</f>
        <v>XOE 191-55</v>
      </c>
      <c r="B42" s="125" t="b">
        <f>IF(AND(A42&lt;&gt;0,OR(Pt_in_SU&lt;='Fan Hydraulic Data'!$AI42,Ps_in_SU&lt;='Fan Hydraulic Data'!$AI42),OR(Pt_in_SU&lt;='Fan Hydraulic Data'!$AI42,Ps_in_SU&lt;='Fan Hydraulic Data'!$AI42),Q_in_SU&lt;='Fan Hydraulic Data'!$AK42,Q_in_SU&gt;='Fan Hydraulic Data'!$AL42),TRUE,FALSE)</f>
        <v>1</v>
      </c>
      <c r="D42" s="122" t="b">
        <f>IF(OR(A42=0,ISERROR('Fan Hydraulic Data'!B42)),FALSE,TRUE)</f>
        <v>1</v>
      </c>
    </row>
    <row r="43" spans="1:4">
      <c r="A43" s="123" t="str">
        <f>'House C Data'!A43</f>
        <v>XOE 191-60</v>
      </c>
      <c r="B43" s="125" t="b">
        <f>IF(AND(A43&lt;&gt;0,OR(Pt_in_SU&lt;='Fan Hydraulic Data'!$AI43,Ps_in_SU&lt;='Fan Hydraulic Data'!$AI43),OR(Pt_in_SU&lt;='Fan Hydraulic Data'!$AI43,Ps_in_SU&lt;='Fan Hydraulic Data'!$AI43),Q_in_SU&lt;='Fan Hydraulic Data'!$AK43,Q_in_SU&gt;='Fan Hydraulic Data'!$AL43),TRUE,FALSE)</f>
        <v>1</v>
      </c>
      <c r="D43" s="122" t="b">
        <f>IF(OR(A43=0,ISERROR('Fan Hydraulic Data'!B43)),FALSE,TRUE)</f>
        <v>1</v>
      </c>
    </row>
    <row r="44" spans="1:4">
      <c r="A44" s="123" t="str">
        <f>'House C Data'!A44</f>
        <v>XOE 191-63</v>
      </c>
      <c r="B44" s="125" t="b">
        <f>IF(AND(A44&lt;&gt;0,OR(Pt_in_SU&lt;='Fan Hydraulic Data'!$AI44,Ps_in_SU&lt;='Fan Hydraulic Data'!$AI44),OR(Pt_in_SU&lt;='Fan Hydraulic Data'!$AI44,Ps_in_SU&lt;='Fan Hydraulic Data'!$AI44),Q_in_SU&lt;='Fan Hydraulic Data'!$AK44,Q_in_SU&gt;='Fan Hydraulic Data'!$AL44),TRUE,FALSE)</f>
        <v>1</v>
      </c>
      <c r="D44" s="122" t="b">
        <f>IF(OR(A44=0,ISERROR('Fan Hydraulic Data'!B44)),FALSE,TRUE)</f>
        <v>1</v>
      </c>
    </row>
    <row r="45" spans="1:4">
      <c r="A45" s="123" t="str">
        <f>'House C Data'!A45</f>
        <v>XOE 191-80</v>
      </c>
      <c r="B45" s="125" t="b">
        <f>IF(AND(A45&lt;&gt;0,OR(Pt_in_SU&lt;='Fan Hydraulic Data'!$AI45,Ps_in_SU&lt;='Fan Hydraulic Data'!$AI45),OR(Pt_in_SU&lt;='Fan Hydraulic Data'!$AI45,Ps_in_SU&lt;='Fan Hydraulic Data'!$AI45),Q_in_SU&lt;='Fan Hydraulic Data'!$AK45,Q_in_SU&gt;='Fan Hydraulic Data'!$AL45),TRUE,FALSE)</f>
        <v>1</v>
      </c>
      <c r="D45" s="122" t="b">
        <f>IF(OR(A45=0,ISERROR('Fan Hydraulic Data'!B45)),FALSE,TRUE)</f>
        <v>1</v>
      </c>
    </row>
    <row r="46" spans="1:4">
      <c r="A46" s="123" t="str">
        <f>'House C Data'!A46</f>
        <v>XOE 191-80A</v>
      </c>
      <c r="B46" s="125" t="b">
        <f>IF(AND(A46&lt;&gt;0,OR(Pt_in_SU&lt;='Fan Hydraulic Data'!$AI46,Ps_in_SU&lt;='Fan Hydraulic Data'!$AI46),OR(Pt_in_SU&lt;='Fan Hydraulic Data'!$AI46,Ps_in_SU&lt;='Fan Hydraulic Data'!$AI46),Q_in_SU&lt;='Fan Hydraulic Data'!$AK46,Q_in_SU&gt;='Fan Hydraulic Data'!$AL46),TRUE,FALSE)</f>
        <v>1</v>
      </c>
      <c r="D46" s="122" t="b">
        <f>IF(OR(A46=0,ISERROR('Fan Hydraulic Data'!B46)),FALSE,TRUE)</f>
        <v>1</v>
      </c>
    </row>
    <row r="47" spans="1:4">
      <c r="A47" s="123" t="str">
        <f>'House C Data'!A47</f>
        <v>XOE 191-85</v>
      </c>
      <c r="B47" s="125" t="b">
        <f>IF(AND(A47&lt;&gt;0,OR(Pt_in_SU&lt;='Fan Hydraulic Data'!$AI47,Ps_in_SU&lt;='Fan Hydraulic Data'!$AI47),OR(Pt_in_SU&lt;='Fan Hydraulic Data'!$AI47,Ps_in_SU&lt;='Fan Hydraulic Data'!$AI47),Q_in_SU&lt;='Fan Hydraulic Data'!$AK47,Q_in_SU&gt;='Fan Hydraulic Data'!$AL47),TRUE,FALSE)</f>
        <v>0</v>
      </c>
      <c r="D47" s="122" t="b">
        <f>IF(OR(A47=0,ISERROR('Fan Hydraulic Data'!B47)),FALSE,TRUE)</f>
        <v>1</v>
      </c>
    </row>
    <row r="48" spans="1:4">
      <c r="A48" s="123" t="str">
        <f>'House C Data'!A48</f>
        <v>XOE 210-60</v>
      </c>
      <c r="B48" s="125" t="b">
        <f>IF(AND(A48&lt;&gt;0,OR(Pt_in_SU&lt;='Fan Hydraulic Data'!$AI48,Ps_in_SU&lt;='Fan Hydraulic Data'!$AI48),OR(Pt_in_SU&lt;='Fan Hydraulic Data'!$AI48,Ps_in_SU&lt;='Fan Hydraulic Data'!$AI48),Q_in_SU&lt;='Fan Hydraulic Data'!$AK48,Q_in_SU&gt;='Fan Hydraulic Data'!$AL48),TRUE,FALSE)</f>
        <v>1</v>
      </c>
      <c r="D48" s="122" t="b">
        <f>IF(OR(A48=0,ISERROR('Fan Hydraulic Data'!B48)),FALSE,TRUE)</f>
        <v>1</v>
      </c>
    </row>
    <row r="49" spans="1:4">
      <c r="A49" s="123" t="str">
        <f>'House C Data'!A49</f>
        <v>XOE 210-60A</v>
      </c>
      <c r="B49" s="125" t="b">
        <f>IF(AND(A49&lt;&gt;0,OR(Pt_in_SU&lt;='Fan Hydraulic Data'!$AI49,Ps_in_SU&lt;='Fan Hydraulic Data'!$AI49),OR(Pt_in_SU&lt;='Fan Hydraulic Data'!$AI49,Ps_in_SU&lt;='Fan Hydraulic Data'!$AI49),Q_in_SU&lt;='Fan Hydraulic Data'!$AK49,Q_in_SU&gt;='Fan Hydraulic Data'!$AL49),TRUE,FALSE)</f>
        <v>1</v>
      </c>
      <c r="D49" s="122" t="b">
        <f>IF(OR(A49=0,ISERROR('Fan Hydraulic Data'!B49)),FALSE,TRUE)</f>
        <v>1</v>
      </c>
    </row>
    <row r="50" spans="1:4">
      <c r="A50" s="123" t="str">
        <f>'House C Data'!A50</f>
        <v>XOE 210-63</v>
      </c>
      <c r="B50" s="125" t="b">
        <f>IF(AND(A50&lt;&gt;0,OR(Pt_in_SU&lt;='Fan Hydraulic Data'!$AI50,Ps_in_SU&lt;='Fan Hydraulic Data'!$AI50),OR(Pt_in_SU&lt;='Fan Hydraulic Data'!$AI50,Ps_in_SU&lt;='Fan Hydraulic Data'!$AI50),Q_in_SU&lt;='Fan Hydraulic Data'!$AK50,Q_in_SU&gt;='Fan Hydraulic Data'!$AL50),TRUE,FALSE)</f>
        <v>1</v>
      </c>
      <c r="D50" s="122" t="b">
        <f>IF(OR(A50=0,ISERROR('Fan Hydraulic Data'!B50)),FALSE,TRUE)</f>
        <v>1</v>
      </c>
    </row>
    <row r="51" spans="1:4">
      <c r="A51" s="123" t="str">
        <f>'House C Data'!A51</f>
        <v>XOE 210-75</v>
      </c>
      <c r="B51" s="125" t="b">
        <f>IF(AND(A51&lt;&gt;0,OR(Pt_in_SU&lt;='Fan Hydraulic Data'!$AI51,Ps_in_SU&lt;='Fan Hydraulic Data'!$AI51),OR(Pt_in_SU&lt;='Fan Hydraulic Data'!$AI51,Ps_in_SU&lt;='Fan Hydraulic Data'!$AI51),Q_in_SU&lt;='Fan Hydraulic Data'!$AK51,Q_in_SU&gt;='Fan Hydraulic Data'!$AL51),TRUE,FALSE)</f>
        <v>1</v>
      </c>
      <c r="D51" s="122" t="b">
        <f>IF(OR(A51=0,ISERROR('Fan Hydraulic Data'!B51)),FALSE,TRUE)</f>
        <v>1</v>
      </c>
    </row>
    <row r="52" spans="1:4">
      <c r="A52" s="123" t="str">
        <f>'House C Data'!A52</f>
        <v>XOE 210-95</v>
      </c>
      <c r="B52" s="125" t="b">
        <f>IF(AND(A52&lt;&gt;0,OR(Pt_in_SU&lt;='Fan Hydraulic Data'!$AI52,Ps_in_SU&lt;='Fan Hydraulic Data'!$AI52),OR(Pt_in_SU&lt;='Fan Hydraulic Data'!$AI52,Ps_in_SU&lt;='Fan Hydraulic Data'!$AI52),Q_in_SU&lt;='Fan Hydraulic Data'!$AK52,Q_in_SU&gt;='Fan Hydraulic Data'!$AL52),TRUE,FALSE)</f>
        <v>0</v>
      </c>
      <c r="D52" s="122" t="b">
        <f>IF(OR(A52=0,ISERROR('Fan Hydraulic Data'!B52)),FALSE,TRUE)</f>
        <v>1</v>
      </c>
    </row>
    <row r="53" spans="1:4">
      <c r="A53" s="123" t="str">
        <f>'House C Data'!A53</f>
        <v>XOE 210-95A</v>
      </c>
      <c r="B53" s="125" t="b">
        <f>IF(AND(A53&lt;&gt;0,OR(Pt_in_SU&lt;='Fan Hydraulic Data'!$AI53,Ps_in_SU&lt;='Fan Hydraulic Data'!$AI53),OR(Pt_in_SU&lt;='Fan Hydraulic Data'!$AI53,Ps_in_SU&lt;='Fan Hydraulic Data'!$AI53),Q_in_SU&lt;='Fan Hydraulic Data'!$AK53,Q_in_SU&gt;='Fan Hydraulic Data'!$AL53),TRUE,FALSE)</f>
        <v>0</v>
      </c>
      <c r="D53" s="122" t="b">
        <f>IF(OR(A53=0,ISERROR('Fan Hydraulic Data'!B53)),FALSE,TRUE)</f>
        <v>1</v>
      </c>
    </row>
    <row r="54" spans="1:4">
      <c r="A54" s="123" t="str">
        <f>'House C Data'!A54</f>
        <v>XOE 210-90</v>
      </c>
      <c r="B54" s="125" t="b">
        <f>IF(AND(A54&lt;&gt;0,OR(Pt_in_SU&lt;='Fan Hydraulic Data'!$AI54,Ps_in_SU&lt;='Fan Hydraulic Data'!$AI54),OR(Pt_in_SU&lt;='Fan Hydraulic Data'!$AI54,Ps_in_SU&lt;='Fan Hydraulic Data'!$AI54),Q_in_SU&lt;='Fan Hydraulic Data'!$AK54,Q_in_SU&gt;='Fan Hydraulic Data'!$AL54),TRUE,FALSE)</f>
        <v>0</v>
      </c>
      <c r="D54" s="122" t="b">
        <f>IF(OR(A54=0,ISERROR('Fan Hydraulic Data'!B54)),FALSE,TRUE)</f>
        <v>1</v>
      </c>
    </row>
    <row r="55" spans="1:4">
      <c r="A55" s="123" t="str">
        <f>'House C Data'!A55</f>
        <v>XOE 237-60</v>
      </c>
      <c r="B55" s="125" t="b">
        <f>IF(AND(A55&lt;&gt;0,OR(Pt_in_SU&lt;='Fan Hydraulic Data'!$AI55,Ps_in_SU&lt;='Fan Hydraulic Data'!$AI55),OR(Pt_in_SU&lt;='Fan Hydraulic Data'!$AI55,Ps_in_SU&lt;='Fan Hydraulic Data'!$AI55),Q_in_SU&lt;='Fan Hydraulic Data'!$AK55,Q_in_SU&gt;='Fan Hydraulic Data'!$AL55),TRUE,FALSE)</f>
        <v>1</v>
      </c>
      <c r="D55" s="122" t="b">
        <f>IF(OR(A55=0,ISERROR('Fan Hydraulic Data'!B55)),FALSE,TRUE)</f>
        <v>1</v>
      </c>
    </row>
    <row r="56" spans="1:4">
      <c r="A56" s="123" t="str">
        <f>'House C Data'!A56</f>
        <v>XOE 237-75</v>
      </c>
      <c r="B56" s="125" t="b">
        <f>IF(AND(A56&lt;&gt;0,OR(Pt_in_SU&lt;='Fan Hydraulic Data'!$AI56,Ps_in_SU&lt;='Fan Hydraulic Data'!$AI56),OR(Pt_in_SU&lt;='Fan Hydraulic Data'!$AI56,Ps_in_SU&lt;='Fan Hydraulic Data'!$AI56),Q_in_SU&lt;='Fan Hydraulic Data'!$AK56,Q_in_SU&gt;='Fan Hydraulic Data'!$AL56),TRUE,FALSE)</f>
        <v>0</v>
      </c>
      <c r="D56" s="122" t="b">
        <f>IF(OR(A56=0,ISERROR('Fan Hydraulic Data'!B56)),FALSE,TRUE)</f>
        <v>1</v>
      </c>
    </row>
    <row r="57" spans="1:4">
      <c r="A57" s="123" t="str">
        <f>'House C Data'!A57</f>
        <v>XOE 237-90</v>
      </c>
      <c r="B57" s="125" t="b">
        <f>IF(AND(A57&lt;&gt;0,OR(Pt_in_SU&lt;='Fan Hydraulic Data'!$AI57,Ps_in_SU&lt;='Fan Hydraulic Data'!$AI57),OR(Pt_in_SU&lt;='Fan Hydraulic Data'!$AI57,Ps_in_SU&lt;='Fan Hydraulic Data'!$AI57),Q_in_SU&lt;='Fan Hydraulic Data'!$AK57,Q_in_SU&gt;='Fan Hydraulic Data'!$AL57),TRUE,FALSE)</f>
        <v>0</v>
      </c>
      <c r="D57" s="122" t="b">
        <f>IF(OR(A57=0,ISERROR('Fan Hydraulic Data'!B57)),FALSE,TRUE)</f>
        <v>1</v>
      </c>
    </row>
    <row r="58" spans="1:4">
      <c r="A58" s="123" t="str">
        <f>'House C Data'!A58</f>
        <v>XOE 237-110</v>
      </c>
      <c r="B58" s="125" t="b">
        <f>IF(AND(A58&lt;&gt;0,OR(Pt_in_SU&lt;='Fan Hydraulic Data'!$AI58,Ps_in_SU&lt;='Fan Hydraulic Data'!$AI58),OR(Pt_in_SU&lt;='Fan Hydraulic Data'!$AI58,Ps_in_SU&lt;='Fan Hydraulic Data'!$AI58),Q_in_SU&lt;='Fan Hydraulic Data'!$AK58,Q_in_SU&gt;='Fan Hydraulic Data'!$AL58),TRUE,FALSE)</f>
        <v>0</v>
      </c>
      <c r="D58" s="122" t="b">
        <f>IF(OR(A58=0,ISERROR('Fan Hydraulic Data'!B58)),FALSE,TRUE)</f>
        <v>1</v>
      </c>
    </row>
    <row r="59" spans="1:4">
      <c r="A59" s="123" t="str">
        <f>'House C Data'!A59</f>
        <v>XOE 237-100</v>
      </c>
      <c r="B59" s="125" t="b">
        <f>IF(AND(A59&lt;&gt;0,OR(Pt_in_SU&lt;='Fan Hydraulic Data'!$AI59,Ps_in_SU&lt;='Fan Hydraulic Data'!$AI59),OR(Pt_in_SU&lt;='Fan Hydraulic Data'!$AI59,Ps_in_SU&lt;='Fan Hydraulic Data'!$AI59),Q_in_SU&lt;='Fan Hydraulic Data'!$AK59,Q_in_SU&gt;='Fan Hydraulic Data'!$AL59),TRUE,FALSE)</f>
        <v>0</v>
      </c>
      <c r="D59" s="122" t="b">
        <f>IF(OR(A59=0,ISERROR('Fan Hydraulic Data'!B59)),FALSE,TRUE)</f>
        <v>1</v>
      </c>
    </row>
    <row r="60" spans="1:4">
      <c r="A60" s="123" t="str">
        <f>'House C Data'!A60</f>
        <v>XOE 273-65</v>
      </c>
      <c r="B60" s="125" t="b">
        <f>IF(AND(A60&lt;&gt;0,OR(Pt_in_SU&lt;='Fan Hydraulic Data'!$AI60,Ps_in_SU&lt;='Fan Hydraulic Data'!$AI60),OR(Pt_in_SU&lt;='Fan Hydraulic Data'!$AI60,Ps_in_SU&lt;='Fan Hydraulic Data'!$AI60),Q_in_SU&lt;='Fan Hydraulic Data'!$AK60,Q_in_SU&gt;='Fan Hydraulic Data'!$AL60),TRUE,FALSE)</f>
        <v>1</v>
      </c>
      <c r="D60" s="122" t="b">
        <f>IF(OR(A60=0,ISERROR('Fan Hydraulic Data'!B60)),FALSE,TRUE)</f>
        <v>1</v>
      </c>
    </row>
    <row r="61" spans="1:4">
      <c r="A61" s="123" t="str">
        <f>'House C Data'!A61</f>
        <v>XOE 273-80</v>
      </c>
      <c r="B61" s="125" t="b">
        <f>IF(AND(A61&lt;&gt;0,OR(Pt_in_SU&lt;='Fan Hydraulic Data'!$AI61,Ps_in_SU&lt;='Fan Hydraulic Data'!$AI61),OR(Pt_in_SU&lt;='Fan Hydraulic Data'!$AI61,Ps_in_SU&lt;='Fan Hydraulic Data'!$AI61),Q_in_SU&lt;='Fan Hydraulic Data'!$AK61,Q_in_SU&gt;='Fan Hydraulic Data'!$AL61),TRUE,FALSE)</f>
        <v>0</v>
      </c>
      <c r="D61" s="122" t="b">
        <f>IF(OR(A61=0,ISERROR('Fan Hydraulic Data'!B61)),FALSE,TRUE)</f>
        <v>1</v>
      </c>
    </row>
    <row r="62" spans="1:4">
      <c r="A62" s="123" t="str">
        <f>'House C Data'!A62</f>
        <v>XOE 273-90</v>
      </c>
      <c r="B62" s="125" t="b">
        <f>IF(AND(A62&lt;&gt;0,OR(Pt_in_SU&lt;='Fan Hydraulic Data'!$AI62,Ps_in_SU&lt;='Fan Hydraulic Data'!$AI62),OR(Pt_in_SU&lt;='Fan Hydraulic Data'!$AI62,Ps_in_SU&lt;='Fan Hydraulic Data'!$AI62),Q_in_SU&lt;='Fan Hydraulic Data'!$AK62,Q_in_SU&gt;='Fan Hydraulic Data'!$AL62),TRUE,FALSE)</f>
        <v>0</v>
      </c>
      <c r="D62" s="122" t="b">
        <f>IF(OR(A62=0,ISERROR('Fan Hydraulic Data'!B62)),FALSE,TRUE)</f>
        <v>1</v>
      </c>
    </row>
    <row r="63" spans="1:4">
      <c r="A63" s="123" t="str">
        <f>'House C Data'!A63</f>
        <v>XOE 273-110</v>
      </c>
      <c r="B63" s="125" t="b">
        <f>IF(AND(A63&lt;&gt;0,OR(Pt_in_SU&lt;='Fan Hydraulic Data'!$AI63,Ps_in_SU&lt;='Fan Hydraulic Data'!$AI63),OR(Pt_in_SU&lt;='Fan Hydraulic Data'!$AI63,Ps_in_SU&lt;='Fan Hydraulic Data'!$AI63),Q_in_SU&lt;='Fan Hydraulic Data'!$AK63,Q_in_SU&gt;='Fan Hydraulic Data'!$AL63),TRUE,FALSE)</f>
        <v>0</v>
      </c>
      <c r="D63" s="122" t="b">
        <f>IF(OR(A63=0,ISERROR('Fan Hydraulic Data'!B63)),FALSE,TRUE)</f>
        <v>1</v>
      </c>
    </row>
    <row r="64" spans="1:4">
      <c r="A64" s="123" t="str">
        <f>'House C Data'!A64</f>
        <v>XOE 273-120</v>
      </c>
      <c r="B64" s="125" t="b">
        <f>IF(AND(A64&lt;&gt;0,OR(Pt_in_SU&lt;='Fan Hydraulic Data'!$AI64,Ps_in_SU&lt;='Fan Hydraulic Data'!$AI64),OR(Pt_in_SU&lt;='Fan Hydraulic Data'!$AI64,Ps_in_SU&lt;='Fan Hydraulic Data'!$AI64),Q_in_SU&lt;='Fan Hydraulic Data'!$AK64,Q_in_SU&gt;='Fan Hydraulic Data'!$AL64),TRUE,FALSE)</f>
        <v>0</v>
      </c>
      <c r="D64" s="122" t="b">
        <f>IF(OR(A64=0,ISERROR('Fan Hydraulic Data'!B64)),FALSE,TRUE)</f>
        <v>1</v>
      </c>
    </row>
    <row r="65" spans="1:4">
      <c r="A65" s="123" t="str">
        <f>'House C Data'!A65</f>
        <v>XOE 253-120</v>
      </c>
      <c r="B65" s="125" t="b">
        <f>IF(AND(A65&lt;&gt;0,OR(Pt_in_SU&lt;='Fan Hydraulic Data'!$AI65,Ps_in_SU&lt;='Fan Hydraulic Data'!$AI65),OR(Pt_in_SU&lt;='Fan Hydraulic Data'!$AI65,Ps_in_SU&lt;='Fan Hydraulic Data'!$AI65),Q_in_SU&lt;='Fan Hydraulic Data'!$AK65,Q_in_SU&gt;='Fan Hydraulic Data'!$AL65),TRUE,FALSE)</f>
        <v>0</v>
      </c>
      <c r="D65" s="122" t="b">
        <f>IF(OR(A65=0,ISERROR('Fan Hydraulic Data'!B65)),FALSE,TRUE)</f>
        <v>1</v>
      </c>
    </row>
    <row r="66" spans="1:4">
      <c r="A66" s="123" t="str">
        <f>'House C Data'!A66</f>
        <v>XOE 306-85</v>
      </c>
      <c r="B66" s="125" t="b">
        <f>IF(AND(A66&lt;&gt;0,OR(Pt_in_SU&lt;='Fan Hydraulic Data'!$AI66,Ps_in_SU&lt;='Fan Hydraulic Data'!$AI66),OR(Pt_in_SU&lt;='Fan Hydraulic Data'!$AI66,Ps_in_SU&lt;='Fan Hydraulic Data'!$AI66),Q_in_SU&lt;='Fan Hydraulic Data'!$AK66,Q_in_SU&gt;='Fan Hydraulic Data'!$AL66),TRUE,FALSE)</f>
        <v>0</v>
      </c>
      <c r="D66" s="122" t="b">
        <f>IF(OR(A66=0,ISERROR('Fan Hydraulic Data'!B66)),FALSE,TRUE)</f>
        <v>1</v>
      </c>
    </row>
    <row r="67" spans="1:4">
      <c r="A67" s="123" t="str">
        <f>'House C Data'!A67</f>
        <v>XOE 306-95</v>
      </c>
      <c r="B67" s="125" t="b">
        <f>IF(AND(A67&lt;&gt;0,OR(Pt_in_SU&lt;='Fan Hydraulic Data'!$AI67,Ps_in_SU&lt;='Fan Hydraulic Data'!$AI67),OR(Pt_in_SU&lt;='Fan Hydraulic Data'!$AI67,Ps_in_SU&lt;='Fan Hydraulic Data'!$AI67),Q_in_SU&lt;='Fan Hydraulic Data'!$AK67,Q_in_SU&gt;='Fan Hydraulic Data'!$AL67),TRUE,FALSE)</f>
        <v>0</v>
      </c>
      <c r="D67" s="122" t="b">
        <f>IF(OR(A67=0,ISERROR('Fan Hydraulic Data'!B67)),FALSE,TRUE)</f>
        <v>1</v>
      </c>
    </row>
    <row r="68" spans="1:4">
      <c r="A68" s="123" t="str">
        <f>'House C Data'!A68</f>
        <v>XOE 306-100</v>
      </c>
      <c r="B68" s="125" t="b">
        <f>IF(AND(A68&lt;&gt;0,OR(Pt_in_SU&lt;='Fan Hydraulic Data'!$AI68,Ps_in_SU&lt;='Fan Hydraulic Data'!$AI68),OR(Pt_in_SU&lt;='Fan Hydraulic Data'!$AI68,Ps_in_SU&lt;='Fan Hydraulic Data'!$AI68),Q_in_SU&lt;='Fan Hydraulic Data'!$AK68,Q_in_SU&gt;='Fan Hydraulic Data'!$AL68),TRUE,FALSE)</f>
        <v>0</v>
      </c>
      <c r="D68" s="122" t="b">
        <f>IF(OR(A68=0,ISERROR('Fan Hydraulic Data'!B68)),FALSE,TRUE)</f>
        <v>1</v>
      </c>
    </row>
    <row r="69" spans="1:4">
      <c r="A69" s="123" t="str">
        <f>'House C Data'!A69</f>
        <v>XOE 306-130</v>
      </c>
      <c r="B69" s="125" t="b">
        <f>IF(AND(A69&lt;&gt;0,OR(Pt_in_SU&lt;='Fan Hydraulic Data'!$AI69,Ps_in_SU&lt;='Fan Hydraulic Data'!$AI69),OR(Pt_in_SU&lt;='Fan Hydraulic Data'!$AI69,Ps_in_SU&lt;='Fan Hydraulic Data'!$AI69),Q_in_SU&lt;='Fan Hydraulic Data'!$AK69,Q_in_SU&gt;='Fan Hydraulic Data'!$AL69),TRUE,FALSE)</f>
        <v>0</v>
      </c>
      <c r="D69" s="122" t="b">
        <f>IF(OR(A69=0,ISERROR('Fan Hydraulic Data'!B69)),FALSE,TRUE)</f>
        <v>1</v>
      </c>
    </row>
    <row r="70" spans="1:4">
      <c r="A70" s="123" t="str">
        <f>'House C Data'!A70</f>
        <v>XOE 306-125</v>
      </c>
      <c r="B70" s="125" t="b">
        <f>IF(AND(A70&lt;&gt;0,OR(Pt_in_SU&lt;='Fan Hydraulic Data'!$AI70,Ps_in_SU&lt;='Fan Hydraulic Data'!$AI70),OR(Pt_in_SU&lt;='Fan Hydraulic Data'!$AI70,Ps_in_SU&lt;='Fan Hydraulic Data'!$AI70),Q_in_SU&lt;='Fan Hydraulic Data'!$AK70,Q_in_SU&gt;='Fan Hydraulic Data'!$AL70),TRUE,FALSE)</f>
        <v>0</v>
      </c>
      <c r="D70" s="122" t="b">
        <f>IF(OR(A70=0,ISERROR('Fan Hydraulic Data'!B70)),FALSE,TRUE)</f>
        <v>1</v>
      </c>
    </row>
    <row r="71" spans="1:4">
      <c r="A71" s="123" t="str">
        <f>'House C Data'!A71</f>
        <v>XOE 306-120</v>
      </c>
      <c r="B71" s="125" t="b">
        <f>IF(AND(A71&lt;&gt;0,OR(Pt_in_SU&lt;='Fan Hydraulic Data'!$AI71,Ps_in_SU&lt;='Fan Hydraulic Data'!$AI71),OR(Pt_in_SU&lt;='Fan Hydraulic Data'!$AI71,Ps_in_SU&lt;='Fan Hydraulic Data'!$AI71),Q_in_SU&lt;='Fan Hydraulic Data'!$AK71,Q_in_SU&gt;='Fan Hydraulic Data'!$AL71),TRUE,FALSE)</f>
        <v>0</v>
      </c>
      <c r="D71" s="122" t="b">
        <f>IF(OR(A71=0,ISERROR('Fan Hydraulic Data'!B71)),FALSE,TRUE)</f>
        <v>1</v>
      </c>
    </row>
    <row r="72" spans="1:4">
      <c r="A72" s="123" t="str">
        <f>'House C Data'!A72</f>
        <v>XOE 320-75</v>
      </c>
      <c r="B72" s="125" t="b">
        <f>IF(AND(A72&lt;&gt;0,OR(Pt_in_SU&lt;='Fan Hydraulic Data'!$AI72,Ps_in_SU&lt;='Fan Hydraulic Data'!$AI72),OR(Pt_in_SU&lt;='Fan Hydraulic Data'!$AI72,Ps_in_SU&lt;='Fan Hydraulic Data'!$AI72),Q_in_SU&lt;='Fan Hydraulic Data'!$AK72,Q_in_SU&gt;='Fan Hydraulic Data'!$AL72),TRUE,FALSE)</f>
        <v>0</v>
      </c>
      <c r="D72" s="122" t="b">
        <f>IF(OR(A72=0,ISERROR('Fan Hydraulic Data'!B72)),FALSE,TRUE)</f>
        <v>1</v>
      </c>
    </row>
    <row r="73" spans="1:4">
      <c r="A73" s="123" t="str">
        <f>'House C Data'!A73</f>
        <v>XOE 337-95</v>
      </c>
      <c r="B73" s="125" t="b">
        <f>IF(AND(A73&lt;&gt;0,OR(Pt_in_SU&lt;='Fan Hydraulic Data'!$AI73,Ps_in_SU&lt;='Fan Hydraulic Data'!$AI73),OR(Pt_in_SU&lt;='Fan Hydraulic Data'!$AI73,Ps_in_SU&lt;='Fan Hydraulic Data'!$AI73),Q_in_SU&lt;='Fan Hydraulic Data'!$AK73,Q_in_SU&gt;='Fan Hydraulic Data'!$AL73),TRUE,FALSE)</f>
        <v>0</v>
      </c>
      <c r="D73" s="122" t="b">
        <f>IF(OR(A73=0,ISERROR('Fan Hydraulic Data'!B73)),FALSE,TRUE)</f>
        <v>1</v>
      </c>
    </row>
    <row r="74" spans="1:4">
      <c r="A74" s="123" t="str">
        <f>'House C Data'!A74</f>
        <v>XOE 337-125</v>
      </c>
      <c r="B74" s="125" t="b">
        <f>IF(AND(A74&lt;&gt;0,OR(Pt_in_SU&lt;='Fan Hydraulic Data'!$AI74,Ps_in_SU&lt;='Fan Hydraulic Data'!$AI74),OR(Pt_in_SU&lt;='Fan Hydraulic Data'!$AI74,Ps_in_SU&lt;='Fan Hydraulic Data'!$AI74),Q_in_SU&lt;='Fan Hydraulic Data'!$AK74,Q_in_SU&gt;='Fan Hydraulic Data'!$AL74),TRUE,FALSE)</f>
        <v>0</v>
      </c>
      <c r="D74" s="122" t="b">
        <f>IF(OR(A74=0,ISERROR('Fan Hydraulic Data'!B74)),FALSE,TRUE)</f>
        <v>1</v>
      </c>
    </row>
    <row r="75" spans="1:4">
      <c r="A75" s="123" t="str">
        <f>'House C Data'!A75</f>
        <v>XOE 337-130</v>
      </c>
      <c r="B75" s="125" t="b">
        <f>IF(AND(A75&lt;&gt;0,OR(Pt_in_SU&lt;='Fan Hydraulic Data'!$AI75,Ps_in_SU&lt;='Fan Hydraulic Data'!$AI75),OR(Pt_in_SU&lt;='Fan Hydraulic Data'!$AI75,Ps_in_SU&lt;='Fan Hydraulic Data'!$AI75),Q_in_SU&lt;='Fan Hydraulic Data'!$AK75,Q_in_SU&gt;='Fan Hydraulic Data'!$AL75),TRUE,FALSE)</f>
        <v>0</v>
      </c>
      <c r="D75" s="122" t="b">
        <f>IF(OR(A75=0,ISERROR('Fan Hydraulic Data'!B75)),FALSE,TRUE)</f>
        <v>1</v>
      </c>
    </row>
    <row r="76" spans="1:4">
      <c r="A76" s="123" t="str">
        <f>'House C Data'!A76</f>
        <v>XOE 337-125B</v>
      </c>
      <c r="B76" s="125" t="b">
        <f>IF(AND(A76&lt;&gt;0,OR(Pt_in_SU&lt;='Fan Hydraulic Data'!$AI76,Ps_in_SU&lt;='Fan Hydraulic Data'!$AI76),OR(Pt_in_SU&lt;='Fan Hydraulic Data'!$AI76,Ps_in_SU&lt;='Fan Hydraulic Data'!$AI76),Q_in_SU&lt;='Fan Hydraulic Data'!$AK76,Q_in_SU&gt;='Fan Hydraulic Data'!$AL76),TRUE,FALSE)</f>
        <v>0</v>
      </c>
      <c r="D76" s="122" t="b">
        <f>IF(OR(A76=0,ISERROR('Fan Hydraulic Data'!B76)),FALSE,TRUE)</f>
        <v>1</v>
      </c>
    </row>
    <row r="77" spans="1:4">
      <c r="A77" s="123" t="str">
        <f>'House C Data'!A77</f>
        <v>XOE 68-23</v>
      </c>
      <c r="B77" s="125" t="b">
        <f>IF(AND(A77&lt;&gt;0,OR(Pt_in_SU&lt;='Fan Hydraulic Data'!$AI77,Ps_in_SU&lt;='Fan Hydraulic Data'!$AI77),OR(Pt_in_SU&lt;='Fan Hydraulic Data'!$AI77,Ps_in_SU&lt;='Fan Hydraulic Data'!$AI77),Q_in_SU&lt;='Fan Hydraulic Data'!$AK77,Q_in_SU&gt;='Fan Hydraulic Data'!$AL77),TRUE,FALSE)</f>
        <v>0</v>
      </c>
      <c r="D77" s="122" t="b">
        <f>IF(OR(A77=0,ISERROR('Fan Hydraulic Data'!B77)),FALSE,TRUE)</f>
        <v>1</v>
      </c>
    </row>
    <row r="78" spans="1:4">
      <c r="A78" s="123" t="str">
        <f>'House C Data'!A78</f>
        <v>XOE 74-23</v>
      </c>
      <c r="B78" s="125" t="b">
        <f>IF(AND(A78&lt;&gt;0,OR(Pt_in_SU&lt;='Fan Hydraulic Data'!$AI78,Ps_in_SU&lt;='Fan Hydraulic Data'!$AI78),OR(Pt_in_SU&lt;='Fan Hydraulic Data'!$AI78,Ps_in_SU&lt;='Fan Hydraulic Data'!$AI78),Q_in_SU&lt;='Fan Hydraulic Data'!$AK78,Q_in_SU&gt;='Fan Hydraulic Data'!$AL78),TRUE,FALSE)</f>
        <v>0</v>
      </c>
      <c r="D78" s="122" t="b">
        <f>IF(OR(A78=0,ISERROR('Fan Hydraulic Data'!B78)),FALSE,TRUE)</f>
        <v>1</v>
      </c>
    </row>
    <row r="79" spans="1:4">
      <c r="A79" s="123" t="str">
        <f>'House C Data'!A79</f>
        <v>XOE 339-180</v>
      </c>
      <c r="B79" s="125" t="b">
        <f>IF(AND(A79&lt;&gt;0,OR(Pt_in_SU&lt;='Fan Hydraulic Data'!$AI79,Ps_in_SU&lt;='Fan Hydraulic Data'!$AI79),OR(Pt_in_SU&lt;='Fan Hydraulic Data'!$AI79,Ps_in_SU&lt;='Fan Hydraulic Data'!$AI79),Q_in_SU&lt;='Fan Hydraulic Data'!$AK79,Q_in_SU&gt;='Fan Hydraulic Data'!$AL79),TRUE,FALSE)</f>
        <v>1</v>
      </c>
      <c r="D79" s="122" t="b">
        <f>IF(OR(A79=0,ISERROR('Fan Hydraulic Data'!B79)),FALSE,TRUE)</f>
        <v>1</v>
      </c>
    </row>
    <row r="80" spans="1:4">
      <c r="A80" s="123" t="str">
        <f>'House C Data'!A80</f>
        <v>XOE 173-50</v>
      </c>
      <c r="B80" s="125" t="b">
        <f>IF(AND(A80&lt;&gt;0,OR(Pt_in_SU&lt;='Fan Hydraulic Data'!$AI80,Ps_in_SU&lt;='Fan Hydraulic Data'!$AI80),OR(Pt_in_SU&lt;='Fan Hydraulic Data'!$AI80,Ps_in_SU&lt;='Fan Hydraulic Data'!$AI80),Q_in_SU&lt;='Fan Hydraulic Data'!$AK80,Q_in_SU&gt;='Fan Hydraulic Data'!$AL80),TRUE,FALSE)</f>
        <v>1</v>
      </c>
      <c r="D80" s="122" t="b">
        <f>IF(OR(A80=0,ISERROR('Fan Hydraulic Data'!B80)),FALSE,TRUE)</f>
        <v>1</v>
      </c>
    </row>
    <row r="81" spans="1:4">
      <c r="A81" s="123" t="str">
        <f>'House C Data'!A81</f>
        <v>XOE 147-35</v>
      </c>
      <c r="B81" s="125" t="b">
        <f>IF(AND(A81&lt;&gt;0,OR(Pt_in_SU&lt;='Fan Hydraulic Data'!$AI81,Ps_in_SU&lt;='Fan Hydraulic Data'!$AI81),OR(Pt_in_SU&lt;='Fan Hydraulic Data'!$AI81,Ps_in_SU&lt;='Fan Hydraulic Data'!$AI81),Q_in_SU&lt;='Fan Hydraulic Data'!$AK81,Q_in_SU&gt;='Fan Hydraulic Data'!$AL81),TRUE,FALSE)</f>
        <v>1</v>
      </c>
      <c r="D81" s="122" t="b">
        <f>IF(OR(A81=0,ISERROR('Fan Hydraulic Data'!B81)),FALSE,TRUE)</f>
        <v>1</v>
      </c>
    </row>
    <row r="82" spans="1:4">
      <c r="A82" s="123" t="str">
        <f>'House C Data'!A82</f>
        <v>XOE 147-25</v>
      </c>
      <c r="B82" s="125" t="b">
        <f>IF(AND(A82&lt;&gt;0,OR(Pt_in_SU&lt;='Fan Hydraulic Data'!$AI82,Ps_in_SU&lt;='Fan Hydraulic Data'!$AI82),OR(Pt_in_SU&lt;='Fan Hydraulic Data'!$AI82,Ps_in_SU&lt;='Fan Hydraulic Data'!$AI82),Q_in_SU&lt;='Fan Hydraulic Data'!$AK82,Q_in_SU&gt;='Fan Hydraulic Data'!$AL82),TRUE,FALSE)</f>
        <v>0</v>
      </c>
      <c r="D82" s="122" t="b">
        <f>IF(OR(A82=0,ISERROR('Fan Hydraulic Data'!B82)),FALSE,TRUE)</f>
        <v>1</v>
      </c>
    </row>
    <row r="83" spans="1:4">
      <c r="A83" s="123" t="str">
        <f>'House C Data'!A83</f>
        <v>XOE 153-45</v>
      </c>
      <c r="B83" s="125" t="b">
        <f>IF(AND(A83&lt;&gt;0,OR(Pt_in_SU&lt;='Fan Hydraulic Data'!$AI83,Ps_in_SU&lt;='Fan Hydraulic Data'!$AI83),OR(Pt_in_SU&lt;='Fan Hydraulic Data'!$AI83,Ps_in_SU&lt;='Fan Hydraulic Data'!$AI83),Q_in_SU&lt;='Fan Hydraulic Data'!$AK83,Q_in_SU&gt;='Fan Hydraulic Data'!$AL83),TRUE,FALSE)</f>
        <v>1</v>
      </c>
      <c r="D83" s="122" t="b">
        <f>IF(OR(A83=0,ISERROR('Fan Hydraulic Data'!B83)),FALSE,TRUE)</f>
        <v>1</v>
      </c>
    </row>
    <row r="84" spans="1:4">
      <c r="A84" s="123" t="str">
        <f>'House C Data'!A84</f>
        <v>XOE 93-30</v>
      </c>
      <c r="B84" s="125" t="b">
        <f>IF(AND(A84&lt;&gt;0,OR(Pt_in_SU&lt;='Fan Hydraulic Data'!$AI84,Ps_in_SU&lt;='Fan Hydraulic Data'!$AI84),OR(Pt_in_SU&lt;='Fan Hydraulic Data'!$AI84,Ps_in_SU&lt;='Fan Hydraulic Data'!$AI84),Q_in_SU&lt;='Fan Hydraulic Data'!$AK84,Q_in_SU&gt;='Fan Hydraulic Data'!$AL84),TRUE,FALSE)</f>
        <v>1</v>
      </c>
      <c r="D84" s="122" t="b">
        <f>IF(OR(A84=0,ISERROR('Fan Hydraulic Data'!B84)),FALSE,TRUE)</f>
        <v>1</v>
      </c>
    </row>
    <row r="85" spans="1:4">
      <c r="A85" s="123" t="str">
        <f>'House C Data'!A85</f>
        <v>XOE 355-166</v>
      </c>
      <c r="B85" s="125" t="b">
        <f>IF(AND(A85&lt;&gt;0,OR(Pt_in_SU&lt;='Fan Hydraulic Data'!$AI85,Ps_in_SU&lt;='Fan Hydraulic Data'!$AI85),OR(Pt_in_SU&lt;='Fan Hydraulic Data'!$AI85,Ps_in_SU&lt;='Fan Hydraulic Data'!$AI85),Q_in_SU&lt;='Fan Hydraulic Data'!$AK85,Q_in_SU&gt;='Fan Hydraulic Data'!$AL85),TRUE,FALSE)</f>
        <v>0</v>
      </c>
      <c r="D85" s="122" t="b">
        <f>IF(OR(A85=0,ISERROR('Fan Hydraulic Data'!B85)),FALSE,TRUE)</f>
        <v>1</v>
      </c>
    </row>
    <row r="86" spans="1:4">
      <c r="A86" s="123" t="str">
        <f>'House C Data'!A86</f>
        <v>XOE 111-32</v>
      </c>
      <c r="B86" s="125" t="b">
        <f>IF(AND(A86&lt;&gt;0,OR(Pt_in_SU&lt;='Fan Hydraulic Data'!$AI86,Ps_in_SU&lt;='Fan Hydraulic Data'!$AI86),OR(Pt_in_SU&lt;='Fan Hydraulic Data'!$AI86,Ps_in_SU&lt;='Fan Hydraulic Data'!$AI86),Q_in_SU&lt;='Fan Hydraulic Data'!$AK86,Q_in_SU&gt;='Fan Hydraulic Data'!$AL86),TRUE,FALSE)</f>
        <v>0</v>
      </c>
      <c r="D86" s="122" t="b">
        <f>IF(OR(A86=0,ISERROR('Fan Hydraulic Data'!B86)),FALSE,TRUE)</f>
        <v>1</v>
      </c>
    </row>
    <row r="87" spans="1:4">
      <c r="A87" s="123" t="str">
        <f>'House C Data'!A87</f>
        <v>XOE 128-34</v>
      </c>
      <c r="B87" s="125" t="b">
        <f>IF(AND(A87&lt;&gt;0,OR(Pt_in_SU&lt;='Fan Hydraulic Data'!$AI87,Ps_in_SU&lt;='Fan Hydraulic Data'!$AI87),OR(Pt_in_SU&lt;='Fan Hydraulic Data'!$AI87,Ps_in_SU&lt;='Fan Hydraulic Data'!$AI87),Q_in_SU&lt;='Fan Hydraulic Data'!$AK87,Q_in_SU&gt;='Fan Hydraulic Data'!$AL87),TRUE,FALSE)</f>
        <v>0</v>
      </c>
      <c r="D87" s="122" t="b">
        <f>IF(OR(A87=0,ISERROR('Fan Hydraulic Data'!B87)),FALSE,TRUE)</f>
        <v>1</v>
      </c>
    </row>
    <row r="88" spans="1:4">
      <c r="A88" s="123" t="str">
        <f>'House C Data'!A88</f>
        <v>XOE 136-38</v>
      </c>
      <c r="B88" s="125" t="b">
        <f>IF(AND(A88&lt;&gt;0,OR(Pt_in_SU&lt;='Fan Hydraulic Data'!$AI88,Ps_in_SU&lt;='Fan Hydraulic Data'!$AI88),OR(Pt_in_SU&lt;='Fan Hydraulic Data'!$AI88,Ps_in_SU&lt;='Fan Hydraulic Data'!$AI88),Q_in_SU&lt;='Fan Hydraulic Data'!$AK88,Q_in_SU&gt;='Fan Hydraulic Data'!$AL88),TRUE,FALSE)</f>
        <v>1</v>
      </c>
      <c r="D88" s="122" t="b">
        <f>IF(OR(A88=0,ISERROR('Fan Hydraulic Data'!B88)),FALSE,TRUE)</f>
        <v>1</v>
      </c>
    </row>
    <row r="89" spans="1:4">
      <c r="A89" s="123" t="str">
        <f>'House C Data'!A89</f>
        <v>XOE 135-38</v>
      </c>
      <c r="B89" s="125" t="b">
        <f>IF(AND(A89&lt;&gt;0,OR(Pt_in_SU&lt;='Fan Hydraulic Data'!$AI89,Ps_in_SU&lt;='Fan Hydraulic Data'!$AI89),OR(Pt_in_SU&lt;='Fan Hydraulic Data'!$AI89,Ps_in_SU&lt;='Fan Hydraulic Data'!$AI89),Q_in_SU&lt;='Fan Hydraulic Data'!$AK89,Q_in_SU&gt;='Fan Hydraulic Data'!$AL89),TRUE,FALSE)</f>
        <v>1</v>
      </c>
      <c r="D89" s="122" t="b">
        <f>IF(OR(A89=0,ISERROR('Fan Hydraulic Data'!B89)),FALSE,TRUE)</f>
        <v>1</v>
      </c>
    </row>
    <row r="90" spans="1:4">
      <c r="A90" s="123" t="str">
        <f>'House C Data'!A90</f>
        <v>XOE 83-30</v>
      </c>
      <c r="B90" s="125" t="b">
        <f>IF(AND(A90&lt;&gt;0,OR(Pt_in_SU&lt;='Fan Hydraulic Data'!$AI90,Ps_in_SU&lt;='Fan Hydraulic Data'!$AI90),OR(Pt_in_SU&lt;='Fan Hydraulic Data'!$AI90,Ps_in_SU&lt;='Fan Hydraulic Data'!$AI90),Q_in_SU&lt;='Fan Hydraulic Data'!$AK90,Q_in_SU&gt;='Fan Hydraulic Data'!$AL90),TRUE,FALSE)</f>
        <v>0</v>
      </c>
      <c r="D90" s="122" t="b">
        <f>IF(OR(A90=0,ISERROR('Fan Hydraulic Data'!B90)),FALSE,TRUE)</f>
        <v>1</v>
      </c>
    </row>
    <row r="91" spans="1:4">
      <c r="A91" s="123" t="str">
        <f>'House C Data'!A91</f>
        <v>XOE 111-50</v>
      </c>
      <c r="B91" s="125" t="b">
        <f>IF(AND(A91&lt;&gt;0,OR(Pt_in_SU&lt;='Fan Hydraulic Data'!$AI91,Ps_in_SU&lt;='Fan Hydraulic Data'!$AI91),OR(Pt_in_SU&lt;='Fan Hydraulic Data'!$AI91,Ps_in_SU&lt;='Fan Hydraulic Data'!$AI91),Q_in_SU&lt;='Fan Hydraulic Data'!$AK91,Q_in_SU&gt;='Fan Hydraulic Data'!$AL91),TRUE,FALSE)</f>
        <v>1</v>
      </c>
      <c r="D91" s="122" t="b">
        <f>IF(OR(A91=0,ISERROR('Fan Hydraulic Data'!B91)),FALSE,TRUE)</f>
        <v>1</v>
      </c>
    </row>
    <row r="92" spans="1:4">
      <c r="A92" s="123" t="str">
        <f>'House C Data'!A92</f>
        <v>XOE 123-33</v>
      </c>
      <c r="B92" s="125" t="b">
        <f>IF(AND(A92&lt;&gt;0,OR(Pt_in_SU&lt;='Fan Hydraulic Data'!$AI92,Ps_in_SU&lt;='Fan Hydraulic Data'!$AI92),OR(Pt_in_SU&lt;='Fan Hydraulic Data'!$AI92,Ps_in_SU&lt;='Fan Hydraulic Data'!$AI92),Q_in_SU&lt;='Fan Hydraulic Data'!$AK92,Q_in_SU&gt;='Fan Hydraulic Data'!$AL92),TRUE,FALSE)</f>
        <v>1</v>
      </c>
      <c r="D92" s="122" t="b">
        <f>IF(OR(A92=0,ISERROR('Fan Hydraulic Data'!B92)),FALSE,TRUE)</f>
        <v>1</v>
      </c>
    </row>
    <row r="93" spans="1:4" s="768" customFormat="1" ht="12.75">
      <c r="A93" s="123" t="str">
        <f>'House C Data'!A93</f>
        <v>XOE 166-45G</v>
      </c>
      <c r="B93" s="125" t="b">
        <f>IF(AND(A93&lt;&gt;0,OR(Pt_in_SU&lt;='Fan Hydraulic Data'!$AI93,Ps_in_SU&lt;='Fan Hydraulic Data'!$AI93),OR(Pt_in_SU&lt;='Fan Hydraulic Data'!$AI93,Ps_in_SU&lt;='Fan Hydraulic Data'!$AI93),Q_in_SU&lt;='Fan Hydraulic Data'!$AK93,Q_in_SU&gt;='Fan Hydraulic Data'!$AL93),TRUE,FALSE)</f>
        <v>1</v>
      </c>
      <c r="C93" s="125"/>
      <c r="D93" s="122" t="b">
        <f>IF(OR(A93=0,ISERROR('Fan Hydraulic Data'!B93)),FALSE,TRUE)</f>
        <v>1</v>
      </c>
    </row>
    <row r="94" spans="1:4" s="768" customFormat="1" ht="12.75">
      <c r="A94" s="123" t="str">
        <f>'House C Data'!A94</f>
        <v>XOE 88-40</v>
      </c>
      <c r="B94" s="125" t="b">
        <f>IF(AND(A94&lt;&gt;0,OR(Pt_in_SU&lt;='Fan Hydraulic Data'!$AI94,Ps_in_SU&lt;='Fan Hydraulic Data'!$AI94),OR(Pt_in_SU&lt;='Fan Hydraulic Data'!$AI94,Ps_in_SU&lt;='Fan Hydraulic Data'!$AI94),Q_in_SU&lt;='Fan Hydraulic Data'!$AK94,Q_in_SU&gt;='Fan Hydraulic Data'!$AL94),TRUE,FALSE)</f>
        <v>1</v>
      </c>
      <c r="C94" s="125"/>
      <c r="D94" s="122" t="b">
        <f>IF(OR(A94=0,ISERROR('Fan Hydraulic Data'!B94)),FALSE,TRUE)</f>
        <v>1</v>
      </c>
    </row>
    <row r="95" spans="1:4" s="768" customFormat="1" ht="12.75">
      <c r="A95" s="123" t="str">
        <f>'House C Data'!A95</f>
        <v>XOE 134-20</v>
      </c>
      <c r="B95" s="125" t="b">
        <f>IF(AND(A95&lt;&gt;0,OR(Pt_in_SU&lt;='Fan Hydraulic Data'!$AI95,Ps_in_SU&lt;='Fan Hydraulic Data'!$AI95),OR(Pt_in_SU&lt;='Fan Hydraulic Data'!$AI95,Ps_in_SU&lt;='Fan Hydraulic Data'!$AI95),Q_in_SU&lt;='Fan Hydraulic Data'!$AK95,Q_in_SU&gt;='Fan Hydraulic Data'!$AL95),TRUE,FALSE)</f>
        <v>0</v>
      </c>
      <c r="C95" s="125"/>
      <c r="D95" s="122" t="b">
        <f>IF(OR(A95=0,ISERROR('Fan Hydraulic Data'!B95)),FALSE,TRUE)</f>
        <v>1</v>
      </c>
    </row>
    <row r="96" spans="1:4" s="768" customFormat="1" ht="12.75">
      <c r="A96" s="123" t="str">
        <f>'House C Data'!A96</f>
        <v>XOE 132-35</v>
      </c>
      <c r="B96" s="125" t="b">
        <f>IF(AND(A96&lt;&gt;0,OR(Pt_in_SU&lt;='Fan Hydraulic Data'!$AI96,Ps_in_SU&lt;='Fan Hydraulic Data'!$AI96),OR(Pt_in_SU&lt;='Fan Hydraulic Data'!$AI96,Ps_in_SU&lt;='Fan Hydraulic Data'!$AI96),Q_in_SU&lt;='Fan Hydraulic Data'!$AK96,Q_in_SU&gt;='Fan Hydraulic Data'!$AL96),TRUE,FALSE)</f>
        <v>1</v>
      </c>
      <c r="C96" s="125"/>
      <c r="D96" s="122" t="b">
        <f>IF(OR(A96=0,ISERROR('Fan Hydraulic Data'!B96)),FALSE,TRUE)</f>
        <v>1</v>
      </c>
    </row>
    <row r="97" spans="1:4" s="768" customFormat="1" ht="12.75">
      <c r="A97" s="123" t="str">
        <f>'House C Data'!A97</f>
        <v>XOE 130-28</v>
      </c>
      <c r="B97" s="125" t="b">
        <f>IF(AND(A97&lt;&gt;0,OR(Pt_in_SU&lt;='Fan Hydraulic Data'!$AI97,Ps_in_SU&lt;='Fan Hydraulic Data'!$AI97),OR(Pt_in_SU&lt;='Fan Hydraulic Data'!$AI97,Ps_in_SU&lt;='Fan Hydraulic Data'!$AI97),Q_in_SU&lt;='Fan Hydraulic Data'!$AK97,Q_in_SU&gt;='Fan Hydraulic Data'!$AL97),TRUE,FALSE)</f>
        <v>1</v>
      </c>
      <c r="C97" s="125"/>
      <c r="D97" s="122" t="b">
        <f>IF(OR(A97=0,ISERROR('Fan Hydraulic Data'!B97)),FALSE,TRUE)</f>
        <v>1</v>
      </c>
    </row>
    <row r="98" spans="1:4" s="768" customFormat="1" ht="12.75">
      <c r="A98" s="123" t="str">
        <f>'House C Data'!A98</f>
        <v>no fanA</v>
      </c>
      <c r="B98" s="125" t="b">
        <f>IF(AND(A98&lt;&gt;0,OR(Pt_in_SU&lt;='Fan Hydraulic Data'!$AI98,Ps_in_SU&lt;='Fan Hydraulic Data'!$AI98),OR(Pt_in_SU&lt;='Fan Hydraulic Data'!$AI98,Ps_in_SU&lt;='Fan Hydraulic Data'!$AI98),Q_in_SU&lt;='Fan Hydraulic Data'!$AK98,Q_in_SU&gt;='Fan Hydraulic Data'!$AL98),TRUE,FALSE)</f>
        <v>0</v>
      </c>
      <c r="C98" s="125"/>
      <c r="D98" s="122" t="b">
        <f>IF(OR(A98=0,ISERROR('Fan Hydraulic Data'!B98)),FALSE,TRUE)</f>
        <v>1</v>
      </c>
    </row>
    <row r="99" spans="1:4" s="768" customFormat="1" ht="12.75">
      <c r="A99" s="123" t="str">
        <f>'House C Data'!A99</f>
        <v>XOE 281-135</v>
      </c>
      <c r="B99" s="125" t="b">
        <f>IF(AND(A99&lt;&gt;0,OR(Pt_in_SU&lt;='Fan Hydraulic Data'!$AI99,Ps_in_SU&lt;='Fan Hydraulic Data'!$AI99),OR(Pt_in_SU&lt;='Fan Hydraulic Data'!$AI99,Ps_in_SU&lt;='Fan Hydraulic Data'!$AI99),Q_in_SU&lt;='Fan Hydraulic Data'!$AK99,Q_in_SU&gt;='Fan Hydraulic Data'!$AL99),TRUE,FALSE)</f>
        <v>0</v>
      </c>
      <c r="C99" s="125"/>
      <c r="D99" s="122" t="b">
        <f>IF(OR(A99=0,ISERROR('Fan Hydraulic Data'!B99)),FALSE,TRUE)</f>
        <v>1</v>
      </c>
    </row>
    <row r="100" spans="1:4" s="768" customFormat="1" ht="12.75">
      <c r="A100" s="123" t="str">
        <f>'House C Data'!A100</f>
        <v>XOE 318-170</v>
      </c>
      <c r="B100" s="125" t="b">
        <f>IF(AND(A100&lt;&gt;0,OR(Pt_in_SU&lt;='Fan Hydraulic Data'!$AI100,Ps_in_SU&lt;='Fan Hydraulic Data'!$AI100),OR(Pt_in_SU&lt;='Fan Hydraulic Data'!$AI100,Ps_in_SU&lt;='Fan Hydraulic Data'!$AI100),Q_in_SU&lt;='Fan Hydraulic Data'!$AK100,Q_in_SU&gt;='Fan Hydraulic Data'!$AL100),TRUE,FALSE)</f>
        <v>0</v>
      </c>
      <c r="C100" s="125"/>
      <c r="D100" s="122" t="b">
        <f>IF(OR(A100=0,ISERROR('Fan Hydraulic Data'!B100)),FALSE,TRUE)</f>
        <v>1</v>
      </c>
    </row>
    <row r="101" spans="1:4" s="768" customFormat="1" ht="12.75">
      <c r="A101" s="123" t="str">
        <f>'House C Data'!A101</f>
        <v>XOE 322-163</v>
      </c>
      <c r="B101" s="125" t="b">
        <f>IF(AND(A101&lt;&gt;0,OR(Pt_in_SU&lt;='Fan Hydraulic Data'!$AI101,Ps_in_SU&lt;='Fan Hydraulic Data'!$AI101),OR(Pt_in_SU&lt;='Fan Hydraulic Data'!$AI101,Ps_in_SU&lt;='Fan Hydraulic Data'!$AI101),Q_in_SU&lt;='Fan Hydraulic Data'!$AK101,Q_in_SU&gt;='Fan Hydraulic Data'!$AL101),TRUE,FALSE)</f>
        <v>0</v>
      </c>
      <c r="C101" s="125"/>
      <c r="D101" s="122" t="b">
        <f>IF(OR(A101=0,ISERROR('Fan Hydraulic Data'!B101)),FALSE,TRUE)</f>
        <v>1</v>
      </c>
    </row>
    <row r="102" spans="1:4" s="768" customFormat="1" ht="12.75">
      <c r="A102" s="123" t="str">
        <f>'House C Data'!A102</f>
        <v>XOE 107-15</v>
      </c>
      <c r="B102" s="125" t="b">
        <f>IF(AND(A102&lt;&gt;0,OR(Pt_in_SU&lt;='Fan Hydraulic Data'!$AI102,Ps_in_SU&lt;='Fan Hydraulic Data'!$AI102),OR(Pt_in_SU&lt;='Fan Hydraulic Data'!$AI102,Ps_in_SU&lt;='Fan Hydraulic Data'!$AI102),Q_in_SU&lt;='Fan Hydraulic Data'!$AK102,Q_in_SU&gt;='Fan Hydraulic Data'!$AL102),TRUE,FALSE)</f>
        <v>0</v>
      </c>
      <c r="C102" s="125"/>
      <c r="D102" s="122" t="b">
        <f>IF(OR(A102=0,ISERROR('Fan Hydraulic Data'!B102)),FALSE,TRUE)</f>
        <v>1</v>
      </c>
    </row>
    <row r="103" spans="1:4" s="768" customFormat="1" ht="12.75">
      <c r="A103" s="123" t="str">
        <f>'House C Data'!A103</f>
        <v>XOE 128-30</v>
      </c>
      <c r="B103" s="125" t="b">
        <f>IF(AND(A103&lt;&gt;0,OR(Pt_in_SU&lt;='Fan Hydraulic Data'!$AI103,Ps_in_SU&lt;='Fan Hydraulic Data'!$AI103),OR(Pt_in_SU&lt;='Fan Hydraulic Data'!$AI103,Ps_in_SU&lt;='Fan Hydraulic Data'!$AI103),Q_in_SU&lt;='Fan Hydraulic Data'!$AK103,Q_in_SU&gt;='Fan Hydraulic Data'!$AL103),TRUE,FALSE)</f>
        <v>0</v>
      </c>
      <c r="C103" s="125"/>
      <c r="D103" s="122" t="b">
        <f>IF(OR(A103=0,ISERROR('Fan Hydraulic Data'!B103)),FALSE,TRUE)</f>
        <v>1</v>
      </c>
    </row>
    <row r="104" spans="1:4" s="768" customFormat="1" ht="12.75">
      <c r="A104" s="123" t="str">
        <f>'House C Data'!A104</f>
        <v>XOE 164-65</v>
      </c>
      <c r="B104" s="125" t="b">
        <f>IF(AND(A104&lt;&gt;0,OR(Pt_in_SU&lt;='Fan Hydraulic Data'!$AI104,Ps_in_SU&lt;='Fan Hydraulic Data'!$AI104),OR(Pt_in_SU&lt;='Fan Hydraulic Data'!$AI104,Ps_in_SU&lt;='Fan Hydraulic Data'!$AI104),Q_in_SU&lt;='Fan Hydraulic Data'!$AK104,Q_in_SU&gt;='Fan Hydraulic Data'!$AL104),TRUE,FALSE)</f>
        <v>1</v>
      </c>
      <c r="C104" s="125"/>
      <c r="D104" s="122" t="b">
        <f>IF(OR(A104=0,ISERROR('Fan Hydraulic Data'!B104)),FALSE,TRUE)</f>
        <v>1</v>
      </c>
    </row>
    <row r="105" spans="1:4" s="768" customFormat="1" ht="12.75">
      <c r="A105" s="123" t="str">
        <f>'House C Data'!A105</f>
        <v>XOE 115-49</v>
      </c>
      <c r="B105" s="125" t="b">
        <f>IF(AND(A105&lt;&gt;0,OR(Pt_in_SU&lt;='Fan Hydraulic Data'!$AI105,Ps_in_SU&lt;='Fan Hydraulic Data'!$AI105),OR(Pt_in_SU&lt;='Fan Hydraulic Data'!$AI105,Ps_in_SU&lt;='Fan Hydraulic Data'!$AI105),Q_in_SU&lt;='Fan Hydraulic Data'!$AK105,Q_in_SU&gt;='Fan Hydraulic Data'!$AL105),TRUE,FALSE)</f>
        <v>1</v>
      </c>
      <c r="C105" s="125"/>
      <c r="D105" s="122" t="b">
        <f>IF(OR(A105=0,ISERROR('Fan Hydraulic Data'!B105)),FALSE,TRUE)</f>
        <v>1</v>
      </c>
    </row>
    <row r="106" spans="1:4" s="768" customFormat="1" ht="12.75">
      <c r="A106" s="123" t="str">
        <f>'House C Data'!A106</f>
        <v>XMP 39-10</v>
      </c>
      <c r="B106" s="125" t="b">
        <f>IF(AND(A106&lt;&gt;0,OR(Pt_in_SU&lt;='Fan Hydraulic Data'!$AI106,Ps_in_SU&lt;='Fan Hydraulic Data'!$AI106),OR(Pt_in_SU&lt;='Fan Hydraulic Data'!$AI106,Ps_in_SU&lt;='Fan Hydraulic Data'!$AI106),Q_in_SU&lt;='Fan Hydraulic Data'!$AK106,Q_in_SU&gt;='Fan Hydraulic Data'!$AL106),TRUE,FALSE)</f>
        <v>0</v>
      </c>
      <c r="C106" s="125"/>
      <c r="D106" s="122" t="b">
        <f>IF(OR(A106=0,ISERROR('Fan Hydraulic Data'!B106)),FALSE,TRUE)</f>
        <v>1</v>
      </c>
    </row>
    <row r="107" spans="1:4" s="768" customFormat="1" ht="12.75">
      <c r="A107" s="123" t="str">
        <f>'House C Data'!A107</f>
        <v>XMP 48-10</v>
      </c>
      <c r="B107" s="125" t="b">
        <f>IF(AND(A107&lt;&gt;0,OR(Pt_in_SU&lt;='Fan Hydraulic Data'!$AI107,Ps_in_SU&lt;='Fan Hydraulic Data'!$AI107),OR(Pt_in_SU&lt;='Fan Hydraulic Data'!$AI107,Ps_in_SU&lt;='Fan Hydraulic Data'!$AI107),Q_in_SU&lt;='Fan Hydraulic Data'!$AK107,Q_in_SU&gt;='Fan Hydraulic Data'!$AL107),TRUE,FALSE)</f>
        <v>0</v>
      </c>
      <c r="C107" s="125"/>
      <c r="D107" s="122" t="b">
        <f>IF(OR(A107=0,ISERROR('Fan Hydraulic Data'!B107)),FALSE,TRUE)</f>
        <v>1</v>
      </c>
    </row>
    <row r="108" spans="1:4" s="768" customFormat="1" ht="12.75">
      <c r="A108" s="123" t="str">
        <f>'House C Data'!A108</f>
        <v>XMP 49-10</v>
      </c>
      <c r="B108" s="125" t="b">
        <f>IF(AND(A108&lt;&gt;0,OR(Pt_in_SU&lt;='Fan Hydraulic Data'!$AI108,Ps_in_SU&lt;='Fan Hydraulic Data'!$AI108),OR(Pt_in_SU&lt;='Fan Hydraulic Data'!$AI108,Ps_in_SU&lt;='Fan Hydraulic Data'!$AI108),Q_in_SU&lt;='Fan Hydraulic Data'!$AK108,Q_in_SU&gt;='Fan Hydraulic Data'!$AL108),TRUE,FALSE)</f>
        <v>0</v>
      </c>
      <c r="C108" s="125"/>
      <c r="D108" s="122" t="b">
        <f>IF(OR(A108=0,ISERROR('Fan Hydraulic Data'!B108)),FALSE,TRUE)</f>
        <v>1</v>
      </c>
    </row>
    <row r="109" spans="1:4" s="768" customFormat="1" ht="12.75">
      <c r="A109" s="123" t="str">
        <f>'House C Data'!A109</f>
        <v>XMP 48-13</v>
      </c>
      <c r="B109" s="125" t="b">
        <f>IF(AND(A109&lt;&gt;0,OR(Pt_in_SU&lt;='Fan Hydraulic Data'!$AI109,Ps_in_SU&lt;='Fan Hydraulic Data'!$AI109),OR(Pt_in_SU&lt;='Fan Hydraulic Data'!$AI109,Ps_in_SU&lt;='Fan Hydraulic Data'!$AI109),Q_in_SU&lt;='Fan Hydraulic Data'!$AK109,Q_in_SU&gt;='Fan Hydraulic Data'!$AL109),TRUE,FALSE)</f>
        <v>0</v>
      </c>
      <c r="C109" s="125"/>
      <c r="D109" s="122" t="b">
        <f>IF(OR(A109=0,ISERROR('Fan Hydraulic Data'!B109)),FALSE,TRUE)</f>
        <v>1</v>
      </c>
    </row>
    <row r="110" spans="1:4">
      <c r="A110" s="123" t="str">
        <f>'House C Data'!A110</f>
        <v>XMP 52-10</v>
      </c>
      <c r="B110" s="125" t="b">
        <f>IF(AND(A110&lt;&gt;0,OR(Pt_in_SU&lt;='Fan Hydraulic Data'!$AI110,Ps_in_SU&lt;='Fan Hydraulic Data'!$AI110),OR(Pt_in_SU&lt;='Fan Hydraulic Data'!$AI110,Ps_in_SU&lt;='Fan Hydraulic Data'!$AI110),Q_in_SU&lt;='Fan Hydraulic Data'!$AK110,Q_in_SU&gt;='Fan Hydraulic Data'!$AL110),TRUE,FALSE)</f>
        <v>0</v>
      </c>
      <c r="D110" s="122" t="b">
        <f>IF(OR(A110=0,ISERROR('Fan Hydraulic Data'!B110)),FALSE,TRUE)</f>
        <v>1</v>
      </c>
    </row>
    <row r="111" spans="1:4">
      <c r="A111" s="123" t="str">
        <f>'House C Data'!A111</f>
        <v>XMP 52-16</v>
      </c>
      <c r="B111" s="125" t="b">
        <f>IF(AND(A111&lt;&gt;0,OR(Pt_in_SU&lt;='Fan Hydraulic Data'!$AI111,Ps_in_SU&lt;='Fan Hydraulic Data'!$AI111),OR(Pt_in_SU&lt;='Fan Hydraulic Data'!$AI111,Ps_in_SU&lt;='Fan Hydraulic Data'!$AI111),Q_in_SU&lt;='Fan Hydraulic Data'!$AK111,Q_in_SU&gt;='Fan Hydraulic Data'!$AL111),TRUE,FALSE)</f>
        <v>0</v>
      </c>
      <c r="D111" s="122" t="b">
        <f>IF(OR(A111=0,ISERROR('Fan Hydraulic Data'!B111)),FALSE,TRUE)</f>
        <v>1</v>
      </c>
    </row>
    <row r="112" spans="1:4">
      <c r="A112" s="123" t="str">
        <f>'House C Data'!A112</f>
        <v>XMP 52-20</v>
      </c>
      <c r="B112" s="125" t="b">
        <f>IF(AND(A112&lt;&gt;0,OR(Pt_in_SU&lt;='Fan Hydraulic Data'!$AI112,Ps_in_SU&lt;='Fan Hydraulic Data'!$AI112),OR(Pt_in_SU&lt;='Fan Hydraulic Data'!$AI112,Ps_in_SU&lt;='Fan Hydraulic Data'!$AI112),Q_in_SU&lt;='Fan Hydraulic Data'!$AK112,Q_in_SU&gt;='Fan Hydraulic Data'!$AL112),TRUE,FALSE)</f>
        <v>0</v>
      </c>
      <c r="D112" s="122" t="b">
        <f>IF(OR(A112=0,ISERROR('Fan Hydraulic Data'!B112)),FALSE,TRUE)</f>
        <v>1</v>
      </c>
    </row>
    <row r="113" spans="1:4">
      <c r="A113" s="123" t="str">
        <f>'House C Data'!A113</f>
        <v>XMP 52-25</v>
      </c>
      <c r="B113" s="125" t="b">
        <f>IF(AND(A113&lt;&gt;0,OR(Pt_in_SU&lt;='Fan Hydraulic Data'!$AI113,Ps_in_SU&lt;='Fan Hydraulic Data'!$AI113),OR(Pt_in_SU&lt;='Fan Hydraulic Data'!$AI113,Ps_in_SU&lt;='Fan Hydraulic Data'!$AI113),Q_in_SU&lt;='Fan Hydraulic Data'!$AK113,Q_in_SU&gt;='Fan Hydraulic Data'!$AL113),TRUE,FALSE)</f>
        <v>0</v>
      </c>
      <c r="D113" s="122" t="b">
        <f>IF(OR(A113=0,ISERROR('Fan Hydraulic Data'!B113)),FALSE,TRUE)</f>
        <v>1</v>
      </c>
    </row>
    <row r="114" spans="1:4">
      <c r="A114" s="123" t="str">
        <f>'House C Data'!A114</f>
        <v>XMP 76-20</v>
      </c>
      <c r="B114" s="125" t="b">
        <f>IF(AND(A114&lt;&gt;0,OR(Pt_in_SU&lt;='Fan Hydraulic Data'!$AI114,Ps_in_SU&lt;='Fan Hydraulic Data'!$AI114),OR(Pt_in_SU&lt;='Fan Hydraulic Data'!$AI114,Ps_in_SU&lt;='Fan Hydraulic Data'!$AI114),Q_in_SU&lt;='Fan Hydraulic Data'!$AK114,Q_in_SU&gt;='Fan Hydraulic Data'!$AL114),TRUE,FALSE)</f>
        <v>0</v>
      </c>
      <c r="D114" s="122" t="b">
        <f>IF(OR(A114=0,ISERROR('Fan Hydraulic Data'!B114)),FALSE,TRUE)</f>
        <v>1</v>
      </c>
    </row>
    <row r="115" spans="1:4">
      <c r="A115" s="123" t="str">
        <f>'House C Data'!A115</f>
        <v>XMP 76-25</v>
      </c>
      <c r="B115" s="125" t="b">
        <f>IF(AND(A115&lt;&gt;0,OR(Pt_in_SU&lt;='Fan Hydraulic Data'!$AI115,Ps_in_SU&lt;='Fan Hydraulic Data'!$AI115),OR(Pt_in_SU&lt;='Fan Hydraulic Data'!$AI115,Ps_in_SU&lt;='Fan Hydraulic Data'!$AI115),Q_in_SU&lt;='Fan Hydraulic Data'!$AK115,Q_in_SU&gt;='Fan Hydraulic Data'!$AL115),TRUE,FALSE)</f>
        <v>0</v>
      </c>
      <c r="D115" s="122" t="b">
        <f>IF(OR(A115=0,ISERROR('Fan Hydraulic Data'!B115)),FALSE,TRUE)</f>
        <v>1</v>
      </c>
    </row>
    <row r="116" spans="1:4">
      <c r="A116" s="123" t="str">
        <f>'House C Data'!A116</f>
        <v>XMP 76-31</v>
      </c>
      <c r="B116" s="125" t="b">
        <f>IF(AND(A116&lt;&gt;0,OR(Pt_in_SU&lt;='Fan Hydraulic Data'!$AI116,Ps_in_SU&lt;='Fan Hydraulic Data'!$AI116),OR(Pt_in_SU&lt;='Fan Hydraulic Data'!$AI116,Ps_in_SU&lt;='Fan Hydraulic Data'!$AI116),Q_in_SU&lt;='Fan Hydraulic Data'!$AK116,Q_in_SU&gt;='Fan Hydraulic Data'!$AL116),TRUE,FALSE)</f>
        <v>0</v>
      </c>
      <c r="D116" s="122" t="b">
        <f>IF(OR(A116=0,ISERROR('Fan Hydraulic Data'!B116)),FALSE,TRUE)</f>
        <v>1</v>
      </c>
    </row>
    <row r="117" spans="1:4">
      <c r="A117" s="123" t="str">
        <f>'House C Data'!A117</f>
        <v>XMP 89-20</v>
      </c>
      <c r="B117" s="125" t="b">
        <f>IF(AND(A117&lt;&gt;0,OR(Pt_in_SU&lt;='Fan Hydraulic Data'!$AI117,Ps_in_SU&lt;='Fan Hydraulic Data'!$AI117),OR(Pt_in_SU&lt;='Fan Hydraulic Data'!$AI117,Ps_in_SU&lt;='Fan Hydraulic Data'!$AI117),Q_in_SU&lt;='Fan Hydraulic Data'!$AK117,Q_in_SU&gt;='Fan Hydraulic Data'!$AL117),TRUE,FALSE)</f>
        <v>0</v>
      </c>
      <c r="D117" s="122" t="b">
        <f>IF(OR(A117=0,ISERROR('Fan Hydraulic Data'!B117)),FALSE,TRUE)</f>
        <v>1</v>
      </c>
    </row>
    <row r="118" spans="1:4">
      <c r="A118" s="123" t="str">
        <f>'House C Data'!A118</f>
        <v>XMP 90-25</v>
      </c>
      <c r="B118" s="125" t="b">
        <f>IF(AND(A118&lt;&gt;0,OR(Pt_in_SU&lt;='Fan Hydraulic Data'!$AI118,Ps_in_SU&lt;='Fan Hydraulic Data'!$AI118),OR(Pt_in_SU&lt;='Fan Hydraulic Data'!$AI118,Ps_in_SU&lt;='Fan Hydraulic Data'!$AI118),Q_in_SU&lt;='Fan Hydraulic Data'!$AK118,Q_in_SU&gt;='Fan Hydraulic Data'!$AL118),TRUE,FALSE)</f>
        <v>1</v>
      </c>
      <c r="D118" s="122" t="b">
        <f>IF(OR(A118=0,ISERROR('Fan Hydraulic Data'!B118)),FALSE,TRUE)</f>
        <v>1</v>
      </c>
    </row>
    <row r="119" spans="1:4">
      <c r="A119" s="123" t="str">
        <f>'House C Data'!A119</f>
        <v>XMP 90-25A</v>
      </c>
      <c r="B119" s="125" t="b">
        <f>IF(AND(A119&lt;&gt;0,OR(Pt_in_SU&lt;='Fan Hydraulic Data'!$AI119,Ps_in_SU&lt;='Fan Hydraulic Data'!$AI119),OR(Pt_in_SU&lt;='Fan Hydraulic Data'!$AI119,Ps_in_SU&lt;='Fan Hydraulic Data'!$AI119),Q_in_SU&lt;='Fan Hydraulic Data'!$AK119,Q_in_SU&gt;='Fan Hydraulic Data'!$AL119),TRUE,FALSE)</f>
        <v>1</v>
      </c>
      <c r="D119" s="122" t="b">
        <f>IF(OR(A119=0,ISERROR('Fan Hydraulic Data'!B119)),FALSE,TRUE)</f>
        <v>1</v>
      </c>
    </row>
    <row r="120" spans="1:4">
      <c r="A120" s="123" t="str">
        <f>'House C Data'!A120</f>
        <v>XMP 90-25B</v>
      </c>
      <c r="B120" s="125" t="b">
        <f>IF(AND(A120&lt;&gt;0,OR(Pt_in_SU&lt;='Fan Hydraulic Data'!$AI120,Ps_in_SU&lt;='Fan Hydraulic Data'!$AI120),OR(Pt_in_SU&lt;='Fan Hydraulic Data'!$AI120,Ps_in_SU&lt;='Fan Hydraulic Data'!$AI120),Q_in_SU&lt;='Fan Hydraulic Data'!$AK120,Q_in_SU&gt;='Fan Hydraulic Data'!$AL120),TRUE,FALSE)</f>
        <v>1</v>
      </c>
      <c r="D120" s="122" t="b">
        <f>IF(OR(A120=0,ISERROR('Fan Hydraulic Data'!B120)),FALSE,TRUE)</f>
        <v>1</v>
      </c>
    </row>
    <row r="121" spans="1:4">
      <c r="A121" s="123" t="str">
        <f>'House C Data'!A121</f>
        <v>XMP 90-31</v>
      </c>
      <c r="B121" s="125" t="b">
        <f>IF(AND(A121&lt;&gt;0,OR(Pt_in_SU&lt;='Fan Hydraulic Data'!$AI121,Ps_in_SU&lt;='Fan Hydraulic Data'!$AI121),OR(Pt_in_SU&lt;='Fan Hydraulic Data'!$AI121,Ps_in_SU&lt;='Fan Hydraulic Data'!$AI121),Q_in_SU&lt;='Fan Hydraulic Data'!$AK121,Q_in_SU&gt;='Fan Hydraulic Data'!$AL121),TRUE,FALSE)</f>
        <v>1</v>
      </c>
      <c r="D121" s="122" t="b">
        <f>IF(OR(A121=0,ISERROR('Fan Hydraulic Data'!B121)),FALSE,TRUE)</f>
        <v>1</v>
      </c>
    </row>
    <row r="122" spans="1:4">
      <c r="A122" s="123" t="str">
        <f>'House C Data'!A122</f>
        <v>XMP 90-31A</v>
      </c>
      <c r="B122" s="125" t="b">
        <f>IF(AND(A122&lt;&gt;0,OR(Pt_in_SU&lt;='Fan Hydraulic Data'!$AI122,Ps_in_SU&lt;='Fan Hydraulic Data'!$AI122),OR(Pt_in_SU&lt;='Fan Hydraulic Data'!$AI122,Ps_in_SU&lt;='Fan Hydraulic Data'!$AI122),Q_in_SU&lt;='Fan Hydraulic Data'!$AK122,Q_in_SU&gt;='Fan Hydraulic Data'!$AL122),TRUE,FALSE)</f>
        <v>1</v>
      </c>
      <c r="D122" s="122" t="b">
        <f>IF(OR(A122=0,ISERROR('Fan Hydraulic Data'!B122)),FALSE,TRUE)</f>
        <v>1</v>
      </c>
    </row>
    <row r="123" spans="1:4">
      <c r="A123" s="123" t="str">
        <f>'House C Data'!A123</f>
        <v>XMP 90-31B</v>
      </c>
      <c r="B123" s="125" t="b">
        <f>IF(AND(A123&lt;&gt;0,OR(Pt_in_SU&lt;='Fan Hydraulic Data'!$AI123,Ps_in_SU&lt;='Fan Hydraulic Data'!$AI123),OR(Pt_in_SU&lt;='Fan Hydraulic Data'!$AI123,Ps_in_SU&lt;='Fan Hydraulic Data'!$AI123),Q_in_SU&lt;='Fan Hydraulic Data'!$AK123,Q_in_SU&gt;='Fan Hydraulic Data'!$AL123),TRUE,FALSE)</f>
        <v>1</v>
      </c>
      <c r="D123" s="122" t="b">
        <f>IF(OR(A123=0,ISERROR('Fan Hydraulic Data'!B123)),FALSE,TRUE)</f>
        <v>1</v>
      </c>
    </row>
    <row r="124" spans="1:4">
      <c r="A124" s="123" t="str">
        <f>'House C Data'!A124</f>
        <v>XMP 90-35</v>
      </c>
      <c r="B124" s="125" t="b">
        <f>IF(AND(A124&lt;&gt;0,OR(Pt_in_SU&lt;='Fan Hydraulic Data'!$AI124,Ps_in_SU&lt;='Fan Hydraulic Data'!$AI124),OR(Pt_in_SU&lt;='Fan Hydraulic Data'!$AI124,Ps_in_SU&lt;='Fan Hydraulic Data'!$AI124),Q_in_SU&lt;='Fan Hydraulic Data'!$AK124,Q_in_SU&gt;='Fan Hydraulic Data'!$AL124),TRUE,FALSE)</f>
        <v>1</v>
      </c>
      <c r="D124" s="122" t="b">
        <f>IF(OR(A124=0,ISERROR('Fan Hydraulic Data'!B124)),FALSE,TRUE)</f>
        <v>1</v>
      </c>
    </row>
    <row r="125" spans="1:4">
      <c r="A125" s="123" t="str">
        <f>'House C Data'!A125</f>
        <v>XMP 90-35A</v>
      </c>
      <c r="B125" s="125" t="b">
        <f>IF(AND(A125&lt;&gt;0,OR(Pt_in_SU&lt;='Fan Hydraulic Data'!$AI125,Ps_in_SU&lt;='Fan Hydraulic Data'!$AI125),OR(Pt_in_SU&lt;='Fan Hydraulic Data'!$AI125,Ps_in_SU&lt;='Fan Hydraulic Data'!$AI125),Q_in_SU&lt;='Fan Hydraulic Data'!$AK125,Q_in_SU&gt;='Fan Hydraulic Data'!$AL125),TRUE,FALSE)</f>
        <v>1</v>
      </c>
      <c r="D125" s="122" t="b">
        <f>IF(OR(A125=0,ISERROR('Fan Hydraulic Data'!B125)),FALSE,TRUE)</f>
        <v>1</v>
      </c>
    </row>
    <row r="126" spans="1:4">
      <c r="A126" s="123" t="str">
        <f>'House C Data'!A126</f>
        <v>XMP 90-35B</v>
      </c>
      <c r="B126" s="125" t="b">
        <f>IF(AND(A126&lt;&gt;0,OR(Pt_in_SU&lt;='Fan Hydraulic Data'!$AI126,Ps_in_SU&lt;='Fan Hydraulic Data'!$AI126),OR(Pt_in_SU&lt;='Fan Hydraulic Data'!$AI126,Ps_in_SU&lt;='Fan Hydraulic Data'!$AI126),Q_in_SU&lt;='Fan Hydraulic Data'!$AK126,Q_in_SU&gt;='Fan Hydraulic Data'!$AL126),TRUE,FALSE)</f>
        <v>1</v>
      </c>
      <c r="D126" s="122" t="b">
        <f>IF(OR(A126=0,ISERROR('Fan Hydraulic Data'!B126)),FALSE,TRUE)</f>
        <v>1</v>
      </c>
    </row>
    <row r="127" spans="1:4">
      <c r="A127" s="123" t="str">
        <f>'House C Data'!A127</f>
        <v>XMP 98-20</v>
      </c>
      <c r="B127" s="125" t="b">
        <f>IF(AND(A127&lt;&gt;0,OR(Pt_in_SU&lt;='Fan Hydraulic Data'!$AI127,Ps_in_SU&lt;='Fan Hydraulic Data'!$AI127),OR(Pt_in_SU&lt;='Fan Hydraulic Data'!$AI127,Ps_in_SU&lt;='Fan Hydraulic Data'!$AI127),Q_in_SU&lt;='Fan Hydraulic Data'!$AK127,Q_in_SU&gt;='Fan Hydraulic Data'!$AL127),TRUE,FALSE)</f>
        <v>0</v>
      </c>
      <c r="D127" s="122" t="b">
        <f>IF(OR(A127=0,ISERROR('Fan Hydraulic Data'!B127)),FALSE,TRUE)</f>
        <v>1</v>
      </c>
    </row>
    <row r="128" spans="1:4">
      <c r="A128" s="123" t="str">
        <f>'House C Data'!A128</f>
        <v>XMP 98-25</v>
      </c>
      <c r="B128" s="125" t="b">
        <f>IF(AND(A128&lt;&gt;0,OR(Pt_in_SU&lt;='Fan Hydraulic Data'!$AI128,Ps_in_SU&lt;='Fan Hydraulic Data'!$AI128),OR(Pt_in_SU&lt;='Fan Hydraulic Data'!$AI128,Ps_in_SU&lt;='Fan Hydraulic Data'!$AI128),Q_in_SU&lt;='Fan Hydraulic Data'!$AK128,Q_in_SU&gt;='Fan Hydraulic Data'!$AL128),TRUE,FALSE)</f>
        <v>0</v>
      </c>
      <c r="D128" s="122" t="b">
        <f>IF(OR(A128=0,ISERROR('Fan Hydraulic Data'!B128)),FALSE,TRUE)</f>
        <v>1</v>
      </c>
    </row>
    <row r="129" spans="1:4">
      <c r="A129" s="123" t="str">
        <f>'House C Data'!A129</f>
        <v>XMP 98-31</v>
      </c>
      <c r="B129" s="125" t="b">
        <f>IF(AND(A129&lt;&gt;0,OR(Pt_in_SU&lt;='Fan Hydraulic Data'!$AI129,Ps_in_SU&lt;='Fan Hydraulic Data'!$AI129),OR(Pt_in_SU&lt;='Fan Hydraulic Data'!$AI129,Ps_in_SU&lt;='Fan Hydraulic Data'!$AI129),Q_in_SU&lt;='Fan Hydraulic Data'!$AK129,Q_in_SU&gt;='Fan Hydraulic Data'!$AL129),TRUE,FALSE)</f>
        <v>1</v>
      </c>
      <c r="D129" s="122" t="b">
        <f>IF(OR(A129=0,ISERROR('Fan Hydraulic Data'!B129)),FALSE,TRUE)</f>
        <v>1</v>
      </c>
    </row>
    <row r="130" spans="1:4">
      <c r="A130" s="123" t="str">
        <f>'House C Data'!A130</f>
        <v>XMP 98-35</v>
      </c>
      <c r="B130" s="125" t="b">
        <f>IF(AND(A130&lt;&gt;0,OR(Pt_in_SU&lt;='Fan Hydraulic Data'!$AI130,Ps_in_SU&lt;='Fan Hydraulic Data'!$AI130),OR(Pt_in_SU&lt;='Fan Hydraulic Data'!$AI130,Ps_in_SU&lt;='Fan Hydraulic Data'!$AI130),Q_in_SU&lt;='Fan Hydraulic Data'!$AK130,Q_in_SU&gt;='Fan Hydraulic Data'!$AL130),TRUE,FALSE)</f>
        <v>1</v>
      </c>
      <c r="D130" s="122" t="b">
        <f>IF(OR(A130=0,ISERROR('Fan Hydraulic Data'!B130)),FALSE,TRUE)</f>
        <v>1</v>
      </c>
    </row>
    <row r="131" spans="1:4">
      <c r="A131" s="123" t="str">
        <f>'House C Data'!A131</f>
        <v>XMP 98-40</v>
      </c>
      <c r="B131" s="125" t="b">
        <f>IF(AND(A131&lt;&gt;0,OR(Pt_in_SU&lt;='Fan Hydraulic Data'!$AI131,Ps_in_SU&lt;='Fan Hydraulic Data'!$AI131),OR(Pt_in_SU&lt;='Fan Hydraulic Data'!$AI131,Ps_in_SU&lt;='Fan Hydraulic Data'!$AI131),Q_in_SU&lt;='Fan Hydraulic Data'!$AK131,Q_in_SU&gt;='Fan Hydraulic Data'!$AL131),TRUE,FALSE)</f>
        <v>1</v>
      </c>
      <c r="D131" s="122" t="b">
        <f>IF(OR(A131=0,ISERROR('Fan Hydraulic Data'!B131)),FALSE,TRUE)</f>
        <v>1</v>
      </c>
    </row>
    <row r="132" spans="1:4">
      <c r="A132" s="123" t="str">
        <f>'House C Data'!A132</f>
        <v>XMP 107-45</v>
      </c>
      <c r="B132" s="125" t="b">
        <f>IF(AND(A132&lt;&gt;0,OR(Pt_in_SU&lt;='Fan Hydraulic Data'!$AI132,Ps_in_SU&lt;='Fan Hydraulic Data'!$AI132),OR(Pt_in_SU&lt;='Fan Hydraulic Data'!$AI132,Ps_in_SU&lt;='Fan Hydraulic Data'!$AI132),Q_in_SU&lt;='Fan Hydraulic Data'!$AK132,Q_in_SU&gt;='Fan Hydraulic Data'!$AL132),TRUE,FALSE)</f>
        <v>1</v>
      </c>
      <c r="D132" s="122" t="b">
        <f>IF(OR(A132=0,ISERROR('Fan Hydraulic Data'!B132)),FALSE,TRUE)</f>
        <v>1</v>
      </c>
    </row>
    <row r="133" spans="1:4">
      <c r="A133" s="123" t="str">
        <f>'House C Data'!A133</f>
        <v>XMP 123-20</v>
      </c>
      <c r="B133" s="125" t="b">
        <f>IF(AND(A133&lt;&gt;0,OR(Pt_in_SU&lt;='Fan Hydraulic Data'!$AI133,Ps_in_SU&lt;='Fan Hydraulic Data'!$AI133),OR(Pt_in_SU&lt;='Fan Hydraulic Data'!$AI133,Ps_in_SU&lt;='Fan Hydraulic Data'!$AI133),Q_in_SU&lt;='Fan Hydraulic Data'!$AK133,Q_in_SU&gt;='Fan Hydraulic Data'!$AL133),TRUE,FALSE)</f>
        <v>0</v>
      </c>
      <c r="D133" s="122" t="b">
        <f>IF(OR(A133=0,ISERROR('Fan Hydraulic Data'!B133)),FALSE,TRUE)</f>
        <v>1</v>
      </c>
    </row>
    <row r="134" spans="1:4">
      <c r="A134" s="123" t="str">
        <f>'House C Data'!A134</f>
        <v>XMP 123-25</v>
      </c>
      <c r="B134" s="125" t="b">
        <f>IF(AND(A134&lt;&gt;0,OR(Pt_in_SU&lt;='Fan Hydraulic Data'!$AI134,Ps_in_SU&lt;='Fan Hydraulic Data'!$AI134),OR(Pt_in_SU&lt;='Fan Hydraulic Data'!$AI134,Ps_in_SU&lt;='Fan Hydraulic Data'!$AI134),Q_in_SU&lt;='Fan Hydraulic Data'!$AK134,Q_in_SU&gt;='Fan Hydraulic Data'!$AL134),TRUE,FALSE)</f>
        <v>1</v>
      </c>
      <c r="D134" s="122" t="b">
        <f>IF(OR(A134=0,ISERROR('Fan Hydraulic Data'!B134)),FALSE,TRUE)</f>
        <v>1</v>
      </c>
    </row>
    <row r="135" spans="1:4">
      <c r="A135" s="123" t="str">
        <f>'House C Data'!A135</f>
        <v>XMP 123-31</v>
      </c>
      <c r="B135" s="125" t="b">
        <f>IF(AND(A135&lt;&gt;0,OR(Pt_in_SU&lt;='Fan Hydraulic Data'!$AI135,Ps_in_SU&lt;='Fan Hydraulic Data'!$AI135),OR(Pt_in_SU&lt;='Fan Hydraulic Data'!$AI135,Ps_in_SU&lt;='Fan Hydraulic Data'!$AI135),Q_in_SU&lt;='Fan Hydraulic Data'!$AK135,Q_in_SU&gt;='Fan Hydraulic Data'!$AL135),TRUE,FALSE)</f>
        <v>1</v>
      </c>
      <c r="D135" s="122" t="b">
        <f>IF(OR(A135=0,ISERROR('Fan Hydraulic Data'!B135)),FALSE,TRUE)</f>
        <v>1</v>
      </c>
    </row>
    <row r="136" spans="1:4">
      <c r="A136" s="123" t="str">
        <f>'House C Data'!A136</f>
        <v>XMP 123-35</v>
      </c>
      <c r="B136" s="125" t="b">
        <f>IF(AND(A136&lt;&gt;0,OR(Pt_in_SU&lt;='Fan Hydraulic Data'!$AI136,Ps_in_SU&lt;='Fan Hydraulic Data'!$AI136),OR(Pt_in_SU&lt;='Fan Hydraulic Data'!$AI136,Ps_in_SU&lt;='Fan Hydraulic Data'!$AI136),Q_in_SU&lt;='Fan Hydraulic Data'!$AK136,Q_in_SU&gt;='Fan Hydraulic Data'!$AL136),TRUE,FALSE)</f>
        <v>1</v>
      </c>
      <c r="D136" s="122" t="b">
        <f>IF(OR(A136=0,ISERROR('Fan Hydraulic Data'!B136)),FALSE,TRUE)</f>
        <v>1</v>
      </c>
    </row>
    <row r="137" spans="1:4">
      <c r="A137" s="123" t="str">
        <f>'House C Data'!A137</f>
        <v>XMP 123-40</v>
      </c>
      <c r="B137" s="125" t="b">
        <f>IF(AND(A137&lt;&gt;0,OR(Pt_in_SU&lt;='Fan Hydraulic Data'!$AI137,Ps_in_SU&lt;='Fan Hydraulic Data'!$AI137),OR(Pt_in_SU&lt;='Fan Hydraulic Data'!$AI137,Ps_in_SU&lt;='Fan Hydraulic Data'!$AI137),Q_in_SU&lt;='Fan Hydraulic Data'!$AK137,Q_in_SU&gt;='Fan Hydraulic Data'!$AL137),TRUE,FALSE)</f>
        <v>1</v>
      </c>
      <c r="D137" s="122" t="b">
        <f>IF(OR(A137=0,ISERROR('Fan Hydraulic Data'!B137)),FALSE,TRUE)</f>
        <v>1</v>
      </c>
    </row>
    <row r="138" spans="1:4">
      <c r="A138" s="123" t="str">
        <f>'House C Data'!A138</f>
        <v>XMP 123-50</v>
      </c>
      <c r="B138" s="125" t="b">
        <f>IF(AND(A138&lt;&gt;0,OR(Pt_in_SU&lt;='Fan Hydraulic Data'!$AI138,Ps_in_SU&lt;='Fan Hydraulic Data'!$AI138),OR(Pt_in_SU&lt;='Fan Hydraulic Data'!$AI138,Ps_in_SU&lt;='Fan Hydraulic Data'!$AI138),Q_in_SU&lt;='Fan Hydraulic Data'!$AK138,Q_in_SU&gt;='Fan Hydraulic Data'!$AL138),TRUE,FALSE)</f>
        <v>1</v>
      </c>
      <c r="D138" s="122" t="b">
        <f>IF(OR(A138=0,ISERROR('Fan Hydraulic Data'!B138)),FALSE,TRUE)</f>
        <v>1</v>
      </c>
    </row>
    <row r="139" spans="1:4">
      <c r="A139" s="123" t="str">
        <f>'House C Data'!A139</f>
        <v>XMP 138-55</v>
      </c>
      <c r="B139" s="125" t="b">
        <f>IF(AND(A139&lt;&gt;0,OR(Pt_in_SU&lt;='Fan Hydraulic Data'!$AI139,Ps_in_SU&lt;='Fan Hydraulic Data'!$AI139),OR(Pt_in_SU&lt;='Fan Hydraulic Data'!$AI139,Ps_in_SU&lt;='Fan Hydraulic Data'!$AI139),Q_in_SU&lt;='Fan Hydraulic Data'!$AK139,Q_in_SU&gt;='Fan Hydraulic Data'!$AL139),TRUE,FALSE)</f>
        <v>1</v>
      </c>
      <c r="D139" s="122" t="b">
        <f>IF(OR(A139=0,ISERROR('Fan Hydraulic Data'!B139)),FALSE,TRUE)</f>
        <v>1</v>
      </c>
    </row>
    <row r="140" spans="1:4">
      <c r="A140" s="123" t="str">
        <f>'House C Data'!A140</f>
        <v>XMP 144-63</v>
      </c>
      <c r="B140" s="125" t="b">
        <f>IF(AND(A140&lt;&gt;0,OR(Pt_in_SU&lt;='Fan Hydraulic Data'!$AI140,Ps_in_SU&lt;='Fan Hydraulic Data'!$AI140),OR(Pt_in_SU&lt;='Fan Hydraulic Data'!$AI140,Ps_in_SU&lt;='Fan Hydraulic Data'!$AI140),Q_in_SU&lt;='Fan Hydraulic Data'!$AK140,Q_in_SU&gt;='Fan Hydraulic Data'!$AL140),TRUE,FALSE)</f>
        <v>1</v>
      </c>
      <c r="D140" s="122" t="b">
        <f>IF(OR(A140=0,ISERROR('Fan Hydraulic Data'!B140)),FALSE,TRUE)</f>
        <v>1</v>
      </c>
    </row>
    <row r="141" spans="1:4">
      <c r="A141" s="123" t="str">
        <f>'House C Data'!A141</f>
        <v>XMP 198-70</v>
      </c>
      <c r="B141" s="125" t="b">
        <f>IF(AND(A141&lt;&gt;0,OR(Pt_in_SU&lt;='Fan Hydraulic Data'!$AI141,Ps_in_SU&lt;='Fan Hydraulic Data'!$AI141),OR(Pt_in_SU&lt;='Fan Hydraulic Data'!$AI141,Ps_in_SU&lt;='Fan Hydraulic Data'!$AI141),Q_in_SU&lt;='Fan Hydraulic Data'!$AK141,Q_in_SU&gt;='Fan Hydraulic Data'!$AL141),TRUE,FALSE)</f>
        <v>0</v>
      </c>
      <c r="D141" s="122" t="b">
        <f>IF(OR(A141=0,ISERROR('Fan Hydraulic Data'!B141)),FALSE,TRUE)</f>
        <v>1</v>
      </c>
    </row>
    <row r="142" spans="1:4">
      <c r="A142" s="123" t="str">
        <f>'House C Data'!A142</f>
        <v>XMP 215-80</v>
      </c>
      <c r="B142" s="125" t="b">
        <f>IF(AND(A142&lt;&gt;0,OR(Pt_in_SU&lt;='Fan Hydraulic Data'!$AI142,Ps_in_SU&lt;='Fan Hydraulic Data'!$AI142),OR(Pt_in_SU&lt;='Fan Hydraulic Data'!$AI142,Ps_in_SU&lt;='Fan Hydraulic Data'!$AI142),Q_in_SU&lt;='Fan Hydraulic Data'!$AK142,Q_in_SU&gt;='Fan Hydraulic Data'!$AL142),TRUE,FALSE)</f>
        <v>0</v>
      </c>
      <c r="D142" s="122" t="b">
        <f>IF(OR(A142=0,ISERROR('Fan Hydraulic Data'!B142)),FALSE,TRUE)</f>
        <v>1</v>
      </c>
    </row>
    <row r="143" spans="1:4">
      <c r="A143" s="123" t="str">
        <f>'House C Data'!A143</f>
        <v>XSP 58-16</v>
      </c>
      <c r="B143" s="125" t="b">
        <f>IF(AND(A143&lt;&gt;0,OR(Pt_in_SU&lt;='Fan Hydraulic Data'!$AI143,Ps_in_SU&lt;='Fan Hydraulic Data'!$AI143),OR(Pt_in_SU&lt;='Fan Hydraulic Data'!$AI143,Ps_in_SU&lt;='Fan Hydraulic Data'!$AI143),Q_in_SU&lt;='Fan Hydraulic Data'!$AK143,Q_in_SU&gt;='Fan Hydraulic Data'!$AL143),TRUE,FALSE)</f>
        <v>0</v>
      </c>
      <c r="D143" s="122" t="b">
        <f>IF(OR(A143=0,ISERROR('Fan Hydraulic Data'!B143)),FALSE,TRUE)</f>
        <v>1</v>
      </c>
    </row>
    <row r="144" spans="1:4">
      <c r="A144" s="123" t="str">
        <f>'House C Data'!A144</f>
        <v>XSP 58-16A</v>
      </c>
      <c r="B144" s="125" t="b">
        <f>IF(AND(A144&lt;&gt;0,OR(Pt_in_SU&lt;='Fan Hydraulic Data'!$AI144,Ps_in_SU&lt;='Fan Hydraulic Data'!$AI144),OR(Pt_in_SU&lt;='Fan Hydraulic Data'!$AI144,Ps_in_SU&lt;='Fan Hydraulic Data'!$AI144),Q_in_SU&lt;='Fan Hydraulic Data'!$AK144,Q_in_SU&gt;='Fan Hydraulic Data'!$AL144),TRUE,FALSE)</f>
        <v>0</v>
      </c>
      <c r="D144" s="122" t="b">
        <f>IF(OR(A144=0,ISERROR('Fan Hydraulic Data'!B144)),FALSE,TRUE)</f>
        <v>1</v>
      </c>
    </row>
    <row r="145" spans="1:4">
      <c r="A145" s="123" t="str">
        <f>'House C Data'!A145</f>
        <v>XSP 58-16B</v>
      </c>
      <c r="B145" s="125" t="b">
        <f>IF(AND(A145&lt;&gt;0,OR(Pt_in_SU&lt;='Fan Hydraulic Data'!$AI145,Ps_in_SU&lt;='Fan Hydraulic Data'!$AI145),OR(Pt_in_SU&lt;='Fan Hydraulic Data'!$AI145,Ps_in_SU&lt;='Fan Hydraulic Data'!$AI145),Q_in_SU&lt;='Fan Hydraulic Data'!$AK145,Q_in_SU&gt;='Fan Hydraulic Data'!$AL145),TRUE,FALSE)</f>
        <v>0</v>
      </c>
      <c r="D145" s="122" t="b">
        <f>IF(OR(A145=0,ISERROR('Fan Hydraulic Data'!B145)),FALSE,TRUE)</f>
        <v>1</v>
      </c>
    </row>
    <row r="146" spans="1:4">
      <c r="A146" s="123" t="str">
        <f>'House C Data'!A146</f>
        <v>XSP 58-20</v>
      </c>
      <c r="B146" s="125" t="b">
        <f>IF(AND(A146&lt;&gt;0,OR(Pt_in_SU&lt;='Fan Hydraulic Data'!$AI146,Ps_in_SU&lt;='Fan Hydraulic Data'!$AI146),OR(Pt_in_SU&lt;='Fan Hydraulic Data'!$AI146,Ps_in_SU&lt;='Fan Hydraulic Data'!$AI146),Q_in_SU&lt;='Fan Hydraulic Data'!$AK146,Q_in_SU&gt;='Fan Hydraulic Data'!$AL146),TRUE,FALSE)</f>
        <v>0</v>
      </c>
      <c r="D146" s="122" t="b">
        <f>IF(OR(A146=0,ISERROR('Fan Hydraulic Data'!B146)),FALSE,TRUE)</f>
        <v>1</v>
      </c>
    </row>
    <row r="147" spans="1:4">
      <c r="A147" s="123" t="str">
        <f>'House C Data'!A147</f>
        <v>XSP 70-25</v>
      </c>
      <c r="B147" s="125" t="b">
        <f>IF(AND(A147&lt;&gt;0,OR(Pt_in_SU&lt;='Fan Hydraulic Data'!$AI147,Ps_in_SU&lt;='Fan Hydraulic Data'!$AI147),OR(Pt_in_SU&lt;='Fan Hydraulic Data'!$AI147,Ps_in_SU&lt;='Fan Hydraulic Data'!$AI147),Q_in_SU&lt;='Fan Hydraulic Data'!$AK147,Q_in_SU&gt;='Fan Hydraulic Data'!$AL147),TRUE,FALSE)</f>
        <v>0</v>
      </c>
      <c r="D147" s="122" t="b">
        <f>IF(OR(A147=0,ISERROR('Fan Hydraulic Data'!B147)),FALSE,TRUE)</f>
        <v>1</v>
      </c>
    </row>
    <row r="148" spans="1:4">
      <c r="A148" s="123" t="str">
        <f>'House C Data'!A148</f>
        <v>XSP 76-25</v>
      </c>
      <c r="B148" s="125" t="b">
        <f>IF(AND(A148&lt;&gt;0,OR(Pt_in_SU&lt;='Fan Hydraulic Data'!$AI148,Ps_in_SU&lt;='Fan Hydraulic Data'!$AI148),OR(Pt_in_SU&lt;='Fan Hydraulic Data'!$AI148,Ps_in_SU&lt;='Fan Hydraulic Data'!$AI148),Q_in_SU&lt;='Fan Hydraulic Data'!$AK148,Q_in_SU&gt;='Fan Hydraulic Data'!$AL148),TRUE,FALSE)</f>
        <v>0</v>
      </c>
      <c r="D148" s="122" t="b">
        <f>IF(OR(A148=0,ISERROR('Fan Hydraulic Data'!B148)),FALSE,TRUE)</f>
        <v>1</v>
      </c>
    </row>
    <row r="149" spans="1:4">
      <c r="A149" s="123" t="str">
        <f>'House C Data'!A149</f>
        <v>XSP 76-31</v>
      </c>
      <c r="B149" s="125" t="b">
        <f>IF(AND(A149&lt;&gt;0,OR(Pt_in_SU&lt;='Fan Hydraulic Data'!$AI149,Ps_in_SU&lt;='Fan Hydraulic Data'!$AI149),OR(Pt_in_SU&lt;='Fan Hydraulic Data'!$AI149,Ps_in_SU&lt;='Fan Hydraulic Data'!$AI149),Q_in_SU&lt;='Fan Hydraulic Data'!$AK149,Q_in_SU&gt;='Fan Hydraulic Data'!$AL149),TRUE,FALSE)</f>
        <v>0</v>
      </c>
      <c r="D149" s="122" t="b">
        <f>IF(OR(A149=0,ISERROR('Fan Hydraulic Data'!B149)),FALSE,TRUE)</f>
        <v>1</v>
      </c>
    </row>
    <row r="150" spans="1:4">
      <c r="A150" s="123" t="str">
        <f>'House C Data'!A150</f>
        <v>XSP 90-25</v>
      </c>
      <c r="B150" s="125" t="b">
        <f>IF(AND(A150&lt;&gt;0,OR(Pt_in_SU&lt;='Fan Hydraulic Data'!$AI150,Ps_in_SU&lt;='Fan Hydraulic Data'!$AI150),OR(Pt_in_SU&lt;='Fan Hydraulic Data'!$AI150,Ps_in_SU&lt;='Fan Hydraulic Data'!$AI150),Q_in_SU&lt;='Fan Hydraulic Data'!$AK150,Q_in_SU&gt;='Fan Hydraulic Data'!$AL150),TRUE,FALSE)</f>
        <v>0</v>
      </c>
      <c r="D150" s="122" t="b">
        <f>IF(OR(A150=0,ISERROR('Fan Hydraulic Data'!B150)),FALSE,TRUE)</f>
        <v>1</v>
      </c>
    </row>
    <row r="151" spans="1:4">
      <c r="A151" s="123" t="str">
        <f>'House C Data'!A151</f>
        <v>XSP 90-35</v>
      </c>
      <c r="B151" s="125" t="b">
        <f>IF(AND(A151&lt;&gt;0,OR(Pt_in_SU&lt;='Fan Hydraulic Data'!$AI151,Ps_in_SU&lt;='Fan Hydraulic Data'!$AI151),OR(Pt_in_SU&lt;='Fan Hydraulic Data'!$AI151,Ps_in_SU&lt;='Fan Hydraulic Data'!$AI151),Q_in_SU&lt;='Fan Hydraulic Data'!$AK151,Q_in_SU&gt;='Fan Hydraulic Data'!$AL151),TRUE,FALSE)</f>
        <v>0</v>
      </c>
      <c r="D151" s="122" t="b">
        <f>IF(OR(A151=0,ISERROR('Fan Hydraulic Data'!B151)),FALSE,TRUE)</f>
        <v>1</v>
      </c>
    </row>
    <row r="152" spans="1:4">
      <c r="A152" s="123" t="str">
        <f>'House C Data'!A152</f>
        <v>XSP 98-35</v>
      </c>
      <c r="B152" s="125" t="b">
        <f>IF(AND(A152&lt;&gt;0,OR(Pt_in_SU&lt;='Fan Hydraulic Data'!$AI152,Ps_in_SU&lt;='Fan Hydraulic Data'!$AI152),OR(Pt_in_SU&lt;='Fan Hydraulic Data'!$AI152,Ps_in_SU&lt;='Fan Hydraulic Data'!$AI152),Q_in_SU&lt;='Fan Hydraulic Data'!$AK152,Q_in_SU&gt;='Fan Hydraulic Data'!$AL152),TRUE,FALSE)</f>
        <v>0</v>
      </c>
      <c r="D152" s="122" t="b">
        <f>IF(OR(A152=0,ISERROR('Fan Hydraulic Data'!B152)),FALSE,TRUE)</f>
        <v>1</v>
      </c>
    </row>
    <row r="153" spans="1:4">
      <c r="A153" s="123" t="str">
        <f>'House C Data'!A153</f>
        <v>XSP 98-40</v>
      </c>
      <c r="B153" s="125" t="b">
        <f>IF(AND(A153&lt;&gt;0,OR(Pt_in_SU&lt;='Fan Hydraulic Data'!$AI153,Ps_in_SU&lt;='Fan Hydraulic Data'!$AI153),OR(Pt_in_SU&lt;='Fan Hydraulic Data'!$AI153,Ps_in_SU&lt;='Fan Hydraulic Data'!$AI153),Q_in_SU&lt;='Fan Hydraulic Data'!$AK153,Q_in_SU&gt;='Fan Hydraulic Data'!$AL153),TRUE,FALSE)</f>
        <v>0</v>
      </c>
      <c r="D153" s="122" t="b">
        <f>IF(OR(A153=0,ISERROR('Fan Hydraulic Data'!B153)),FALSE,TRUE)</f>
        <v>1</v>
      </c>
    </row>
    <row r="154" spans="1:4">
      <c r="A154" s="123" t="str">
        <f>'House C Data'!A154</f>
        <v>XSP 108-45</v>
      </c>
      <c r="B154" s="125" t="b">
        <f>IF(AND(A154&lt;&gt;0,OR(Pt_in_SU&lt;='Fan Hydraulic Data'!$AI154,Ps_in_SU&lt;='Fan Hydraulic Data'!$AI154),OR(Pt_in_SU&lt;='Fan Hydraulic Data'!$AI154,Ps_in_SU&lt;='Fan Hydraulic Data'!$AI154),Q_in_SU&lt;='Fan Hydraulic Data'!$AK154,Q_in_SU&gt;='Fan Hydraulic Data'!$AL154),TRUE,FALSE)</f>
        <v>0</v>
      </c>
      <c r="D154" s="122" t="b">
        <f>IF(OR(A154=0,ISERROR('Fan Hydraulic Data'!B154)),FALSE,TRUE)</f>
        <v>1</v>
      </c>
    </row>
    <row r="155" spans="1:4">
      <c r="A155" s="123" t="str">
        <f>'House C Data'!A155</f>
        <v>XSP 123-40</v>
      </c>
      <c r="B155" s="125" t="b">
        <f>IF(AND(A155&lt;&gt;0,OR(Pt_in_SU&lt;='Fan Hydraulic Data'!$AI155,Ps_in_SU&lt;='Fan Hydraulic Data'!$AI155),OR(Pt_in_SU&lt;='Fan Hydraulic Data'!$AI155,Ps_in_SU&lt;='Fan Hydraulic Data'!$AI155),Q_in_SU&lt;='Fan Hydraulic Data'!$AK155,Q_in_SU&gt;='Fan Hydraulic Data'!$AL155),TRUE,FALSE)</f>
        <v>0</v>
      </c>
      <c r="D155" s="122" t="b">
        <f>IF(OR(A155=0,ISERROR('Fan Hydraulic Data'!B155)),FALSE,TRUE)</f>
        <v>1</v>
      </c>
    </row>
    <row r="156" spans="1:4">
      <c r="A156" s="123" t="str">
        <f>'House C Data'!A156</f>
        <v>XSP 123-50</v>
      </c>
      <c r="B156" s="125" t="b">
        <f>IF(AND(A156&lt;&gt;0,OR(Pt_in_SU&lt;='Fan Hydraulic Data'!$AI156,Ps_in_SU&lt;='Fan Hydraulic Data'!$AI156),OR(Pt_in_SU&lt;='Fan Hydraulic Data'!$AI156,Ps_in_SU&lt;='Fan Hydraulic Data'!$AI156),Q_in_SU&lt;='Fan Hydraulic Data'!$AK156,Q_in_SU&gt;='Fan Hydraulic Data'!$AL156),TRUE,FALSE)</f>
        <v>0</v>
      </c>
      <c r="D156" s="122" t="b">
        <f>IF(OR(A156=0,ISERROR('Fan Hydraulic Data'!B156)),FALSE,TRUE)</f>
        <v>1</v>
      </c>
    </row>
    <row r="157" spans="1:4">
      <c r="A157" s="123" t="str">
        <f>'House C Data'!A157</f>
        <v>XSP 138-55</v>
      </c>
      <c r="B157" s="125" t="b">
        <f>IF(AND(A157&lt;&gt;0,OR(Pt_in_SU&lt;='Fan Hydraulic Data'!$AI157,Ps_in_SU&lt;='Fan Hydraulic Data'!$AI157),OR(Pt_in_SU&lt;='Fan Hydraulic Data'!$AI157,Ps_in_SU&lt;='Fan Hydraulic Data'!$AI157),Q_in_SU&lt;='Fan Hydraulic Data'!$AK157,Q_in_SU&gt;='Fan Hydraulic Data'!$AL157),TRUE,FALSE)</f>
        <v>0</v>
      </c>
      <c r="D157" s="122" t="b">
        <f>IF(OR(A157=0,ISERROR('Fan Hydraulic Data'!B157)),FALSE,TRUE)</f>
        <v>1</v>
      </c>
    </row>
    <row r="158" spans="1:4" s="129" customFormat="1">
      <c r="A158" s="123" t="str">
        <f>'House C Data'!A158</f>
        <v>XSP 144-63</v>
      </c>
      <c r="B158" s="129" t="b">
        <f>IF(AND(A158&lt;&gt;0,OR(Pt_in_SU&lt;='Fan Hydraulic Data'!$AI158,Ps_in_SU&lt;='Fan Hydraulic Data'!$AI158),OR(Pt_in_SU&lt;='Fan Hydraulic Data'!$AI158,Ps_in_SU&lt;='Fan Hydraulic Data'!$AI158),Q_in_SU&lt;='Fan Hydraulic Data'!$AK158,Q_in_SU&gt;='Fan Hydraulic Data'!$AL158),TRUE,FALSE)</f>
        <v>0</v>
      </c>
      <c r="D158" s="122" t="b">
        <f>IF(OR(A158=0,ISERROR('Fan Hydraulic Data'!B158)),FALSE,TRUE)</f>
        <v>1</v>
      </c>
    </row>
    <row r="159" spans="1:4" s="129" customFormat="1">
      <c r="A159" s="123" t="str">
        <f>'House C Data'!A159</f>
        <v>XSP 198-70</v>
      </c>
      <c r="B159" s="129" t="b">
        <f>IF(AND(A159&lt;&gt;0,OR(Pt_in_SU&lt;='Fan Hydraulic Data'!$AI159,Ps_in_SU&lt;='Fan Hydraulic Data'!$AI159),OR(Pt_in_SU&lt;='Fan Hydraulic Data'!$AI159,Ps_in_SU&lt;='Fan Hydraulic Data'!$AI159),Q_in_SU&lt;='Fan Hydraulic Data'!$AK159,Q_in_SU&gt;='Fan Hydraulic Data'!$AL159),TRUE,FALSE)</f>
        <v>0</v>
      </c>
      <c r="D159" s="122" t="b">
        <f>IF(OR(A159=0,ISERROR('Fan Hydraulic Data'!B159)),FALSE,TRUE)</f>
        <v>1</v>
      </c>
    </row>
    <row r="160" spans="1:4">
      <c r="A160" s="123" t="str">
        <f>'House C Data'!A160</f>
        <v>XSP 215-80</v>
      </c>
      <c r="B160" s="125" t="b">
        <f>IF(AND(A160&lt;&gt;0,OR(Pt_in_SU&lt;='Fan Hydraulic Data'!$AI160,Ps_in_SU&lt;='Fan Hydraulic Data'!$AI160),OR(Pt_in_SU&lt;='Fan Hydraulic Data'!$AI160,Ps_in_SU&lt;='Fan Hydraulic Data'!$AI160),Q_in_SU&lt;='Fan Hydraulic Data'!$AK160,Q_in_SU&gt;='Fan Hydraulic Data'!$AL160),TRUE,FALSE)</f>
        <v>0</v>
      </c>
      <c r="D160" s="122" t="b">
        <f>IF(OR(A160=0,ISERROR('Fan Hydraulic Data'!B160)),FALSE,TRUE)</f>
        <v>1</v>
      </c>
    </row>
    <row r="161" spans="1:4">
      <c r="A161" s="123" t="str">
        <f>'House C Data'!A161</f>
        <v>XHP 63-10</v>
      </c>
      <c r="B161" s="125" t="b">
        <f>IF(AND(A161&lt;&gt;0,OR(Pt_in_SU&lt;='Fan Hydraulic Data'!$AI161,Ps_in_SU&lt;='Fan Hydraulic Data'!$AI161),OR(Pt_in_SU&lt;='Fan Hydraulic Data'!$AI161,Ps_in_SU&lt;='Fan Hydraulic Data'!$AI161),Q_in_SU&lt;='Fan Hydraulic Data'!$AK161,Q_in_SU&gt;='Fan Hydraulic Data'!$AL161),TRUE,FALSE)</f>
        <v>0</v>
      </c>
      <c r="D161" s="122" t="b">
        <f>IF(OR(A161=0,ISERROR('Fan Hydraulic Data'!B161)),FALSE,TRUE)</f>
        <v>1</v>
      </c>
    </row>
    <row r="162" spans="1:4">
      <c r="A162" s="123" t="str">
        <f>'House C Data'!A162</f>
        <v>XHP 63-15</v>
      </c>
      <c r="B162" s="125" t="b">
        <f>IF(AND(A162&lt;&gt;0,OR(Pt_in_SU&lt;='Fan Hydraulic Data'!$AI162,Ps_in_SU&lt;='Fan Hydraulic Data'!$AI162),OR(Pt_in_SU&lt;='Fan Hydraulic Data'!$AI162,Ps_in_SU&lt;='Fan Hydraulic Data'!$AI162),Q_in_SU&lt;='Fan Hydraulic Data'!$AK162,Q_in_SU&gt;='Fan Hydraulic Data'!$AL162),TRUE,FALSE)</f>
        <v>0</v>
      </c>
      <c r="D162" s="122" t="b">
        <f>IF(OR(A162=0,ISERROR('Fan Hydraulic Data'!B162)),FALSE,TRUE)</f>
        <v>1</v>
      </c>
    </row>
    <row r="163" spans="1:4">
      <c r="A163" s="123" t="str">
        <f>'House C Data'!A163</f>
        <v>XHP 63-10B</v>
      </c>
      <c r="B163" s="125" t="b">
        <f>IF(AND(A163&lt;&gt;0,OR(Pt_in_SU&lt;='Fan Hydraulic Data'!$AI163,Ps_in_SU&lt;='Fan Hydraulic Data'!$AI163),OR(Pt_in_SU&lt;='Fan Hydraulic Data'!$AI163,Ps_in_SU&lt;='Fan Hydraulic Data'!$AI163),Q_in_SU&lt;='Fan Hydraulic Data'!$AK163,Q_in_SU&gt;='Fan Hydraulic Data'!$AL163),TRUE,FALSE)</f>
        <v>0</v>
      </c>
      <c r="D163" s="122" t="b">
        <f>IF(OR(A163=0,ISERROR('Fan Hydraulic Data'!B163)),FALSE,TRUE)</f>
        <v>1</v>
      </c>
    </row>
    <row r="164" spans="1:4">
      <c r="A164" s="123" t="str">
        <f>'House C Data'!A164</f>
        <v>XHP 63-15B</v>
      </c>
      <c r="B164" s="125" t="b">
        <f>IF(AND(A164&lt;&gt;0,OR(Pt_in_SU&lt;='Fan Hydraulic Data'!$AI164,Ps_in_SU&lt;='Fan Hydraulic Data'!$AI164),OR(Pt_in_SU&lt;='Fan Hydraulic Data'!$AI164,Ps_in_SU&lt;='Fan Hydraulic Data'!$AI164),Q_in_SU&lt;='Fan Hydraulic Data'!$AK164,Q_in_SU&gt;='Fan Hydraulic Data'!$AL164),TRUE,FALSE)</f>
        <v>0</v>
      </c>
      <c r="D164" s="122" t="b">
        <f>IF(OR(A164=0,ISERROR('Fan Hydraulic Data'!B164)),FALSE,TRUE)</f>
        <v>1</v>
      </c>
    </row>
    <row r="165" spans="1:4">
      <c r="A165" s="123" t="str">
        <f>'House C Data'!A165</f>
        <v>XHP 63-13</v>
      </c>
      <c r="B165" s="125" t="b">
        <f>IF(AND(A165&lt;&gt;0,OR(Pt_in_SU&lt;='Fan Hydraulic Data'!$AI165,Ps_in_SU&lt;='Fan Hydraulic Data'!$AI165),OR(Pt_in_SU&lt;='Fan Hydraulic Data'!$AI165,Ps_in_SU&lt;='Fan Hydraulic Data'!$AI165),Q_in_SU&lt;='Fan Hydraulic Data'!$AK165,Q_in_SU&gt;='Fan Hydraulic Data'!$AL165),TRUE,FALSE)</f>
        <v>0</v>
      </c>
      <c r="D165" s="122" t="b">
        <f>IF(OR(A165=0,ISERROR('Fan Hydraulic Data'!B165)),FALSE,TRUE)</f>
        <v>1</v>
      </c>
    </row>
    <row r="166" spans="1:4">
      <c r="A166" s="123" t="str">
        <f>'House C Data'!A166</f>
        <v>XHP 63-15D</v>
      </c>
      <c r="B166" s="125" t="b">
        <f>IF(AND(A166&lt;&gt;0,OR(Pt_in_SU&lt;='Fan Hydraulic Data'!$AI166,Ps_in_SU&lt;='Fan Hydraulic Data'!$AI166),OR(Pt_in_SU&lt;='Fan Hydraulic Data'!$AI166,Ps_in_SU&lt;='Fan Hydraulic Data'!$AI166),Q_in_SU&lt;='Fan Hydraulic Data'!$AK166,Q_in_SU&gt;='Fan Hydraulic Data'!$AL166),TRUE,FALSE)</f>
        <v>0</v>
      </c>
      <c r="D166" s="122" t="b">
        <f>IF(OR(A166=0,ISERROR('Fan Hydraulic Data'!B166)),FALSE,TRUE)</f>
        <v>1</v>
      </c>
    </row>
    <row r="167" spans="1:4">
      <c r="A167" s="123" t="str">
        <f>'House C Data'!A167</f>
        <v>XHP 68-16</v>
      </c>
      <c r="B167" s="125" t="b">
        <f>IF(AND(A167&lt;&gt;0,OR(Pt_in_SU&lt;='Fan Hydraulic Data'!$AI167,Ps_in_SU&lt;='Fan Hydraulic Data'!$AI167),OR(Pt_in_SU&lt;='Fan Hydraulic Data'!$AI167,Ps_in_SU&lt;='Fan Hydraulic Data'!$AI167),Q_in_SU&lt;='Fan Hydraulic Data'!$AK167,Q_in_SU&gt;='Fan Hydraulic Data'!$AL167),TRUE,FALSE)</f>
        <v>0</v>
      </c>
      <c r="D167" s="122" t="b">
        <f>IF(OR(A167=0,ISERROR('Fan Hydraulic Data'!B167)),FALSE,TRUE)</f>
        <v>1</v>
      </c>
    </row>
    <row r="168" spans="1:4">
      <c r="A168" s="123" t="str">
        <f>'House C Data'!A168</f>
        <v>XHP 68-20</v>
      </c>
      <c r="B168" s="125" t="b">
        <f>IF(AND(A168&lt;&gt;0,OR(Pt_in_SU&lt;='Fan Hydraulic Data'!$AI168,Ps_in_SU&lt;='Fan Hydraulic Data'!$AI168),OR(Pt_in_SU&lt;='Fan Hydraulic Data'!$AI168,Ps_in_SU&lt;='Fan Hydraulic Data'!$AI168),Q_in_SU&lt;='Fan Hydraulic Data'!$AK168,Q_in_SU&gt;='Fan Hydraulic Data'!$AL168),TRUE,FALSE)</f>
        <v>0</v>
      </c>
      <c r="D168" s="122" t="b">
        <f>IF(OR(A168=0,ISERROR('Fan Hydraulic Data'!B168)),FALSE,TRUE)</f>
        <v>1</v>
      </c>
    </row>
    <row r="169" spans="1:4">
      <c r="A169" s="123" t="str">
        <f>'House C Data'!A169</f>
        <v>XHP 68-20A</v>
      </c>
      <c r="B169" s="125" t="b">
        <f>IF(AND(A169&lt;&gt;0,OR(Pt_in_SU&lt;='Fan Hydraulic Data'!$AI169,Ps_in_SU&lt;='Fan Hydraulic Data'!$AI169),OR(Pt_in_SU&lt;='Fan Hydraulic Data'!$AI169,Ps_in_SU&lt;='Fan Hydraulic Data'!$AI169),Q_in_SU&lt;='Fan Hydraulic Data'!$AK169,Q_in_SU&gt;='Fan Hydraulic Data'!$AL169),TRUE,FALSE)</f>
        <v>0</v>
      </c>
      <c r="D169" s="122" t="b">
        <f>IF(OR(A169=0,ISERROR('Fan Hydraulic Data'!B169)),FALSE,TRUE)</f>
        <v>1</v>
      </c>
    </row>
    <row r="170" spans="1:4">
      <c r="A170" s="123" t="str">
        <f>'House C Data'!A170</f>
        <v>XHP 68-20B</v>
      </c>
      <c r="B170" s="125" t="b">
        <f>IF(AND(A170&lt;&gt;0,OR(Pt_in_SU&lt;='Fan Hydraulic Data'!$AI170,Ps_in_SU&lt;='Fan Hydraulic Data'!$AI170),OR(Pt_in_SU&lt;='Fan Hydraulic Data'!$AI170,Ps_in_SU&lt;='Fan Hydraulic Data'!$AI170),Q_in_SU&lt;='Fan Hydraulic Data'!$AK170,Q_in_SU&gt;='Fan Hydraulic Data'!$AL170),TRUE,FALSE)</f>
        <v>0</v>
      </c>
      <c r="D170" s="122" t="b">
        <f>IF(OR(A170=0,ISERROR('Fan Hydraulic Data'!B170)),FALSE,TRUE)</f>
        <v>1</v>
      </c>
    </row>
    <row r="171" spans="1:4">
      <c r="A171" s="123" t="str">
        <f>'House C Data'!A171</f>
        <v>XHP 68-10</v>
      </c>
      <c r="B171" s="125" t="b">
        <f>IF(AND(A171&lt;&gt;0,OR(Pt_in_SU&lt;='Fan Hydraulic Data'!$AI171,Ps_in_SU&lt;='Fan Hydraulic Data'!$AI171),OR(Pt_in_SU&lt;='Fan Hydraulic Data'!$AI171,Ps_in_SU&lt;='Fan Hydraulic Data'!$AI171),Q_in_SU&lt;='Fan Hydraulic Data'!$AK171,Q_in_SU&gt;='Fan Hydraulic Data'!$AL171),TRUE,FALSE)</f>
        <v>0</v>
      </c>
      <c r="D171" s="122" t="b">
        <f>IF(OR(A171=0,ISERROR('Fan Hydraulic Data'!B171)),FALSE,TRUE)</f>
        <v>1</v>
      </c>
    </row>
    <row r="172" spans="1:4">
      <c r="A172" s="123" t="str">
        <f>'House C Data'!A172</f>
        <v>XHP 68-15</v>
      </c>
      <c r="B172" s="125" t="b">
        <f>IF(AND(A172&lt;&gt;0,OR(Pt_in_SU&lt;='Fan Hydraulic Data'!$AI172,Ps_in_SU&lt;='Fan Hydraulic Data'!$AI172),OR(Pt_in_SU&lt;='Fan Hydraulic Data'!$AI172,Ps_in_SU&lt;='Fan Hydraulic Data'!$AI172),Q_in_SU&lt;='Fan Hydraulic Data'!$AK172,Q_in_SU&gt;='Fan Hydraulic Data'!$AL172),TRUE,FALSE)</f>
        <v>0</v>
      </c>
      <c r="D172" s="122" t="b">
        <f>IF(OR(A172=0,ISERROR('Fan Hydraulic Data'!B172)),FALSE,TRUE)</f>
        <v>1</v>
      </c>
    </row>
    <row r="173" spans="1:4">
      <c r="A173" s="123" t="str">
        <f>'House C Data'!A173</f>
        <v>XHP 68-10B</v>
      </c>
      <c r="B173" s="125" t="b">
        <f>IF(AND(A173&lt;&gt;0,OR(Pt_in_SU&lt;='Fan Hydraulic Data'!$AI173,Ps_in_SU&lt;='Fan Hydraulic Data'!$AI173),OR(Pt_in_SU&lt;='Fan Hydraulic Data'!$AI173,Ps_in_SU&lt;='Fan Hydraulic Data'!$AI173),Q_in_SU&lt;='Fan Hydraulic Data'!$AK173,Q_in_SU&gt;='Fan Hydraulic Data'!$AL173),TRUE,FALSE)</f>
        <v>0</v>
      </c>
      <c r="D173" s="122" t="b">
        <f>IF(OR(A173=0,ISERROR('Fan Hydraulic Data'!B173)),FALSE,TRUE)</f>
        <v>1</v>
      </c>
    </row>
    <row r="174" spans="1:4">
      <c r="A174" s="123" t="str">
        <f>'House C Data'!A174</f>
        <v>XHP 68-15B</v>
      </c>
      <c r="B174" s="125" t="b">
        <f>IF(AND(A174&lt;&gt;0,OR(Pt_in_SU&lt;='Fan Hydraulic Data'!$AI174,Ps_in_SU&lt;='Fan Hydraulic Data'!$AI174),OR(Pt_in_SU&lt;='Fan Hydraulic Data'!$AI174,Ps_in_SU&lt;='Fan Hydraulic Data'!$AI174),Q_in_SU&lt;='Fan Hydraulic Data'!$AK174,Q_in_SU&gt;='Fan Hydraulic Data'!$AL174),TRUE,FALSE)</f>
        <v>0</v>
      </c>
      <c r="D174" s="122" t="b">
        <f>IF(OR(A174=0,ISERROR('Fan Hydraulic Data'!B174)),FALSE,TRUE)</f>
        <v>1</v>
      </c>
    </row>
    <row r="175" spans="1:4">
      <c r="A175" s="123" t="str">
        <f>'House C Data'!A175</f>
        <v>XHP 68-13</v>
      </c>
      <c r="B175" s="125" t="b">
        <f>IF(AND(A175&lt;&gt;0,OR(Pt_in_SU&lt;='Fan Hydraulic Data'!$AI175,Ps_in_SU&lt;='Fan Hydraulic Data'!$AI175),OR(Pt_in_SU&lt;='Fan Hydraulic Data'!$AI175,Ps_in_SU&lt;='Fan Hydraulic Data'!$AI175),Q_in_SU&lt;='Fan Hydraulic Data'!$AK175,Q_in_SU&gt;='Fan Hydraulic Data'!$AL175),TRUE,FALSE)</f>
        <v>0</v>
      </c>
      <c r="D175" s="122" t="b">
        <f>IF(OR(A175=0,ISERROR('Fan Hydraulic Data'!B175)),FALSE,TRUE)</f>
        <v>1</v>
      </c>
    </row>
    <row r="176" spans="1:4">
      <c r="A176" s="123" t="str">
        <f>'House C Data'!A176</f>
        <v>XHP 68-15D</v>
      </c>
      <c r="B176" s="125" t="b">
        <f>IF(AND(A176&lt;&gt;0,OR(Pt_in_SU&lt;='Fan Hydraulic Data'!$AI176,Ps_in_SU&lt;='Fan Hydraulic Data'!$AI176),OR(Pt_in_SU&lt;='Fan Hydraulic Data'!$AI176,Ps_in_SU&lt;='Fan Hydraulic Data'!$AI176),Q_in_SU&lt;='Fan Hydraulic Data'!$AK176,Q_in_SU&gt;='Fan Hydraulic Data'!$AL176),TRUE,FALSE)</f>
        <v>0</v>
      </c>
      <c r="D176" s="122" t="b">
        <f>IF(OR(A176=0,ISERROR('Fan Hydraulic Data'!B176)),FALSE,TRUE)</f>
        <v>1</v>
      </c>
    </row>
    <row r="177" spans="1:4">
      <c r="A177" s="123" t="str">
        <f>'House C Data'!A177</f>
        <v>XHP 72-16</v>
      </c>
      <c r="B177" s="125" t="b">
        <f>IF(AND(A177&lt;&gt;0,OR(Pt_in_SU&lt;='Fan Hydraulic Data'!$AI177,Ps_in_SU&lt;='Fan Hydraulic Data'!$AI177),OR(Pt_in_SU&lt;='Fan Hydraulic Data'!$AI177,Ps_in_SU&lt;='Fan Hydraulic Data'!$AI177),Q_in_SU&lt;='Fan Hydraulic Data'!$AK177,Q_in_SU&gt;='Fan Hydraulic Data'!$AL177),TRUE,FALSE)</f>
        <v>0</v>
      </c>
      <c r="D177" s="122" t="b">
        <f>IF(OR(A177=0,ISERROR('Fan Hydraulic Data'!B177)),FALSE,TRUE)</f>
        <v>1</v>
      </c>
    </row>
    <row r="178" spans="1:4">
      <c r="A178" s="123" t="str">
        <f>'House C Data'!A178</f>
        <v>XHP 72-20</v>
      </c>
      <c r="B178" s="125" t="b">
        <f>IF(AND(A178&lt;&gt;0,OR(Pt_in_SU&lt;='Fan Hydraulic Data'!$AI178,Ps_in_SU&lt;='Fan Hydraulic Data'!$AI178),OR(Pt_in_SU&lt;='Fan Hydraulic Data'!$AI178,Ps_in_SU&lt;='Fan Hydraulic Data'!$AI178),Q_in_SU&lt;='Fan Hydraulic Data'!$AK178,Q_in_SU&gt;='Fan Hydraulic Data'!$AL178),TRUE,FALSE)</f>
        <v>0</v>
      </c>
      <c r="D178" s="122" t="b">
        <f>IF(OR(A178=0,ISERROR('Fan Hydraulic Data'!B178)),FALSE,TRUE)</f>
        <v>1</v>
      </c>
    </row>
    <row r="179" spans="1:4">
      <c r="A179" s="123" t="str">
        <f>'House C Data'!A179</f>
        <v>XHP 81-10</v>
      </c>
      <c r="B179" s="125" t="b">
        <f>IF(AND(A179&lt;&gt;0,OR(Pt_in_SU&lt;='Fan Hydraulic Data'!$AI179,Ps_in_SU&lt;='Fan Hydraulic Data'!$AI179),OR(Pt_in_SU&lt;='Fan Hydraulic Data'!$AI179,Ps_in_SU&lt;='Fan Hydraulic Data'!$AI179),Q_in_SU&lt;='Fan Hydraulic Data'!$AK179,Q_in_SU&gt;='Fan Hydraulic Data'!$AL179),TRUE,FALSE)</f>
        <v>0</v>
      </c>
      <c r="D179" s="122" t="b">
        <f>IF(OR(A179=0,ISERROR('Fan Hydraulic Data'!B179)),FALSE,TRUE)</f>
        <v>1</v>
      </c>
    </row>
    <row r="180" spans="1:4">
      <c r="A180" s="123" t="str">
        <f>'House C Data'!A180</f>
        <v>XHP 81-15</v>
      </c>
      <c r="B180" s="125" t="b">
        <f>IF(AND(A180&lt;&gt;0,OR(Pt_in_SU&lt;='Fan Hydraulic Data'!$AI180,Ps_in_SU&lt;='Fan Hydraulic Data'!$AI180),OR(Pt_in_SU&lt;='Fan Hydraulic Data'!$AI180,Ps_in_SU&lt;='Fan Hydraulic Data'!$AI180),Q_in_SU&lt;='Fan Hydraulic Data'!$AK180,Q_in_SU&gt;='Fan Hydraulic Data'!$AL180),TRUE,FALSE)</f>
        <v>0</v>
      </c>
      <c r="D180" s="122" t="b">
        <f>IF(OR(A180=0,ISERROR('Fan Hydraulic Data'!B180)),FALSE,TRUE)</f>
        <v>1</v>
      </c>
    </row>
    <row r="181" spans="1:4">
      <c r="A181" s="123" t="str">
        <f>'House C Data'!A181</f>
        <v>XHP 81-10B</v>
      </c>
      <c r="B181" s="125" t="b">
        <f>IF(AND(A181&lt;&gt;0,OR(Pt_in_SU&lt;='Fan Hydraulic Data'!$AI181,Ps_in_SU&lt;='Fan Hydraulic Data'!$AI181),OR(Pt_in_SU&lt;='Fan Hydraulic Data'!$AI181,Ps_in_SU&lt;='Fan Hydraulic Data'!$AI181),Q_in_SU&lt;='Fan Hydraulic Data'!$AK181,Q_in_SU&gt;='Fan Hydraulic Data'!$AL181),TRUE,FALSE)</f>
        <v>0</v>
      </c>
      <c r="D181" s="122" t="b">
        <f>IF(OR(A181=0,ISERROR('Fan Hydraulic Data'!B181)),FALSE,TRUE)</f>
        <v>1</v>
      </c>
    </row>
    <row r="182" spans="1:4">
      <c r="A182" s="123" t="str">
        <f>'House C Data'!A182</f>
        <v>XHP 81-15B</v>
      </c>
      <c r="B182" s="125" t="b">
        <f>IF(AND(A182&lt;&gt;0,OR(Pt_in_SU&lt;='Fan Hydraulic Data'!$AI182,Ps_in_SU&lt;='Fan Hydraulic Data'!$AI182),OR(Pt_in_SU&lt;='Fan Hydraulic Data'!$AI182,Ps_in_SU&lt;='Fan Hydraulic Data'!$AI182),Q_in_SU&lt;='Fan Hydraulic Data'!$AK182,Q_in_SU&gt;='Fan Hydraulic Data'!$AL182),TRUE,FALSE)</f>
        <v>0</v>
      </c>
      <c r="D182" s="122" t="b">
        <f>IF(OR(A182=0,ISERROR('Fan Hydraulic Data'!B182)),FALSE,TRUE)</f>
        <v>1</v>
      </c>
    </row>
    <row r="183" spans="1:4">
      <c r="A183" s="123" t="str">
        <f>'House C Data'!A183</f>
        <v>XHP 81-15C</v>
      </c>
      <c r="B183" s="125" t="b">
        <f>IF(AND(A183&lt;&gt;0,OR(Pt_in_SU&lt;='Fan Hydraulic Data'!$AI183,Ps_in_SU&lt;='Fan Hydraulic Data'!$AI183),OR(Pt_in_SU&lt;='Fan Hydraulic Data'!$AI183,Ps_in_SU&lt;='Fan Hydraulic Data'!$AI183),Q_in_SU&lt;='Fan Hydraulic Data'!$AK183,Q_in_SU&gt;='Fan Hydraulic Data'!$AL183),TRUE,FALSE)</f>
        <v>0</v>
      </c>
      <c r="D183" s="122" t="b">
        <f>IF(OR(A183=0,ISERROR('Fan Hydraulic Data'!B183)),FALSE,TRUE)</f>
        <v>1</v>
      </c>
    </row>
    <row r="184" spans="1:4">
      <c r="A184" s="123" t="str">
        <f>'House C Data'!A184</f>
        <v>XHP 81-19</v>
      </c>
      <c r="B184" s="125" t="b">
        <f>IF(AND(A184&lt;&gt;0,OR(Pt_in_SU&lt;='Fan Hydraulic Data'!$AI184,Ps_in_SU&lt;='Fan Hydraulic Data'!$AI184),OR(Pt_in_SU&lt;='Fan Hydraulic Data'!$AI184,Ps_in_SU&lt;='Fan Hydraulic Data'!$AI184),Q_in_SU&lt;='Fan Hydraulic Data'!$AK184,Q_in_SU&gt;='Fan Hydraulic Data'!$AL184),TRUE,FALSE)</f>
        <v>0</v>
      </c>
      <c r="D184" s="122" t="b">
        <f>IF(OR(A184=0,ISERROR('Fan Hydraulic Data'!B184)),FALSE,TRUE)</f>
        <v>1</v>
      </c>
    </row>
    <row r="185" spans="1:4">
      <c r="A185" s="123" t="str">
        <f>'House C Data'!A185</f>
        <v>XHP 82-19</v>
      </c>
      <c r="B185" s="125" t="b">
        <f>IF(AND(A185&lt;&gt;0,OR(Pt_in_SU&lt;='Fan Hydraulic Data'!$AI185,Ps_in_SU&lt;='Fan Hydraulic Data'!$AI185),OR(Pt_in_SU&lt;='Fan Hydraulic Data'!$AI185,Ps_in_SU&lt;='Fan Hydraulic Data'!$AI185),Q_in_SU&lt;='Fan Hydraulic Data'!$AK185,Q_in_SU&gt;='Fan Hydraulic Data'!$AL185),TRUE,FALSE)</f>
        <v>0</v>
      </c>
      <c r="D185" s="122" t="b">
        <f>IF(OR(A185=0,ISERROR('Fan Hydraulic Data'!B185)),FALSE,TRUE)</f>
        <v>1</v>
      </c>
    </row>
    <row r="186" spans="1:4">
      <c r="A186" s="123" t="str">
        <f>'House C Data'!A186</f>
        <v>XHP 90-10</v>
      </c>
      <c r="B186" s="125" t="b">
        <f>IF(AND(A186&lt;&gt;0,OR(Pt_in_SU&lt;='Fan Hydraulic Data'!$AI186,Ps_in_SU&lt;='Fan Hydraulic Data'!$AI186),OR(Pt_in_SU&lt;='Fan Hydraulic Data'!$AI186,Ps_in_SU&lt;='Fan Hydraulic Data'!$AI186),Q_in_SU&lt;='Fan Hydraulic Data'!$AK186,Q_in_SU&gt;='Fan Hydraulic Data'!$AL186),TRUE,FALSE)</f>
        <v>0</v>
      </c>
      <c r="D186" s="122" t="b">
        <f>IF(OR(A186=0,ISERROR('Fan Hydraulic Data'!B186)),FALSE,TRUE)</f>
        <v>1</v>
      </c>
    </row>
    <row r="187" spans="1:4">
      <c r="A187" s="123" t="str">
        <f>'House C Data'!A187</f>
        <v>XHP 90-15</v>
      </c>
      <c r="B187" s="125" t="b">
        <f>IF(AND(A187&lt;&gt;0,OR(Pt_in_SU&lt;='Fan Hydraulic Data'!$AI187,Ps_in_SU&lt;='Fan Hydraulic Data'!$AI187),OR(Pt_in_SU&lt;='Fan Hydraulic Data'!$AI187,Ps_in_SU&lt;='Fan Hydraulic Data'!$AI187),Q_in_SU&lt;='Fan Hydraulic Data'!$AK187,Q_in_SU&gt;='Fan Hydraulic Data'!$AL187),TRUE,FALSE)</f>
        <v>0</v>
      </c>
      <c r="D187" s="122" t="b">
        <f>IF(OR(A187=0,ISERROR('Fan Hydraulic Data'!B187)),FALSE,TRUE)</f>
        <v>1</v>
      </c>
    </row>
    <row r="188" spans="1:4">
      <c r="A188" s="123" t="str">
        <f>'House C Data'!A188</f>
        <v>XHP 90-10B</v>
      </c>
      <c r="B188" s="125" t="b">
        <f>IF(AND(A188&lt;&gt;0,OR(Pt_in_SU&lt;='Fan Hydraulic Data'!$AI188,Ps_in_SU&lt;='Fan Hydraulic Data'!$AI188),OR(Pt_in_SU&lt;='Fan Hydraulic Data'!$AI188,Ps_in_SU&lt;='Fan Hydraulic Data'!$AI188),Q_in_SU&lt;='Fan Hydraulic Data'!$AK188,Q_in_SU&gt;='Fan Hydraulic Data'!$AL188),TRUE,FALSE)</f>
        <v>0</v>
      </c>
      <c r="D188" s="122" t="b">
        <f>IF(OR(A188=0,ISERROR('Fan Hydraulic Data'!B188)),FALSE,TRUE)</f>
        <v>1</v>
      </c>
    </row>
    <row r="189" spans="1:4">
      <c r="A189" s="123" t="str">
        <f>'House C Data'!A189</f>
        <v>XHP 90-15B</v>
      </c>
      <c r="B189" s="125" t="b">
        <f>IF(AND(A189&lt;&gt;0,OR(Pt_in_SU&lt;='Fan Hydraulic Data'!$AI189,Ps_in_SU&lt;='Fan Hydraulic Data'!$AI189),OR(Pt_in_SU&lt;='Fan Hydraulic Data'!$AI189,Ps_in_SU&lt;='Fan Hydraulic Data'!$AI189),Q_in_SU&lt;='Fan Hydraulic Data'!$AK189,Q_in_SU&gt;='Fan Hydraulic Data'!$AL189),TRUE,FALSE)</f>
        <v>0</v>
      </c>
      <c r="D189" s="122" t="b">
        <f>IF(OR(A189=0,ISERROR('Fan Hydraulic Data'!B189)),FALSE,TRUE)</f>
        <v>1</v>
      </c>
    </row>
    <row r="190" spans="1:4">
      <c r="A190" s="123" t="str">
        <f>'House C Data'!A190</f>
        <v>XHP 90-13</v>
      </c>
      <c r="B190" s="125" t="b">
        <f>IF(AND(A190&lt;&gt;0,OR(Pt_in_SU&lt;='Fan Hydraulic Data'!$AI190,Ps_in_SU&lt;='Fan Hydraulic Data'!$AI190),OR(Pt_in_SU&lt;='Fan Hydraulic Data'!$AI190,Ps_in_SU&lt;='Fan Hydraulic Data'!$AI190),Q_in_SU&lt;='Fan Hydraulic Data'!$AK190,Q_in_SU&gt;='Fan Hydraulic Data'!$AL190),TRUE,FALSE)</f>
        <v>0</v>
      </c>
      <c r="D190" s="122" t="b">
        <f>IF(OR(A190=0,ISERROR('Fan Hydraulic Data'!B190)),FALSE,TRUE)</f>
        <v>1</v>
      </c>
    </row>
    <row r="191" spans="1:4">
      <c r="A191" s="123" t="str">
        <f>'House C Data'!A191</f>
        <v>XHP 90-15D</v>
      </c>
      <c r="B191" s="125" t="b">
        <f>IF(AND(A191&lt;&gt;0,OR(Pt_in_SU&lt;='Fan Hydraulic Data'!$AI191,Ps_in_SU&lt;='Fan Hydraulic Data'!$AI191),OR(Pt_in_SU&lt;='Fan Hydraulic Data'!$AI191,Ps_in_SU&lt;='Fan Hydraulic Data'!$AI191),Q_in_SU&lt;='Fan Hydraulic Data'!$AK191,Q_in_SU&gt;='Fan Hydraulic Data'!$AL191),TRUE,FALSE)</f>
        <v>0</v>
      </c>
      <c r="D191" s="122" t="b">
        <f>IF(OR(A191=0,ISERROR('Fan Hydraulic Data'!B191)),FALSE,TRUE)</f>
        <v>1</v>
      </c>
    </row>
    <row r="192" spans="1:4">
      <c r="A192" s="123" t="str">
        <f>'House C Data'!A192</f>
        <v>XHP 90-19</v>
      </c>
      <c r="B192" s="125" t="b">
        <f>IF(AND(A192&lt;&gt;0,OR(Pt_in_SU&lt;='Fan Hydraulic Data'!$AI192,Ps_in_SU&lt;='Fan Hydraulic Data'!$AI192),OR(Pt_in_SU&lt;='Fan Hydraulic Data'!$AI192,Ps_in_SU&lt;='Fan Hydraulic Data'!$AI192),Q_in_SU&lt;='Fan Hydraulic Data'!$AK192,Q_in_SU&gt;='Fan Hydraulic Data'!$AL192),TRUE,FALSE)</f>
        <v>0</v>
      </c>
      <c r="D192" s="122" t="b">
        <f>IF(OR(A192=0,ISERROR('Fan Hydraulic Data'!B192)),FALSE,TRUE)</f>
        <v>1</v>
      </c>
    </row>
    <row r="193" spans="1:4">
      <c r="A193" s="123" t="str">
        <f>'House C Data'!A193</f>
        <v>XHP 94-15</v>
      </c>
      <c r="B193" s="125" t="b">
        <f>IF(AND(A193&lt;&gt;0,OR(Pt_in_SU&lt;='Fan Hydraulic Data'!$AI193,Ps_in_SU&lt;='Fan Hydraulic Data'!$AI193),OR(Pt_in_SU&lt;='Fan Hydraulic Data'!$AI193,Ps_in_SU&lt;='Fan Hydraulic Data'!$AI193),Q_in_SU&lt;='Fan Hydraulic Data'!$AK193,Q_in_SU&gt;='Fan Hydraulic Data'!$AL193),TRUE,FALSE)</f>
        <v>0</v>
      </c>
      <c r="D193" s="122" t="b">
        <f>IF(OR(A193=0,ISERROR('Fan Hydraulic Data'!B193)),FALSE,TRUE)</f>
        <v>1</v>
      </c>
    </row>
    <row r="194" spans="1:4">
      <c r="A194" s="123" t="str">
        <f>'House C Data'!A194</f>
        <v>XHP 94-15A</v>
      </c>
      <c r="B194" s="125" t="b">
        <f>IF(AND(A194&lt;&gt;0,OR(Pt_in_SU&lt;='Fan Hydraulic Data'!$AI194,Ps_in_SU&lt;='Fan Hydraulic Data'!$AI194),OR(Pt_in_SU&lt;='Fan Hydraulic Data'!$AI194,Ps_in_SU&lt;='Fan Hydraulic Data'!$AI194),Q_in_SU&lt;='Fan Hydraulic Data'!$AK194,Q_in_SU&gt;='Fan Hydraulic Data'!$AL194),TRUE,FALSE)</f>
        <v>0</v>
      </c>
      <c r="D194" s="122" t="b">
        <f>IF(OR(A194=0,ISERROR('Fan Hydraulic Data'!B194)),FALSE,TRUE)</f>
        <v>1</v>
      </c>
    </row>
    <row r="195" spans="1:4">
      <c r="A195" s="123" t="str">
        <f>'House C Data'!A195</f>
        <v>XHP 94-15B</v>
      </c>
      <c r="B195" s="125" t="b">
        <f>IF(AND(A195&lt;&gt;0,OR(Pt_in_SU&lt;='Fan Hydraulic Data'!$AI195,Ps_in_SU&lt;='Fan Hydraulic Data'!$AI195),OR(Pt_in_SU&lt;='Fan Hydraulic Data'!$AI195,Ps_in_SU&lt;='Fan Hydraulic Data'!$AI195),Q_in_SU&lt;='Fan Hydraulic Data'!$AK195,Q_in_SU&gt;='Fan Hydraulic Data'!$AL195),TRUE,FALSE)</f>
        <v>0</v>
      </c>
      <c r="D195" s="122" t="b">
        <f>IF(OR(A195=0,ISERROR('Fan Hydraulic Data'!B195)),FALSE,TRUE)</f>
        <v>1</v>
      </c>
    </row>
    <row r="196" spans="1:4">
      <c r="A196" s="123" t="str">
        <f>'House C Data'!A196</f>
        <v>XHP 103-19</v>
      </c>
      <c r="B196" s="125" t="b">
        <f>IF(AND(A196&lt;&gt;0,OR(Pt_in_SU&lt;='Fan Hydraulic Data'!$AI196,Ps_in_SU&lt;='Fan Hydraulic Data'!$AI196),OR(Pt_in_SU&lt;='Fan Hydraulic Data'!$AI196,Ps_in_SU&lt;='Fan Hydraulic Data'!$AI196),Q_in_SU&lt;='Fan Hydraulic Data'!$AK196,Q_in_SU&gt;='Fan Hydraulic Data'!$AL196),TRUE,FALSE)</f>
        <v>0</v>
      </c>
      <c r="D196" s="122" t="b">
        <f>IF(OR(A196=0,ISERROR('Fan Hydraulic Data'!B196)),FALSE,TRUE)</f>
        <v>1</v>
      </c>
    </row>
    <row r="197" spans="1:4">
      <c r="A197" s="123" t="str">
        <f>'House C Data'!A197</f>
        <v>XHP 94-15D</v>
      </c>
      <c r="B197" s="125" t="b">
        <f>IF(AND(A197&lt;&gt;0,OR(Pt_in_SU&lt;='Fan Hydraulic Data'!$AI197,Ps_in_SU&lt;='Fan Hydraulic Data'!$AI197),OR(Pt_in_SU&lt;='Fan Hydraulic Data'!$AI197,Ps_in_SU&lt;='Fan Hydraulic Data'!$AI197),Q_in_SU&lt;='Fan Hydraulic Data'!$AK197,Q_in_SU&gt;='Fan Hydraulic Data'!$AL197),TRUE,FALSE)</f>
        <v>0</v>
      </c>
      <c r="D197" s="122" t="b">
        <f>IF(OR(A197=0,ISERROR('Fan Hydraulic Data'!B197)),FALSE,TRUE)</f>
        <v>1</v>
      </c>
    </row>
    <row r="198" spans="1:4">
      <c r="A198" s="123" t="str">
        <f>'House C Data'!A198</f>
        <v>XHP 103-19B</v>
      </c>
      <c r="B198" s="125" t="b">
        <f>IF(AND(A198&lt;&gt;0,OR(Pt_in_SU&lt;='Fan Hydraulic Data'!$AI198,Ps_in_SU&lt;='Fan Hydraulic Data'!$AI198),OR(Pt_in_SU&lt;='Fan Hydraulic Data'!$AI198,Ps_in_SU&lt;='Fan Hydraulic Data'!$AI198),Q_in_SU&lt;='Fan Hydraulic Data'!$AK198,Q_in_SU&gt;='Fan Hydraulic Data'!$AL198),TRUE,FALSE)</f>
        <v>0</v>
      </c>
      <c r="D198" s="122" t="b">
        <f>IF(OR(A198=0,ISERROR('Fan Hydraulic Data'!B198)),FALSE,TRUE)</f>
        <v>1</v>
      </c>
    </row>
    <row r="199" spans="1:4">
      <c r="A199" s="123" t="str">
        <f>'House C Data'!A199</f>
        <v>XLP 34-15</v>
      </c>
      <c r="B199" s="125" t="b">
        <f>IF(AND(A199&lt;&gt;0,OR(Pt_in_SU&lt;='Fan Hydraulic Data'!$AI199,Ps_in_SU&lt;='Fan Hydraulic Data'!$AI199),OR(Pt_in_SU&lt;='Fan Hydraulic Data'!$AI199,Ps_in_SU&lt;='Fan Hydraulic Data'!$AI199),Q_in_SU&lt;='Fan Hydraulic Data'!$AK199,Q_in_SU&gt;='Fan Hydraulic Data'!$AL199),TRUE,FALSE)</f>
        <v>0</v>
      </c>
      <c r="D199" s="122" t="b">
        <f>IF(OR(A199=0,ISERROR('Fan Hydraulic Data'!B199)),FALSE,TRUE)</f>
        <v>1</v>
      </c>
    </row>
    <row r="200" spans="1:4">
      <c r="A200" s="123" t="str">
        <f>'House C Data'!A200</f>
        <v>XLP 34-15A</v>
      </c>
      <c r="B200" s="125" t="b">
        <f>IF(AND(A200&lt;&gt;0,OR(Pt_in_SU&lt;='Fan Hydraulic Data'!$AI200,Ps_in_SU&lt;='Fan Hydraulic Data'!$AI200),OR(Pt_in_SU&lt;='Fan Hydraulic Data'!$AI200,Ps_in_SU&lt;='Fan Hydraulic Data'!$AI200),Q_in_SU&lt;='Fan Hydraulic Data'!$AK200,Q_in_SU&gt;='Fan Hydraulic Data'!$AL200),TRUE,FALSE)</f>
        <v>0</v>
      </c>
      <c r="D200" s="122" t="b">
        <f>IF(OR(A200=0,ISERROR('Fan Hydraulic Data'!B200)),FALSE,TRUE)</f>
        <v>1</v>
      </c>
    </row>
    <row r="201" spans="1:4">
      <c r="A201" s="123" t="str">
        <f>'House C Data'!A201</f>
        <v>XLP 41-18</v>
      </c>
      <c r="B201" s="125" t="b">
        <f>IF(AND(A201&lt;&gt;0,OR(Pt_in_SU&lt;='Fan Hydraulic Data'!$AI201,Ps_in_SU&lt;='Fan Hydraulic Data'!$AI201),OR(Pt_in_SU&lt;='Fan Hydraulic Data'!$AI201,Ps_in_SU&lt;='Fan Hydraulic Data'!$AI201),Q_in_SU&lt;='Fan Hydraulic Data'!$AK201,Q_in_SU&gt;='Fan Hydraulic Data'!$AL201),TRUE,FALSE)</f>
        <v>0</v>
      </c>
      <c r="D201" s="122" t="b">
        <f>IF(OR(A201=0,ISERROR('Fan Hydraulic Data'!B201)),FALSE,TRUE)</f>
        <v>1</v>
      </c>
    </row>
    <row r="202" spans="1:4">
      <c r="A202" s="123" t="str">
        <f>'House C Data'!A202</f>
        <v>XLP 41-18A</v>
      </c>
      <c r="B202" s="125" t="b">
        <f>IF(AND(A202&lt;&gt;0,OR(Pt_in_SU&lt;='Fan Hydraulic Data'!$AI202,Ps_in_SU&lt;='Fan Hydraulic Data'!$AI202),OR(Pt_in_SU&lt;='Fan Hydraulic Data'!$AI202,Ps_in_SU&lt;='Fan Hydraulic Data'!$AI202),Q_in_SU&lt;='Fan Hydraulic Data'!$AK202,Q_in_SU&gt;='Fan Hydraulic Data'!$AL202),TRUE,FALSE)</f>
        <v>0</v>
      </c>
      <c r="D202" s="122" t="b">
        <f>IF(OR(A202=0,ISERROR('Fan Hydraulic Data'!B202)),FALSE,TRUE)</f>
        <v>1</v>
      </c>
    </row>
    <row r="203" spans="1:4">
      <c r="A203" s="123" t="str">
        <f>'House C Data'!A203</f>
        <v>XLP 52-20</v>
      </c>
      <c r="B203" s="125" t="b">
        <f>IF(AND(A203&lt;&gt;0,OR(Pt_in_SU&lt;='Fan Hydraulic Data'!$AI203,Ps_in_SU&lt;='Fan Hydraulic Data'!$AI203),OR(Pt_in_SU&lt;='Fan Hydraulic Data'!$AI203,Ps_in_SU&lt;='Fan Hydraulic Data'!$AI203),Q_in_SU&lt;='Fan Hydraulic Data'!$AK203,Q_in_SU&gt;='Fan Hydraulic Data'!$AL203),TRUE,FALSE)</f>
        <v>0</v>
      </c>
      <c r="D203" s="122" t="b">
        <f>IF(OR(A203=0,ISERROR('Fan Hydraulic Data'!B203)),FALSE,TRUE)</f>
        <v>1</v>
      </c>
    </row>
    <row r="204" spans="1:4">
      <c r="A204" s="123" t="str">
        <f>'House C Data'!A204</f>
        <v>XLP 52-20A</v>
      </c>
      <c r="B204" s="125" t="b">
        <f>IF(AND(A204&lt;&gt;0,OR(Pt_in_SU&lt;='Fan Hydraulic Data'!$AI204,Ps_in_SU&lt;='Fan Hydraulic Data'!$AI204),OR(Pt_in_SU&lt;='Fan Hydraulic Data'!$AI204,Ps_in_SU&lt;='Fan Hydraulic Data'!$AI204),Q_in_SU&lt;='Fan Hydraulic Data'!$AK204,Q_in_SU&gt;='Fan Hydraulic Data'!$AL204),TRUE,FALSE)</f>
        <v>0</v>
      </c>
      <c r="D204" s="122" t="b">
        <f>IF(OR(A204=0,ISERROR('Fan Hydraulic Data'!B204)),FALSE,TRUE)</f>
        <v>1</v>
      </c>
    </row>
    <row r="205" spans="1:4">
      <c r="A205" s="123" t="str">
        <f>'House C Data'!A205</f>
        <v>XLP 60-25</v>
      </c>
      <c r="B205" s="125" t="b">
        <f>IF(AND(A205&lt;&gt;0,OR(Pt_in_SU&lt;='Fan Hydraulic Data'!$AI205,Ps_in_SU&lt;='Fan Hydraulic Data'!$AI205),OR(Pt_in_SU&lt;='Fan Hydraulic Data'!$AI205,Ps_in_SU&lt;='Fan Hydraulic Data'!$AI205),Q_in_SU&lt;='Fan Hydraulic Data'!$AK205,Q_in_SU&gt;='Fan Hydraulic Data'!$AL205),TRUE,FALSE)</f>
        <v>0</v>
      </c>
      <c r="D205" s="122" t="b">
        <f>IF(OR(A205=0,ISERROR('Fan Hydraulic Data'!B205)),FALSE,TRUE)</f>
        <v>1</v>
      </c>
    </row>
    <row r="206" spans="1:4">
      <c r="A206" s="123" t="str">
        <f>'House C Data'!A206</f>
        <v>XLP 60-25A</v>
      </c>
      <c r="B206" s="125" t="b">
        <f>IF(AND(A206&lt;&gt;0,OR(Pt_in_SU&lt;='Fan Hydraulic Data'!$AI206,Ps_in_SU&lt;='Fan Hydraulic Data'!$AI206),OR(Pt_in_SU&lt;='Fan Hydraulic Data'!$AI206,Ps_in_SU&lt;='Fan Hydraulic Data'!$AI206),Q_in_SU&lt;='Fan Hydraulic Data'!$AK206,Q_in_SU&gt;='Fan Hydraulic Data'!$AL206),TRUE,FALSE)</f>
        <v>0</v>
      </c>
      <c r="D206" s="122" t="b">
        <f>IF(OR(A206=0,ISERROR('Fan Hydraulic Data'!B206)),FALSE,TRUE)</f>
        <v>1</v>
      </c>
    </row>
    <row r="207" spans="1:4">
      <c r="A207" s="123" t="str">
        <f>'House C Data'!A207</f>
        <v>XLP 70-31</v>
      </c>
      <c r="B207" s="125" t="b">
        <f>IF(AND(A207&lt;&gt;0,OR(Pt_in_SU&lt;='Fan Hydraulic Data'!$AI207,Ps_in_SU&lt;='Fan Hydraulic Data'!$AI207),OR(Pt_in_SU&lt;='Fan Hydraulic Data'!$AI207,Ps_in_SU&lt;='Fan Hydraulic Data'!$AI207),Q_in_SU&lt;='Fan Hydraulic Data'!$AK207,Q_in_SU&gt;='Fan Hydraulic Data'!$AL207),TRUE,FALSE)</f>
        <v>0</v>
      </c>
      <c r="D207" s="122" t="b">
        <f>IF(OR(A207=0,ISERROR('Fan Hydraulic Data'!B207)),FALSE,TRUE)</f>
        <v>1</v>
      </c>
    </row>
    <row r="208" spans="1:4">
      <c r="A208" s="123" t="str">
        <f>'House C Data'!A208</f>
        <v>XLP 70-31A</v>
      </c>
      <c r="B208" s="125" t="b">
        <f>IF(AND(A208&lt;&gt;0,OR(Pt_in_SU&lt;='Fan Hydraulic Data'!$AI208,Ps_in_SU&lt;='Fan Hydraulic Data'!$AI208),OR(Pt_in_SU&lt;='Fan Hydraulic Data'!$AI208,Ps_in_SU&lt;='Fan Hydraulic Data'!$AI208),Q_in_SU&lt;='Fan Hydraulic Data'!$AK208,Q_in_SU&gt;='Fan Hydraulic Data'!$AL208),TRUE,FALSE)</f>
        <v>0</v>
      </c>
      <c r="D208" s="122" t="b">
        <f>IF(OR(A208=0,ISERROR('Fan Hydraulic Data'!B208)),FALSE,TRUE)</f>
        <v>1</v>
      </c>
    </row>
    <row r="209" spans="1:4">
      <c r="A209" s="123" t="str">
        <f>'House C Data'!A209</f>
        <v>XLP 79-35</v>
      </c>
      <c r="B209" s="125" t="b">
        <f>IF(AND(A209&lt;&gt;0,OR(Pt_in_SU&lt;='Fan Hydraulic Data'!$AI209,Ps_in_SU&lt;='Fan Hydraulic Data'!$AI209),OR(Pt_in_SU&lt;='Fan Hydraulic Data'!$AI209,Ps_in_SU&lt;='Fan Hydraulic Data'!$AI209),Q_in_SU&lt;='Fan Hydraulic Data'!$AK209,Q_in_SU&gt;='Fan Hydraulic Data'!$AL209),TRUE,FALSE)</f>
        <v>0</v>
      </c>
      <c r="D209" s="122" t="b">
        <f>IF(OR(A209=0,ISERROR('Fan Hydraulic Data'!B209)),FALSE,TRUE)</f>
        <v>1</v>
      </c>
    </row>
    <row r="210" spans="1:4">
      <c r="A210" s="123" t="str">
        <f>'House C Data'!A210</f>
        <v>XLP 79-35A</v>
      </c>
      <c r="B210" s="125" t="b">
        <f>IF(AND(A210&lt;&gt;0,OR(Pt_in_SU&lt;='Fan Hydraulic Data'!$AI210,Ps_in_SU&lt;='Fan Hydraulic Data'!$AI210),OR(Pt_in_SU&lt;='Fan Hydraulic Data'!$AI210,Ps_in_SU&lt;='Fan Hydraulic Data'!$AI210),Q_in_SU&lt;='Fan Hydraulic Data'!$AK210,Q_in_SU&gt;='Fan Hydraulic Data'!$AL210),TRUE,FALSE)</f>
        <v>0</v>
      </c>
      <c r="D210" s="122" t="b">
        <f>IF(OR(A210=0,ISERROR('Fan Hydraulic Data'!B210)),FALSE,TRUE)</f>
        <v>1</v>
      </c>
    </row>
    <row r="211" spans="1:4">
      <c r="A211" s="123" t="str">
        <f>'House C Data'!A211</f>
        <v>XLP 91-40</v>
      </c>
      <c r="B211" s="125" t="b">
        <f>IF(AND(A211&lt;&gt;0,OR(Pt_in_SU&lt;='Fan Hydraulic Data'!$AI211,Ps_in_SU&lt;='Fan Hydraulic Data'!$AI211),OR(Pt_in_SU&lt;='Fan Hydraulic Data'!$AI211,Ps_in_SU&lt;='Fan Hydraulic Data'!$AI211),Q_in_SU&lt;='Fan Hydraulic Data'!$AK211,Q_in_SU&gt;='Fan Hydraulic Data'!$AL211),TRUE,FALSE)</f>
        <v>0</v>
      </c>
      <c r="D211" s="122" t="b">
        <f>IF(OR(A211=0,ISERROR('Fan Hydraulic Data'!B211)),FALSE,TRUE)</f>
        <v>1</v>
      </c>
    </row>
    <row r="212" spans="1:4">
      <c r="A212" s="123" t="str">
        <f>'House C Data'!A212</f>
        <v>XLP 100-45</v>
      </c>
      <c r="B212" s="125" t="b">
        <f>IF(AND(A212&lt;&gt;0,OR(Pt_in_SU&lt;='Fan Hydraulic Data'!$AI212,Ps_in_SU&lt;='Fan Hydraulic Data'!$AI212),OR(Pt_in_SU&lt;='Fan Hydraulic Data'!$AI212,Ps_in_SU&lt;='Fan Hydraulic Data'!$AI212),Q_in_SU&lt;='Fan Hydraulic Data'!$AK212,Q_in_SU&gt;='Fan Hydraulic Data'!$AL212),TRUE,FALSE)</f>
        <v>0</v>
      </c>
      <c r="D212" s="122" t="b">
        <f>IF(OR(A212=0,ISERROR('Fan Hydraulic Data'!B212)),FALSE,TRUE)</f>
        <v>1</v>
      </c>
    </row>
    <row r="213" spans="1:4">
      <c r="A213" s="123" t="str">
        <f>'House C Data'!A213</f>
        <v>XLP 104-50</v>
      </c>
      <c r="B213" s="125" t="b">
        <f>IF(AND(A213&lt;&gt;0,OR(Pt_in_SU&lt;='Fan Hydraulic Data'!$AI213,Ps_in_SU&lt;='Fan Hydraulic Data'!$AI213),OR(Pt_in_SU&lt;='Fan Hydraulic Data'!$AI213,Ps_in_SU&lt;='Fan Hydraulic Data'!$AI213),Q_in_SU&lt;='Fan Hydraulic Data'!$AK213,Q_in_SU&gt;='Fan Hydraulic Data'!$AL213),TRUE,FALSE)</f>
        <v>0</v>
      </c>
      <c r="D213" s="122" t="b">
        <f>IF(OR(A213=0,ISERROR('Fan Hydraulic Data'!B213)),FALSE,TRUE)</f>
        <v>1</v>
      </c>
    </row>
    <row r="214" spans="1:4">
      <c r="A214" s="123" t="str">
        <f>'House C Data'!A214</f>
        <v>XLP 145-70</v>
      </c>
      <c r="B214" s="125" t="b">
        <f>IF(AND(A214&lt;&gt;0,OR(Pt_in_SU&lt;='Fan Hydraulic Data'!$AI214,Ps_in_SU&lt;='Fan Hydraulic Data'!$AI214),OR(Pt_in_SU&lt;='Fan Hydraulic Data'!$AI214,Ps_in_SU&lt;='Fan Hydraulic Data'!$AI214),Q_in_SU&lt;='Fan Hydraulic Data'!$AK214,Q_in_SU&gt;='Fan Hydraulic Data'!$AL214),TRUE,FALSE)</f>
        <v>0</v>
      </c>
      <c r="D214" s="122" t="b">
        <f>IF(OR(A214=0,ISERROR('Fan Hydraulic Data'!B214)),FALSE,TRUE)</f>
        <v>1</v>
      </c>
    </row>
    <row r="215" spans="1:4">
      <c r="A215" s="123" t="str">
        <f>'House C Data'!A215</f>
        <v>XLP 150-80</v>
      </c>
      <c r="B215" s="125" t="b">
        <f>IF(AND(A215&lt;&gt;0,OR(Pt_in_SU&lt;='Fan Hydraulic Data'!$AI215,Ps_in_SU&lt;='Fan Hydraulic Data'!$AI215),OR(Pt_in_SU&lt;='Fan Hydraulic Data'!$AI215,Ps_in_SU&lt;='Fan Hydraulic Data'!$AI215),Q_in_SU&lt;='Fan Hydraulic Data'!$AK215,Q_in_SU&gt;='Fan Hydraulic Data'!$AL215),TRUE,FALSE)</f>
        <v>0</v>
      </c>
      <c r="D215" s="122" t="b">
        <f>IF(OR(A215=0,ISERROR('Fan Hydraulic Data'!B215)),FALSE,TRUE)</f>
        <v>1</v>
      </c>
    </row>
    <row r="216" spans="1:4">
      <c r="A216" s="123" t="str">
        <f>'House C Data'!A216</f>
        <v>XLP 176-90</v>
      </c>
      <c r="B216" s="125" t="b">
        <f>IF(AND(A216&lt;&gt;0,OR(Pt_in_SU&lt;='Fan Hydraulic Data'!$AI216,Ps_in_SU&lt;='Fan Hydraulic Data'!$AI216),OR(Pt_in_SU&lt;='Fan Hydraulic Data'!$AI216,Ps_in_SU&lt;='Fan Hydraulic Data'!$AI216),Q_in_SU&lt;='Fan Hydraulic Data'!$AK216,Q_in_SU&gt;='Fan Hydraulic Data'!$AL216),TRUE,FALSE)</f>
        <v>0</v>
      </c>
      <c r="D216" s="122" t="b">
        <f>IF(OR(A216=0,ISERROR('Fan Hydraulic Data'!B216)),FALSE,TRUE)</f>
        <v>1</v>
      </c>
    </row>
    <row r="217" spans="1:4">
      <c r="A217" s="123" t="str">
        <f>'House C Data'!A217</f>
        <v>XLP 215-100</v>
      </c>
      <c r="B217" s="125" t="b">
        <f>IF(AND(A217&lt;&gt;0,OR(Pt_in_SU&lt;='Fan Hydraulic Data'!$AI217,Ps_in_SU&lt;='Fan Hydraulic Data'!$AI217),OR(Pt_in_SU&lt;='Fan Hydraulic Data'!$AI217,Ps_in_SU&lt;='Fan Hydraulic Data'!$AI217),Q_in_SU&lt;='Fan Hydraulic Data'!$AK217,Q_in_SU&gt;='Fan Hydraulic Data'!$AL217),TRUE,FALSE)</f>
        <v>0</v>
      </c>
      <c r="D217" s="122" t="b">
        <f>IF(OR(A217=0,ISERROR('Fan Hydraulic Data'!B217)),FALSE,TRUE)</f>
        <v>1</v>
      </c>
    </row>
    <row r="218" spans="1:4">
      <c r="A218" s="123" t="str">
        <f>'House C Data'!A218</f>
        <v>XLP 117-58</v>
      </c>
      <c r="B218" s="125" t="b">
        <f>IF(AND(A218&lt;&gt;0,OR(Pt_in_SU&lt;='Fan Hydraulic Data'!$AI218,Ps_in_SU&lt;='Fan Hydraulic Data'!$AI218),OR(Pt_in_SU&lt;='Fan Hydraulic Data'!$AI218,Ps_in_SU&lt;='Fan Hydraulic Data'!$AI218),Q_in_SU&lt;='Fan Hydraulic Data'!$AK218,Q_in_SU&gt;='Fan Hydraulic Data'!$AL218),TRUE,FALSE)</f>
        <v>0</v>
      </c>
      <c r="D218" s="122" t="b">
        <f>IF(OR(A218=0,ISERROR('Fan Hydraulic Data'!B218)),FALSE,TRUE)</f>
        <v>1</v>
      </c>
    </row>
    <row r="219" spans="1:4">
      <c r="A219" s="123" t="str">
        <f>'House C Data'!A219</f>
        <v>XLP 130-55</v>
      </c>
      <c r="B219" s="125" t="b">
        <f>IF(AND(A219&lt;&gt;0,OR(Pt_in_SU&lt;='Fan Hydraulic Data'!$AI219,Ps_in_SU&lt;='Fan Hydraulic Data'!$AI219),OR(Pt_in_SU&lt;='Fan Hydraulic Data'!$AI219,Ps_in_SU&lt;='Fan Hydraulic Data'!$AI219),Q_in_SU&lt;='Fan Hydraulic Data'!$AK219,Q_in_SU&gt;='Fan Hydraulic Data'!$AL219),TRUE,FALSE)</f>
        <v>0</v>
      </c>
      <c r="D219" s="122" t="b">
        <f>IF(OR(A219=0,ISERROR('Fan Hydraulic Data'!B219)),FALSE,TRUE)</f>
        <v>1</v>
      </c>
    </row>
    <row r="220" spans="1:4">
      <c r="A220" s="123" t="str">
        <f>'House C Data'!A220</f>
        <v>XTS_52-20</v>
      </c>
      <c r="B220" s="125" t="b">
        <f>IF(AND(A220&lt;&gt;0,OR(Pt_in_SU&lt;='Fan Hydraulic Data'!$AI220,Ps_in_SU&lt;='Fan Hydraulic Data'!$AI220),OR(Pt_in_SU&lt;='Fan Hydraulic Data'!$AI220,Ps_in_SU&lt;='Fan Hydraulic Data'!$AI220),Q_in_SU&lt;='Fan Hydraulic Data'!$AK220,Q_in_SU&gt;='Fan Hydraulic Data'!$AL220),TRUE,FALSE)</f>
        <v>0</v>
      </c>
      <c r="D220" s="122" t="b">
        <f>IF(OR(A220=0,ISERROR('Fan Hydraulic Data'!B220)),FALSE,TRUE)</f>
        <v>1</v>
      </c>
    </row>
    <row r="221" spans="1:4">
      <c r="A221" s="123" t="str">
        <f>'House C Data'!A221</f>
        <v>XTS_52-20A</v>
      </c>
      <c r="B221" s="125" t="b">
        <f>IF(AND(A221&lt;&gt;0,OR(Pt_in_SU&lt;='Fan Hydraulic Data'!$AI221,Ps_in_SU&lt;='Fan Hydraulic Data'!$AI221),OR(Pt_in_SU&lt;='Fan Hydraulic Data'!$AI221,Ps_in_SU&lt;='Fan Hydraulic Data'!$AI221),Q_in_SU&lt;='Fan Hydraulic Data'!$AK221,Q_in_SU&gt;='Fan Hydraulic Data'!$AL221),TRUE,FALSE)</f>
        <v>0</v>
      </c>
      <c r="D221" s="122" t="b">
        <f>IF(OR(A221=0,ISERROR('Fan Hydraulic Data'!B221)),FALSE,TRUE)</f>
        <v>1</v>
      </c>
    </row>
    <row r="222" spans="1:4">
      <c r="A222" s="123" t="str">
        <f>'House C Data'!A222</f>
        <v>XTS_60-25</v>
      </c>
      <c r="B222" s="125" t="b">
        <f>IF(AND(A222&lt;&gt;0,OR(Pt_in_SU&lt;='Fan Hydraulic Data'!$AI222,Ps_in_SU&lt;='Fan Hydraulic Data'!$AI222),OR(Pt_in_SU&lt;='Fan Hydraulic Data'!$AI222,Ps_in_SU&lt;='Fan Hydraulic Data'!$AI222),Q_in_SU&lt;='Fan Hydraulic Data'!$AK222,Q_in_SU&gt;='Fan Hydraulic Data'!$AL222),TRUE,FALSE)</f>
        <v>0</v>
      </c>
      <c r="D222" s="122" t="b">
        <f>IF(OR(A222=0,ISERROR('Fan Hydraulic Data'!B222)),FALSE,TRUE)</f>
        <v>1</v>
      </c>
    </row>
    <row r="223" spans="1:4">
      <c r="A223" s="123" t="str">
        <f>'House C Data'!A223</f>
        <v>XTS_60-25A</v>
      </c>
      <c r="B223" s="125" t="b">
        <f>IF(AND(A223&lt;&gt;0,OR(Pt_in_SU&lt;='Fan Hydraulic Data'!$AI223,Ps_in_SU&lt;='Fan Hydraulic Data'!$AI223),OR(Pt_in_SU&lt;='Fan Hydraulic Data'!$AI223,Ps_in_SU&lt;='Fan Hydraulic Data'!$AI223),Q_in_SU&lt;='Fan Hydraulic Data'!$AK223,Q_in_SU&gt;='Fan Hydraulic Data'!$AL223),TRUE,FALSE)</f>
        <v>0</v>
      </c>
      <c r="D223" s="122" t="b">
        <f>IF(OR(A223=0,ISERROR('Fan Hydraulic Data'!B223)),FALSE,TRUE)</f>
        <v>1</v>
      </c>
    </row>
    <row r="224" spans="1:4">
      <c r="A224" s="123" t="str">
        <f>'House C Data'!A224</f>
        <v>XTS_70-31</v>
      </c>
      <c r="B224" s="125" t="b">
        <f>IF(AND(A224&lt;&gt;0,OR(Pt_in_SU&lt;='Fan Hydraulic Data'!$AI224,Ps_in_SU&lt;='Fan Hydraulic Data'!$AI224),OR(Pt_in_SU&lt;='Fan Hydraulic Data'!$AI224,Ps_in_SU&lt;='Fan Hydraulic Data'!$AI224),Q_in_SU&lt;='Fan Hydraulic Data'!$AK224,Q_in_SU&gt;='Fan Hydraulic Data'!$AL224),TRUE,FALSE)</f>
        <v>0</v>
      </c>
      <c r="D224" s="122" t="b">
        <f>IF(OR(A224=0,ISERROR('Fan Hydraulic Data'!B224)),FALSE,TRUE)</f>
        <v>1</v>
      </c>
    </row>
    <row r="225" spans="1:4" s="129" customFormat="1">
      <c r="A225" s="123" t="str">
        <f>'House C Data'!A225</f>
        <v>XTS_70-31A</v>
      </c>
      <c r="B225" s="129" t="b">
        <f>IF(AND(A225&lt;&gt;0,OR(Pt_in_SU&lt;='Fan Hydraulic Data'!$AI225,Ps_in_SU&lt;='Fan Hydraulic Data'!$AI225),OR(Pt_in_SU&lt;='Fan Hydraulic Data'!$AI225,Ps_in_SU&lt;='Fan Hydraulic Data'!$AI225),Q_in_SU&lt;='Fan Hydraulic Data'!$AK225,Q_in_SU&gt;='Fan Hydraulic Data'!$AL225),TRUE,FALSE)</f>
        <v>0</v>
      </c>
      <c r="D225" s="122" t="b">
        <f>IF(OR(A225=0,ISERROR('Fan Hydraulic Data'!B225)),FALSE,TRUE)</f>
        <v>1</v>
      </c>
    </row>
    <row r="226" spans="1:4" s="129" customFormat="1">
      <c r="A226" s="123" t="str">
        <f>'House C Data'!A226</f>
        <v>XTS_70-43</v>
      </c>
      <c r="B226" s="129" t="b">
        <f>IF(AND(A226&lt;&gt;0,OR(Pt_in_SU&lt;='Fan Hydraulic Data'!$AI226,Ps_in_SU&lt;='Fan Hydraulic Data'!$AI226),OR(Pt_in_SU&lt;='Fan Hydraulic Data'!$AI226,Ps_in_SU&lt;='Fan Hydraulic Data'!$AI226),Q_in_SU&lt;='Fan Hydraulic Data'!$AK226,Q_in_SU&gt;='Fan Hydraulic Data'!$AL226),TRUE,FALSE)</f>
        <v>0</v>
      </c>
      <c r="D226" s="122" t="b">
        <f>IF(OR(A226=0,ISERROR('Fan Hydraulic Data'!B226)),FALSE,TRUE)</f>
        <v>1</v>
      </c>
    </row>
    <row r="227" spans="1:4" s="129" customFormat="1">
      <c r="A227" s="123" t="str">
        <f>'House C Data'!A227</f>
        <v>XTS_70-43A</v>
      </c>
      <c r="B227" s="129" t="b">
        <f>IF(AND(A227&lt;&gt;0,OR(Pt_in_SU&lt;='Fan Hydraulic Data'!$AI227,Ps_in_SU&lt;='Fan Hydraulic Data'!$AI227),OR(Pt_in_SU&lt;='Fan Hydraulic Data'!$AI227,Ps_in_SU&lt;='Fan Hydraulic Data'!$AI227),Q_in_SU&lt;='Fan Hydraulic Data'!$AK227,Q_in_SU&gt;='Fan Hydraulic Data'!$AL227),TRUE,FALSE)</f>
        <v>0</v>
      </c>
      <c r="D227" s="122" t="b">
        <f>IF(OR(A227=0,ISERROR('Fan Hydraulic Data'!B227)),FALSE,TRUE)</f>
        <v>1</v>
      </c>
    </row>
    <row r="228" spans="1:4">
      <c r="A228" s="123" t="str">
        <f>'House C Data'!A228</f>
        <v>XTS_79-35</v>
      </c>
      <c r="B228" s="125" t="b">
        <f>IF(AND(A228&lt;&gt;0,OR(Pt_in_SU&lt;='Fan Hydraulic Data'!$AI228,Ps_in_SU&lt;='Fan Hydraulic Data'!$AI228),OR(Pt_in_SU&lt;='Fan Hydraulic Data'!$AI228,Ps_in_SU&lt;='Fan Hydraulic Data'!$AI228),Q_in_SU&lt;='Fan Hydraulic Data'!$AK228,Q_in_SU&gt;='Fan Hydraulic Data'!$AL228),TRUE,FALSE)</f>
        <v>0</v>
      </c>
      <c r="D228" s="122" t="b">
        <f>IF(OR(A228=0,ISERROR('Fan Hydraulic Data'!B228)),FALSE,TRUE)</f>
        <v>1</v>
      </c>
    </row>
    <row r="229" spans="1:4">
      <c r="A229" s="123" t="str">
        <f>'House C Data'!A229</f>
        <v>XTS_79-35A</v>
      </c>
      <c r="B229" s="125" t="b">
        <f>IF(AND(A229&lt;&gt;0,OR(Pt_in_SU&lt;='Fan Hydraulic Data'!$AI229,Ps_in_SU&lt;='Fan Hydraulic Data'!$AI229),OR(Pt_in_SU&lt;='Fan Hydraulic Data'!$AI229,Ps_in_SU&lt;='Fan Hydraulic Data'!$AI229),Q_in_SU&lt;='Fan Hydraulic Data'!$AK229,Q_in_SU&gt;='Fan Hydraulic Data'!$AL229),TRUE,FALSE)</f>
        <v>0</v>
      </c>
      <c r="D229" s="122" t="b">
        <f>IF(OR(A229=0,ISERROR('Fan Hydraulic Data'!B229)),FALSE,TRUE)</f>
        <v>1</v>
      </c>
    </row>
    <row r="230" spans="1:4">
      <c r="A230" s="123" t="str">
        <f>'House C Data'!A230</f>
        <v>XTS_91-40</v>
      </c>
      <c r="B230" s="125" t="b">
        <f>IF(AND(A230&lt;&gt;0,OR(Pt_in_SU&lt;='Fan Hydraulic Data'!$AI230,Ps_in_SU&lt;='Fan Hydraulic Data'!$AI230),OR(Pt_in_SU&lt;='Fan Hydraulic Data'!$AI230,Ps_in_SU&lt;='Fan Hydraulic Data'!$AI230),Q_in_SU&lt;='Fan Hydraulic Data'!$AK230,Q_in_SU&gt;='Fan Hydraulic Data'!$AL230),TRUE,FALSE)</f>
        <v>0</v>
      </c>
      <c r="D230" s="122" t="b">
        <f>IF(OR(A230=0,ISERROR('Fan Hydraulic Data'!B230)),FALSE,TRUE)</f>
        <v>1</v>
      </c>
    </row>
    <row r="231" spans="1:4">
      <c r="A231" s="123" t="str">
        <f>'House C Data'!A231</f>
        <v>XVSB_52-20</v>
      </c>
      <c r="B231" s="125" t="b">
        <f>IF(AND(A231&lt;&gt;0,OR(Pt_in_SU&lt;='Fan Hydraulic Data'!$AI231,Ps_in_SU&lt;='Fan Hydraulic Data'!$AI231),OR(Pt_in_SU&lt;='Fan Hydraulic Data'!$AI231,Ps_in_SU&lt;='Fan Hydraulic Data'!$AI231),Q_in_SU&lt;='Fan Hydraulic Data'!$AK231,Q_in_SU&gt;='Fan Hydraulic Data'!$AL231),TRUE,FALSE)</f>
        <v>0</v>
      </c>
      <c r="D231" s="122" t="b">
        <f>IF(OR(A231=0,ISERROR('Fan Hydraulic Data'!B231)),FALSE,TRUE)</f>
        <v>1</v>
      </c>
    </row>
    <row r="232" spans="1:4">
      <c r="A232" s="123" t="str">
        <f>'House C Data'!A232</f>
        <v>XVSB_52-20A</v>
      </c>
      <c r="B232" s="125" t="b">
        <f>IF(AND(A232&lt;&gt;0,OR(Pt_in_SU&lt;='Fan Hydraulic Data'!$AI232,Ps_in_SU&lt;='Fan Hydraulic Data'!$AI232),OR(Pt_in_SU&lt;='Fan Hydraulic Data'!$AI232,Ps_in_SU&lt;='Fan Hydraulic Data'!$AI232),Q_in_SU&lt;='Fan Hydraulic Data'!$AK232,Q_in_SU&gt;='Fan Hydraulic Data'!$AL232),TRUE,FALSE)</f>
        <v>0</v>
      </c>
      <c r="D232" s="122" t="b">
        <f>IF(OR(A232=0,ISERROR('Fan Hydraulic Data'!B232)),FALSE,TRUE)</f>
        <v>1</v>
      </c>
    </row>
    <row r="233" spans="1:4">
      <c r="A233" s="123" t="str">
        <f>'House C Data'!A233</f>
        <v>XVSB_60-25</v>
      </c>
      <c r="B233" s="125" t="b">
        <f>IF(AND(A233&lt;&gt;0,OR(Pt_in_SU&lt;='Fan Hydraulic Data'!$AI233,Ps_in_SU&lt;='Fan Hydraulic Data'!$AI233),OR(Pt_in_SU&lt;='Fan Hydraulic Data'!$AI233,Ps_in_SU&lt;='Fan Hydraulic Data'!$AI233),Q_in_SU&lt;='Fan Hydraulic Data'!$AK233,Q_in_SU&gt;='Fan Hydraulic Data'!$AL233),TRUE,FALSE)</f>
        <v>0</v>
      </c>
      <c r="D233" s="122" t="b">
        <f>IF(OR(A233=0,ISERROR('Fan Hydraulic Data'!B233)),FALSE,TRUE)</f>
        <v>1</v>
      </c>
    </row>
    <row r="234" spans="1:4">
      <c r="A234" s="123" t="str">
        <f>'House C Data'!A234</f>
        <v>XVSB_60-25A</v>
      </c>
      <c r="B234" s="125" t="b">
        <f>IF(AND(A234&lt;&gt;0,OR(Pt_in_SU&lt;='Fan Hydraulic Data'!$AI234,Ps_in_SU&lt;='Fan Hydraulic Data'!$AI234),OR(Pt_in_SU&lt;='Fan Hydraulic Data'!$AI234,Ps_in_SU&lt;='Fan Hydraulic Data'!$AI234),Q_in_SU&lt;='Fan Hydraulic Data'!$AK234,Q_in_SU&gt;='Fan Hydraulic Data'!$AL234),TRUE,FALSE)</f>
        <v>0</v>
      </c>
      <c r="D234" s="122" t="b">
        <f>IF(OR(A234=0,ISERROR('Fan Hydraulic Data'!B234)),FALSE,TRUE)</f>
        <v>1</v>
      </c>
    </row>
    <row r="235" spans="1:4">
      <c r="A235" s="123" t="str">
        <f>'House C Data'!A235</f>
        <v>XVSB_70-31</v>
      </c>
      <c r="B235" s="125" t="b">
        <f>IF(AND(A235&lt;&gt;0,OR(Pt_in_SU&lt;='Fan Hydraulic Data'!$AI235,Ps_in_SU&lt;='Fan Hydraulic Data'!$AI235),OR(Pt_in_SU&lt;='Fan Hydraulic Data'!$AI235,Ps_in_SU&lt;='Fan Hydraulic Data'!$AI235),Q_in_SU&lt;='Fan Hydraulic Data'!$AK235,Q_in_SU&gt;='Fan Hydraulic Data'!$AL235),TRUE,FALSE)</f>
        <v>0</v>
      </c>
      <c r="D235" s="122" t="b">
        <f>IF(OR(A235=0,ISERROR('Fan Hydraulic Data'!B235)),FALSE,TRUE)</f>
        <v>1</v>
      </c>
    </row>
    <row r="236" spans="1:4">
      <c r="A236" s="123" t="str">
        <f>'House C Data'!A236</f>
        <v>XVSB_70-31A</v>
      </c>
      <c r="B236" s="125" t="b">
        <f>IF(AND(A236&lt;&gt;0,OR(Pt_in_SU&lt;='Fan Hydraulic Data'!$AI236,Ps_in_SU&lt;='Fan Hydraulic Data'!$AI236),OR(Pt_in_SU&lt;='Fan Hydraulic Data'!$AI236,Ps_in_SU&lt;='Fan Hydraulic Data'!$AI236),Q_in_SU&lt;='Fan Hydraulic Data'!$AK236,Q_in_SU&gt;='Fan Hydraulic Data'!$AL236),TRUE,FALSE)</f>
        <v>0</v>
      </c>
      <c r="D236" s="122" t="b">
        <f>IF(OR(A236=0,ISERROR('Fan Hydraulic Data'!B236)),FALSE,TRUE)</f>
        <v>1</v>
      </c>
    </row>
    <row r="237" spans="1:4">
      <c r="A237" s="123" t="str">
        <f>'House C Data'!A237</f>
        <v>XVSB_70-43</v>
      </c>
      <c r="B237" s="125" t="b">
        <f>IF(AND(A237&lt;&gt;0,OR(Pt_in_SU&lt;='Fan Hydraulic Data'!$AI237,Ps_in_SU&lt;='Fan Hydraulic Data'!$AI237),OR(Pt_in_SU&lt;='Fan Hydraulic Data'!$AI237,Ps_in_SU&lt;='Fan Hydraulic Data'!$AI237),Q_in_SU&lt;='Fan Hydraulic Data'!$AK237,Q_in_SU&gt;='Fan Hydraulic Data'!$AL237),TRUE,FALSE)</f>
        <v>0</v>
      </c>
      <c r="D237" s="122" t="b">
        <f>IF(OR(A237=0,ISERROR('Fan Hydraulic Data'!B237)),FALSE,TRUE)</f>
        <v>1</v>
      </c>
    </row>
    <row r="238" spans="1:4">
      <c r="A238" s="123" t="str">
        <f>'House C Data'!A238</f>
        <v>XVSB_70-43A</v>
      </c>
      <c r="B238" s="125" t="b">
        <f>IF(AND(A238&lt;&gt;0,OR(Pt_in_SU&lt;='Fan Hydraulic Data'!$AI238,Ps_in_SU&lt;='Fan Hydraulic Data'!$AI238),OR(Pt_in_SU&lt;='Fan Hydraulic Data'!$AI238,Ps_in_SU&lt;='Fan Hydraulic Data'!$AI238),Q_in_SU&lt;='Fan Hydraulic Data'!$AK238,Q_in_SU&gt;='Fan Hydraulic Data'!$AL238),TRUE,FALSE)</f>
        <v>0</v>
      </c>
      <c r="D238" s="122" t="b">
        <f>IF(OR(A238=0,ISERROR('Fan Hydraulic Data'!B238)),FALSE,TRUE)</f>
        <v>1</v>
      </c>
    </row>
    <row r="239" spans="1:4">
      <c r="A239" s="123" t="str">
        <f>'House C Data'!A239</f>
        <v>stop</v>
      </c>
      <c r="B239" s="125" t="b">
        <f>IF(AND(A239&lt;&gt;0,OR(Pt_in_SU&lt;='Fan Hydraulic Data'!$AI239,Ps_in_SU&lt;='Fan Hydraulic Data'!$AI239),OR(Pt_in_SU&lt;='Fan Hydraulic Data'!$AI239,Ps_in_SU&lt;='Fan Hydraulic Data'!$AI239),Q_in_SU&lt;='Fan Hydraulic Data'!$AK239,Q_in_SU&gt;='Fan Hydraulic Data'!$AL239),TRUE,FALSE)</f>
        <v>0</v>
      </c>
      <c r="D239" s="122" t="b">
        <f>IF(OR(A239=0,ISERROR('Fan Hydraulic Data'!B239)),FALSE,TRUE)</f>
        <v>1</v>
      </c>
    </row>
    <row r="240" spans="1:4">
      <c r="A240" s="123">
        <f>'House C Data'!A240</f>
        <v>0</v>
      </c>
      <c r="B240" s="125" t="b">
        <f>IF(AND(A240&lt;&gt;0,OR(Pt_in_SU&lt;='Fan Hydraulic Data'!$AI240,Ps_in_SU&lt;='Fan Hydraulic Data'!$AI240),OR(Pt_in_SU&lt;='Fan Hydraulic Data'!$AI240,Ps_in_SU&lt;='Fan Hydraulic Data'!$AI240),Q_in_SU&lt;='Fan Hydraulic Data'!$AK240,Q_in_SU&gt;='Fan Hydraulic Data'!$AL240),TRUE,FALSE)</f>
        <v>0</v>
      </c>
      <c r="D240" s="122" t="b">
        <f>IF(OR(A240=0,ISERROR('Fan Hydraulic Data'!B240)),FALSE,TRUE)</f>
        <v>0</v>
      </c>
    </row>
    <row r="241" spans="1:4">
      <c r="A241" s="123">
        <f>'House C Data'!A241</f>
        <v>0</v>
      </c>
      <c r="B241" s="125" t="b">
        <f>IF(AND(A241&lt;&gt;0,OR(Pt_in_SU&lt;='Fan Hydraulic Data'!$AI241,Ps_in_SU&lt;='Fan Hydraulic Data'!$AI241),OR(Pt_in_SU&lt;='Fan Hydraulic Data'!$AI241,Ps_in_SU&lt;='Fan Hydraulic Data'!$AI241),Q_in_SU&lt;='Fan Hydraulic Data'!$AK241,Q_in_SU&gt;='Fan Hydraulic Data'!$AL241),TRUE,FALSE)</f>
        <v>0</v>
      </c>
      <c r="D241" s="122" t="b">
        <f>IF(OR(A241=0,ISERROR('Fan Hydraulic Data'!B241)),FALSE,TRUE)</f>
        <v>0</v>
      </c>
    </row>
    <row r="242" spans="1:4">
      <c r="A242" s="123">
        <f>'House C Data'!A242</f>
        <v>0</v>
      </c>
      <c r="B242" s="125" t="b">
        <f>IF(AND(A242&lt;&gt;0,OR(Pt_in_SU&lt;='Fan Hydraulic Data'!$AI242,Ps_in_SU&lt;='Fan Hydraulic Data'!$AI242),OR(Pt_in_SU&lt;='Fan Hydraulic Data'!$AI242,Ps_in_SU&lt;='Fan Hydraulic Data'!$AI242),Q_in_SU&lt;='Fan Hydraulic Data'!$AK242,Q_in_SU&gt;='Fan Hydraulic Data'!$AL242),TRUE,FALSE)</f>
        <v>0</v>
      </c>
      <c r="D242" s="122" t="b">
        <f>IF(OR(A242=0,ISERROR('Fan Hydraulic Data'!B242)),FALSE,TRUE)</f>
        <v>0</v>
      </c>
    </row>
    <row r="243" spans="1:4">
      <c r="A243" s="123">
        <f>'House C Data'!A243</f>
        <v>0</v>
      </c>
      <c r="B243" s="125" t="b">
        <f>IF(AND(A243&lt;&gt;0,OR(Pt_in_SU&lt;='Fan Hydraulic Data'!$AI243,Ps_in_SU&lt;='Fan Hydraulic Data'!$AI243),OR(Pt_in_SU&lt;='Fan Hydraulic Data'!$AI243,Ps_in_SU&lt;='Fan Hydraulic Data'!$AI243),Q_in_SU&lt;='Fan Hydraulic Data'!$AK243,Q_in_SU&gt;='Fan Hydraulic Data'!$AL243),TRUE,FALSE)</f>
        <v>0</v>
      </c>
      <c r="D243" s="122" t="b">
        <f>IF(OR(A243=0,ISERROR('Fan Hydraulic Data'!B243)),FALSE,TRUE)</f>
        <v>0</v>
      </c>
    </row>
    <row r="244" spans="1:4">
      <c r="A244" s="123">
        <f>'House C Data'!A244</f>
        <v>0</v>
      </c>
      <c r="B244" s="125" t="b">
        <f>IF(AND(A244&lt;&gt;0,OR(Pt_in_SU&lt;='Fan Hydraulic Data'!$AI244,Ps_in_SU&lt;='Fan Hydraulic Data'!$AI244),OR(Pt_in_SU&lt;='Fan Hydraulic Data'!$AI244,Ps_in_SU&lt;='Fan Hydraulic Data'!$AI244),Q_in_SU&lt;='Fan Hydraulic Data'!$AK244,Q_in_SU&gt;='Fan Hydraulic Data'!$AL244),TRUE,FALSE)</f>
        <v>0</v>
      </c>
      <c r="D244" s="122" t="b">
        <f>IF(OR(A244=0,ISERROR('Fan Hydraulic Data'!B244)),FALSE,TRUE)</f>
        <v>0</v>
      </c>
    </row>
    <row r="245" spans="1:4">
      <c r="A245" s="123">
        <f>'House C Data'!A245</f>
        <v>0</v>
      </c>
      <c r="B245" s="125" t="b">
        <f>IF(AND(A245&lt;&gt;0,OR(Pt_in_SU&lt;='Fan Hydraulic Data'!$AI245,Ps_in_SU&lt;='Fan Hydraulic Data'!$AI245),OR(Pt_in_SU&lt;='Fan Hydraulic Data'!$AI245,Ps_in_SU&lt;='Fan Hydraulic Data'!$AI245),Q_in_SU&lt;='Fan Hydraulic Data'!$AK245,Q_in_SU&gt;='Fan Hydraulic Data'!$AL245),TRUE,FALSE)</f>
        <v>0</v>
      </c>
      <c r="D245" s="122" t="b">
        <f>IF(OR(A245=0,ISERROR('Fan Hydraulic Data'!B245)),FALSE,TRUE)</f>
        <v>0</v>
      </c>
    </row>
    <row r="246" spans="1:4">
      <c r="A246" s="123">
        <f>'House C Data'!A246</f>
        <v>0</v>
      </c>
      <c r="B246" s="125" t="b">
        <f>IF(AND(A246&lt;&gt;0,OR(Pt_in_SU&lt;='Fan Hydraulic Data'!$AI246,Ps_in_SU&lt;='Fan Hydraulic Data'!$AI246),OR(Pt_in_SU&lt;='Fan Hydraulic Data'!$AI246,Ps_in_SU&lt;='Fan Hydraulic Data'!$AI246),Q_in_SU&lt;='Fan Hydraulic Data'!$AK246,Q_in_SU&gt;='Fan Hydraulic Data'!$AL246),TRUE,FALSE)</f>
        <v>0</v>
      </c>
      <c r="D246" s="122" t="b">
        <f>IF(OR(A246=0,ISERROR('Fan Hydraulic Data'!B246)),FALSE,TRUE)</f>
        <v>0</v>
      </c>
    </row>
    <row r="247" spans="1:4">
      <c r="A247" s="123">
        <f>'House C Data'!A247</f>
        <v>0</v>
      </c>
      <c r="B247" s="125" t="b">
        <f>IF(AND(A247&lt;&gt;0,OR(Pt_in_SU&lt;='Fan Hydraulic Data'!$AI247,Ps_in_SU&lt;='Fan Hydraulic Data'!$AI247),OR(Pt_in_SU&lt;='Fan Hydraulic Data'!$AI247,Ps_in_SU&lt;='Fan Hydraulic Data'!$AI247),Q_in_SU&lt;='Fan Hydraulic Data'!$AK247,Q_in_SU&gt;='Fan Hydraulic Data'!$AL247),TRUE,FALSE)</f>
        <v>0</v>
      </c>
      <c r="D247" s="122" t="b">
        <f>IF(OR(A247=0,ISERROR('Fan Hydraulic Data'!B247)),FALSE,TRUE)</f>
        <v>0</v>
      </c>
    </row>
    <row r="248" spans="1:4">
      <c r="A248" s="123">
        <f>'House C Data'!A248</f>
        <v>0</v>
      </c>
      <c r="B248" s="125" t="b">
        <f>IF(AND(A248&lt;&gt;0,OR(Pt_in_SU&lt;='Fan Hydraulic Data'!$AI248,Ps_in_SU&lt;='Fan Hydraulic Data'!$AI248),OR(Pt_in_SU&lt;='Fan Hydraulic Data'!$AI248,Ps_in_SU&lt;='Fan Hydraulic Data'!$AI248),Q_in_SU&lt;='Fan Hydraulic Data'!$AK248,Q_in_SU&gt;='Fan Hydraulic Data'!$AL248),TRUE,FALSE)</f>
        <v>0</v>
      </c>
      <c r="D248" s="122" t="b">
        <f>IF(OR(A248=0,ISERROR('Fan Hydraulic Data'!B248)),FALSE,TRUE)</f>
        <v>0</v>
      </c>
    </row>
    <row r="249" spans="1:4">
      <c r="A249" s="123">
        <f>'House C Data'!A249</f>
        <v>0</v>
      </c>
      <c r="B249" s="125" t="b">
        <f>IF(AND(A249&lt;&gt;0,OR(Pt_in_SU&lt;='Fan Hydraulic Data'!$AI249,Ps_in_SU&lt;='Fan Hydraulic Data'!$AI249),OR(Pt_in_SU&lt;='Fan Hydraulic Data'!$AI249,Ps_in_SU&lt;='Fan Hydraulic Data'!$AI249),Q_in_SU&lt;='Fan Hydraulic Data'!$AK249,Q_in_SU&gt;='Fan Hydraulic Data'!$AL249),TRUE,FALSE)</f>
        <v>0</v>
      </c>
      <c r="D249" s="122" t="b">
        <f>IF(OR(A249=0,ISERROR('Fan Hydraulic Data'!B249)),FALSE,TRUE)</f>
        <v>0</v>
      </c>
    </row>
    <row r="250" spans="1:4">
      <c r="A250" s="123">
        <f>'House C Data'!A250</f>
        <v>0</v>
      </c>
      <c r="B250" s="125" t="b">
        <f>IF(AND(A250&lt;&gt;0,OR(Pt_in_SU&lt;='Fan Hydraulic Data'!$AI250,Ps_in_SU&lt;='Fan Hydraulic Data'!$AI250),OR(Pt_in_SU&lt;='Fan Hydraulic Data'!$AI250,Ps_in_SU&lt;='Fan Hydraulic Data'!$AI250),Q_in_SU&lt;='Fan Hydraulic Data'!$AK250,Q_in_SU&gt;='Fan Hydraulic Data'!$AL250),TRUE,FALSE)</f>
        <v>0</v>
      </c>
      <c r="D250" s="122" t="b">
        <f>IF(OR(A250=0,ISERROR('Fan Hydraulic Data'!B250)),FALSE,TRUE)</f>
        <v>0</v>
      </c>
    </row>
    <row r="251" spans="1:4">
      <c r="A251" s="123">
        <f>'House C Data'!A251</f>
        <v>0</v>
      </c>
      <c r="B251" s="125" t="b">
        <f>IF(AND(A251&lt;&gt;0,OR(Pt_in_SU&lt;='Fan Hydraulic Data'!$AI251,Ps_in_SU&lt;='Fan Hydraulic Data'!$AI251),OR(Pt_in_SU&lt;='Fan Hydraulic Data'!$AI251,Ps_in_SU&lt;='Fan Hydraulic Data'!$AI251),Q_in_SU&lt;='Fan Hydraulic Data'!$AK251,Q_in_SU&gt;='Fan Hydraulic Data'!$AL251),TRUE,FALSE)</f>
        <v>0</v>
      </c>
      <c r="D251" s="122" t="b">
        <f>IF(OR(A251=0,ISERROR('Fan Hydraulic Data'!B251)),FALSE,TRUE)</f>
        <v>0</v>
      </c>
    </row>
    <row r="252" spans="1:4">
      <c r="A252" s="123">
        <f>'House C Data'!A252</f>
        <v>0</v>
      </c>
      <c r="B252" s="125" t="b">
        <f>IF(AND(A252&lt;&gt;0,OR(Pt_in_SU&lt;='Fan Hydraulic Data'!$AI252,Ps_in_SU&lt;='Fan Hydraulic Data'!$AI252),OR(Pt_in_SU&lt;='Fan Hydraulic Data'!$AI252,Ps_in_SU&lt;='Fan Hydraulic Data'!$AI252),Q_in_SU&lt;='Fan Hydraulic Data'!$AK252,Q_in_SU&gt;='Fan Hydraulic Data'!$AL252),TRUE,FALSE)</f>
        <v>0</v>
      </c>
      <c r="D252" s="122" t="b">
        <f>IF(OR(A252=0,ISERROR('Fan Hydraulic Data'!B252)),FALSE,TRUE)</f>
        <v>0</v>
      </c>
    </row>
    <row r="253" spans="1:4">
      <c r="A253" s="123">
        <f>'House C Data'!A253</f>
        <v>0</v>
      </c>
      <c r="B253" s="125" t="b">
        <f>IF(AND(A253&lt;&gt;0,OR(Pt_in_SU&lt;='Fan Hydraulic Data'!$AI253,Ps_in_SU&lt;='Fan Hydraulic Data'!$AI253),OR(Pt_in_SU&lt;='Fan Hydraulic Data'!$AI253,Ps_in_SU&lt;='Fan Hydraulic Data'!$AI253),Q_in_SU&lt;='Fan Hydraulic Data'!$AK253,Q_in_SU&gt;='Fan Hydraulic Data'!$AL253),TRUE,FALSE)</f>
        <v>0</v>
      </c>
      <c r="D253" s="122" t="b">
        <f>IF(OR(A253=0,ISERROR('Fan Hydraulic Data'!B253)),FALSE,TRUE)</f>
        <v>0</v>
      </c>
    </row>
    <row r="254" spans="1:4">
      <c r="A254" s="123">
        <f>'House C Data'!A254</f>
        <v>0</v>
      </c>
      <c r="B254" s="125" t="b">
        <f>IF(AND(A254&lt;&gt;0,OR(Pt_in_SU&lt;='Fan Hydraulic Data'!$AI254,Ps_in_SU&lt;='Fan Hydraulic Data'!$AI254),OR(Pt_in_SU&lt;='Fan Hydraulic Data'!$AI254,Ps_in_SU&lt;='Fan Hydraulic Data'!$AI254),Q_in_SU&lt;='Fan Hydraulic Data'!$AK254,Q_in_SU&gt;='Fan Hydraulic Data'!$AL254),TRUE,FALSE)</f>
        <v>0</v>
      </c>
      <c r="D254" s="122" t="b">
        <f>IF(OR(A254=0,ISERROR('Fan Hydraulic Data'!B254)),FALSE,TRUE)</f>
        <v>0</v>
      </c>
    </row>
    <row r="255" spans="1:4">
      <c r="A255" s="123">
        <f>'House C Data'!A255</f>
        <v>0</v>
      </c>
      <c r="B255" s="125" t="b">
        <f>IF(AND(A255&lt;&gt;0,OR(Pt_in_SU&lt;='Fan Hydraulic Data'!$AI255,Ps_in_SU&lt;='Fan Hydraulic Data'!$AI255),OR(Pt_in_SU&lt;='Fan Hydraulic Data'!$AI255,Ps_in_SU&lt;='Fan Hydraulic Data'!$AI255),Q_in_SU&lt;='Fan Hydraulic Data'!$AK255,Q_in_SU&gt;='Fan Hydraulic Data'!$AL255),TRUE,FALSE)</f>
        <v>0</v>
      </c>
      <c r="D255" s="122" t="b">
        <f>IF(OR(A255=0,ISERROR('Fan Hydraulic Data'!B255)),FALSE,TRUE)</f>
        <v>0</v>
      </c>
    </row>
    <row r="256" spans="1:4">
      <c r="A256" s="123">
        <f>'House C Data'!A256</f>
        <v>0</v>
      </c>
      <c r="B256" s="125" t="b">
        <f>IF(AND(A256&lt;&gt;0,OR(Pt_in_SU&lt;='Fan Hydraulic Data'!$AI256,Ps_in_SU&lt;='Fan Hydraulic Data'!$AI256),OR(Pt_in_SU&lt;='Fan Hydraulic Data'!$AI256,Ps_in_SU&lt;='Fan Hydraulic Data'!$AI256),Q_in_SU&lt;='Fan Hydraulic Data'!$AK256,Q_in_SU&gt;='Fan Hydraulic Data'!$AL256),TRUE,FALSE)</f>
        <v>0</v>
      </c>
      <c r="D256" s="122" t="b">
        <f>IF(OR(A256=0,ISERROR('Fan Hydraulic Data'!B256)),FALSE,TRUE)</f>
        <v>0</v>
      </c>
    </row>
    <row r="257" spans="1:4">
      <c r="A257" s="123">
        <f>'House C Data'!A257</f>
        <v>0</v>
      </c>
      <c r="B257" s="125" t="b">
        <f>IF(AND(A257&lt;&gt;0,OR(Pt_in_SU&lt;='Fan Hydraulic Data'!$AI257,Ps_in_SU&lt;='Fan Hydraulic Data'!$AI257),OR(Pt_in_SU&lt;='Fan Hydraulic Data'!$AI257,Ps_in_SU&lt;='Fan Hydraulic Data'!$AI257),Q_in_SU&lt;='Fan Hydraulic Data'!$AK257,Q_in_SU&gt;='Fan Hydraulic Data'!$AL257),TRUE,FALSE)</f>
        <v>0</v>
      </c>
      <c r="D257" s="122" t="b">
        <f>IF(OR(A257=0,ISERROR('Fan Hydraulic Data'!B257)),FALSE,TRUE)</f>
        <v>0</v>
      </c>
    </row>
    <row r="258" spans="1:4">
      <c r="A258" s="123">
        <f>'House C Data'!A258</f>
        <v>0</v>
      </c>
      <c r="B258" s="125" t="b">
        <f>IF(AND(A258&lt;&gt;0,OR(Pt_in_SU&lt;='Fan Hydraulic Data'!$AI258,Ps_in_SU&lt;='Fan Hydraulic Data'!$AI258),OR(Pt_in_SU&lt;='Fan Hydraulic Data'!$AI258,Ps_in_SU&lt;='Fan Hydraulic Data'!$AI258),Q_in_SU&lt;='Fan Hydraulic Data'!$AK258,Q_in_SU&gt;='Fan Hydraulic Data'!$AL258),TRUE,FALSE)</f>
        <v>0</v>
      </c>
      <c r="D258" s="122" t="b">
        <f>IF(OR(A258=0,ISERROR('Fan Hydraulic Data'!B258)),FALSE,TRUE)</f>
        <v>0</v>
      </c>
    </row>
    <row r="259" spans="1:4">
      <c r="A259" s="123">
        <f>'House C Data'!A259</f>
        <v>0</v>
      </c>
      <c r="B259" s="125" t="b">
        <f>IF(AND(A259&lt;&gt;0,OR(Pt_in_SU&lt;='Fan Hydraulic Data'!$AI259,Ps_in_SU&lt;='Fan Hydraulic Data'!$AI259),OR(Pt_in_SU&lt;='Fan Hydraulic Data'!$AI259,Ps_in_SU&lt;='Fan Hydraulic Data'!$AI259),Q_in_SU&lt;='Fan Hydraulic Data'!$AK259,Q_in_SU&gt;='Fan Hydraulic Data'!$AL259),TRUE,FALSE)</f>
        <v>0</v>
      </c>
      <c r="D259" s="122" t="b">
        <f>IF(OR(A259=0,ISERROR('Fan Hydraulic Data'!B259)),FALSE,TRUE)</f>
        <v>0</v>
      </c>
    </row>
    <row r="260" spans="1:4">
      <c r="A260" s="123">
        <f>'House C Data'!A260</f>
        <v>0</v>
      </c>
      <c r="B260" s="125" t="b">
        <f>IF(AND(A260&lt;&gt;0,OR(Pt_in_SU&lt;='Fan Hydraulic Data'!$AI260,Ps_in_SU&lt;='Fan Hydraulic Data'!$AI260),OR(Pt_in_SU&lt;='Fan Hydraulic Data'!$AI260,Ps_in_SU&lt;='Fan Hydraulic Data'!$AI260),Q_in_SU&lt;='Fan Hydraulic Data'!$AK260,Q_in_SU&gt;='Fan Hydraulic Data'!$AL260),TRUE,FALSE)</f>
        <v>0</v>
      </c>
      <c r="D260" s="122" t="b">
        <f>IF(OR(A260=0,ISERROR('Fan Hydraulic Data'!B260)),FALSE,TRUE)</f>
        <v>0</v>
      </c>
    </row>
    <row r="261" spans="1:4">
      <c r="A261" s="123">
        <f>'House C Data'!A261</f>
        <v>0</v>
      </c>
      <c r="B261" s="125" t="b">
        <f>IF(AND(A261&lt;&gt;0,OR(Pt_in_SU&lt;='Fan Hydraulic Data'!$AI261,Ps_in_SU&lt;='Fan Hydraulic Data'!$AI261),OR(Pt_in_SU&lt;='Fan Hydraulic Data'!$AI261,Ps_in_SU&lt;='Fan Hydraulic Data'!$AI261),Q_in_SU&lt;='Fan Hydraulic Data'!$AK261,Q_in_SU&gt;='Fan Hydraulic Data'!$AL261),TRUE,FALSE)</f>
        <v>0</v>
      </c>
      <c r="D261" s="122" t="b">
        <f>IF(OR(A261=0,ISERROR('Fan Hydraulic Data'!B261)),FALSE,TRUE)</f>
        <v>0</v>
      </c>
    </row>
    <row r="262" spans="1:4">
      <c r="A262" s="123">
        <f>'House C Data'!A262</f>
        <v>0</v>
      </c>
      <c r="B262" s="125" t="b">
        <f>IF(AND(A262&lt;&gt;0,OR(Pt_in_SU&lt;='Fan Hydraulic Data'!$AI262,Ps_in_SU&lt;='Fan Hydraulic Data'!$AI262),OR(Pt_in_SU&lt;='Fan Hydraulic Data'!$AI262,Ps_in_SU&lt;='Fan Hydraulic Data'!$AI262),Q_in_SU&lt;='Fan Hydraulic Data'!$AK262,Q_in_SU&gt;='Fan Hydraulic Data'!$AL262),TRUE,FALSE)</f>
        <v>0</v>
      </c>
      <c r="D262" s="122" t="b">
        <f>IF(OR(A262=0,ISERROR('Fan Hydraulic Data'!B262)),FALSE,TRUE)</f>
        <v>0</v>
      </c>
    </row>
    <row r="263" spans="1:4">
      <c r="A263" s="123">
        <f>'House C Data'!A263</f>
        <v>0</v>
      </c>
      <c r="B263" s="125" t="b">
        <f>IF(AND(A263&lt;&gt;0,OR(Pt_in_SU&lt;='Fan Hydraulic Data'!$AI263,Ps_in_SU&lt;='Fan Hydraulic Data'!$AI263),OR(Pt_in_SU&lt;='Fan Hydraulic Data'!$AI263,Ps_in_SU&lt;='Fan Hydraulic Data'!$AI263),Q_in_SU&lt;='Fan Hydraulic Data'!$AK263,Q_in_SU&gt;='Fan Hydraulic Data'!$AL263),TRUE,FALSE)</f>
        <v>0</v>
      </c>
      <c r="D263" s="122" t="b">
        <f>IF(OR(A263=0,ISERROR('Fan Hydraulic Data'!B263)),FALSE,TRUE)</f>
        <v>0</v>
      </c>
    </row>
    <row r="264" spans="1:4">
      <c r="A264" s="123">
        <f>'House C Data'!A264</f>
        <v>0</v>
      </c>
      <c r="B264" s="125" t="b">
        <f>IF(AND(A264&lt;&gt;0,OR(Pt_in_SU&lt;='Fan Hydraulic Data'!$AI264,Ps_in_SU&lt;='Fan Hydraulic Data'!$AI264),OR(Pt_in_SU&lt;='Fan Hydraulic Data'!$AI264,Ps_in_SU&lt;='Fan Hydraulic Data'!$AI264),Q_in_SU&lt;='Fan Hydraulic Data'!$AK264,Q_in_SU&gt;='Fan Hydraulic Data'!$AL264),TRUE,FALSE)</f>
        <v>0</v>
      </c>
      <c r="D264" s="122" t="b">
        <f>IF(OR(A264=0,ISERROR('Fan Hydraulic Data'!B264)),FALSE,TRUE)</f>
        <v>0</v>
      </c>
    </row>
    <row r="265" spans="1:4">
      <c r="A265" s="123">
        <f>'House C Data'!A265</f>
        <v>0</v>
      </c>
      <c r="B265" s="125" t="b">
        <f>IF(AND(A265&lt;&gt;0,OR(Pt_in_SU&lt;='Fan Hydraulic Data'!$AI265,Ps_in_SU&lt;='Fan Hydraulic Data'!$AI265),OR(Pt_in_SU&lt;='Fan Hydraulic Data'!$AI265,Ps_in_SU&lt;='Fan Hydraulic Data'!$AI265),Q_in_SU&lt;='Fan Hydraulic Data'!$AK265,Q_in_SU&gt;='Fan Hydraulic Data'!$AL265),TRUE,FALSE)</f>
        <v>0</v>
      </c>
      <c r="D265" s="122" t="b">
        <f>IF(OR(A265=0,ISERROR('Fan Hydraulic Data'!B265)),FALSE,TRUE)</f>
        <v>0</v>
      </c>
    </row>
    <row r="266" spans="1:4">
      <c r="A266" s="123">
        <f>'House C Data'!A266</f>
        <v>0</v>
      </c>
      <c r="B266" s="125" t="b">
        <f>IF(AND(A266&lt;&gt;0,OR(Pt_in_SU&lt;='Fan Hydraulic Data'!$AI266,Ps_in_SU&lt;='Fan Hydraulic Data'!$AI266),OR(Pt_in_SU&lt;='Fan Hydraulic Data'!$AI266,Ps_in_SU&lt;='Fan Hydraulic Data'!$AI266),Q_in_SU&lt;='Fan Hydraulic Data'!$AK266,Q_in_SU&gt;='Fan Hydraulic Data'!$AL266),TRUE,FALSE)</f>
        <v>0</v>
      </c>
      <c r="D266" s="122" t="b">
        <f>IF(OR(A266=0,ISERROR('Fan Hydraulic Data'!B266)),FALSE,TRUE)</f>
        <v>0</v>
      </c>
    </row>
    <row r="267" spans="1:4">
      <c r="A267" s="123">
        <f>'House C Data'!A267</f>
        <v>0</v>
      </c>
      <c r="B267" s="125" t="b">
        <f>IF(AND(A267&lt;&gt;0,OR(Pt_in_SU&lt;='Fan Hydraulic Data'!$AI267,Ps_in_SU&lt;='Fan Hydraulic Data'!$AI267),OR(Pt_in_SU&lt;='Fan Hydraulic Data'!$AI267,Ps_in_SU&lt;='Fan Hydraulic Data'!$AI267),Q_in_SU&lt;='Fan Hydraulic Data'!$AK267,Q_in_SU&gt;='Fan Hydraulic Data'!$AL267),TRUE,FALSE)</f>
        <v>0</v>
      </c>
      <c r="D267" s="122" t="b">
        <f>IF(OR(A267=0,ISERROR('Fan Hydraulic Data'!B267)),FALSE,TRUE)</f>
        <v>0</v>
      </c>
    </row>
    <row r="268" spans="1:4">
      <c r="A268" s="123">
        <f>'House C Data'!A268</f>
        <v>0</v>
      </c>
      <c r="B268" s="125" t="b">
        <f>IF(AND(A268&lt;&gt;0,OR(Pt_in_SU&lt;='Fan Hydraulic Data'!$AI268,Ps_in_SU&lt;='Fan Hydraulic Data'!$AI268),OR(Pt_in_SU&lt;='Fan Hydraulic Data'!$AI268,Ps_in_SU&lt;='Fan Hydraulic Data'!$AI268),Q_in_SU&lt;='Fan Hydraulic Data'!$AK268,Q_in_SU&gt;='Fan Hydraulic Data'!$AL268),TRUE,FALSE)</f>
        <v>0</v>
      </c>
      <c r="D268" s="122" t="b">
        <f>IF(OR(A268=0,ISERROR('Fan Hydraulic Data'!B268)),FALSE,TRUE)</f>
        <v>0</v>
      </c>
    </row>
    <row r="269" spans="1:4">
      <c r="A269" s="123">
        <f>'House C Data'!A269</f>
        <v>0</v>
      </c>
      <c r="B269" s="125" t="b">
        <f>IF(AND(A269&lt;&gt;0,OR(Pt_in_SU&lt;='Fan Hydraulic Data'!$AI269,Ps_in_SU&lt;='Fan Hydraulic Data'!$AI269),OR(Pt_in_SU&lt;='Fan Hydraulic Data'!$AI269,Ps_in_SU&lt;='Fan Hydraulic Data'!$AI269),Q_in_SU&lt;='Fan Hydraulic Data'!$AK269,Q_in_SU&gt;='Fan Hydraulic Data'!$AL269),TRUE,FALSE)</f>
        <v>0</v>
      </c>
      <c r="D269" s="122" t="b">
        <f>IF(OR(A269=0,ISERROR('Fan Hydraulic Data'!B269)),FALSE,TRUE)</f>
        <v>0</v>
      </c>
    </row>
    <row r="270" spans="1:4">
      <c r="A270" s="123">
        <f>'House C Data'!A270</f>
        <v>0</v>
      </c>
      <c r="B270" s="125" t="b">
        <f>IF(AND(A270&lt;&gt;0,OR(Pt_in_SU&lt;='Fan Hydraulic Data'!$AI270,Ps_in_SU&lt;='Fan Hydraulic Data'!$AI270),OR(Pt_in_SU&lt;='Fan Hydraulic Data'!$AI270,Ps_in_SU&lt;='Fan Hydraulic Data'!$AI270),Q_in_SU&lt;='Fan Hydraulic Data'!$AK270,Q_in_SU&gt;='Fan Hydraulic Data'!$AL270),TRUE,FALSE)</f>
        <v>0</v>
      </c>
      <c r="D270" s="122" t="b">
        <f>IF(OR(A270=0,ISERROR('Fan Hydraulic Data'!B270)),FALSE,TRUE)</f>
        <v>0</v>
      </c>
    </row>
    <row r="271" spans="1:4">
      <c r="A271" s="123">
        <f>'House C Data'!A271</f>
        <v>0</v>
      </c>
      <c r="B271" s="125" t="b">
        <f>IF(AND(A271&lt;&gt;0,OR(Pt_in_SU&lt;='Fan Hydraulic Data'!$AI271,Ps_in_SU&lt;='Fan Hydraulic Data'!$AI271),OR(Pt_in_SU&lt;='Fan Hydraulic Data'!$AI271,Ps_in_SU&lt;='Fan Hydraulic Data'!$AI271),Q_in_SU&lt;='Fan Hydraulic Data'!$AK271,Q_in_SU&gt;='Fan Hydraulic Data'!$AL271),TRUE,FALSE)</f>
        <v>0</v>
      </c>
      <c r="D271" s="122" t="b">
        <f>IF(OR(A271=0,ISERROR('Fan Hydraulic Data'!B271)),FALSE,TRUE)</f>
        <v>0</v>
      </c>
    </row>
    <row r="272" spans="1:4">
      <c r="A272" s="123">
        <f>'House C Data'!A272</f>
        <v>0</v>
      </c>
      <c r="B272" s="125" t="b">
        <f>IF(AND(A272&lt;&gt;0,OR(Pt_in_SU&lt;='Fan Hydraulic Data'!$AI272,Ps_in_SU&lt;='Fan Hydraulic Data'!$AI272),OR(Pt_in_SU&lt;='Fan Hydraulic Data'!$AI272,Ps_in_SU&lt;='Fan Hydraulic Data'!$AI272),Q_in_SU&lt;='Fan Hydraulic Data'!$AK272,Q_in_SU&gt;='Fan Hydraulic Data'!$AL272),TRUE,FALSE)</f>
        <v>0</v>
      </c>
      <c r="D272" s="122" t="b">
        <f>IF(OR(A272=0,ISERROR('Fan Hydraulic Data'!B272)),FALSE,TRUE)</f>
        <v>0</v>
      </c>
    </row>
    <row r="273" spans="1:4">
      <c r="A273" s="123">
        <f>'House C Data'!A273</f>
        <v>0</v>
      </c>
      <c r="B273" s="125" t="b">
        <f>IF(AND(A273&lt;&gt;0,OR(Pt_in_SU&lt;='Fan Hydraulic Data'!$AI273,Ps_in_SU&lt;='Fan Hydraulic Data'!$AI273),OR(Pt_in_SU&lt;='Fan Hydraulic Data'!$AI273,Ps_in_SU&lt;='Fan Hydraulic Data'!$AI273),Q_in_SU&lt;='Fan Hydraulic Data'!$AK273,Q_in_SU&gt;='Fan Hydraulic Data'!$AL273),TRUE,FALSE)</f>
        <v>0</v>
      </c>
      <c r="D273" s="122" t="b">
        <f>IF(OR(A273=0,ISERROR('Fan Hydraulic Data'!B273)),FALSE,TRUE)</f>
        <v>0</v>
      </c>
    </row>
    <row r="274" spans="1:4">
      <c r="A274" s="123">
        <f>'House C Data'!A274</f>
        <v>0</v>
      </c>
      <c r="B274" s="125" t="b">
        <f>IF(AND(A274&lt;&gt;0,OR(Pt_in_SU&lt;='Fan Hydraulic Data'!$AI274,Ps_in_SU&lt;='Fan Hydraulic Data'!$AI274),OR(Pt_in_SU&lt;='Fan Hydraulic Data'!$AI274,Ps_in_SU&lt;='Fan Hydraulic Data'!$AI274),Q_in_SU&lt;='Fan Hydraulic Data'!$AK274,Q_in_SU&gt;='Fan Hydraulic Data'!$AL274),TRUE,FALSE)</f>
        <v>0</v>
      </c>
      <c r="D274" s="122" t="b">
        <f>IF(OR(A274=0,ISERROR('Fan Hydraulic Data'!B274)),FALSE,TRUE)</f>
        <v>0</v>
      </c>
    </row>
    <row r="275" spans="1:4">
      <c r="A275" s="123">
        <f>'House C Data'!A275</f>
        <v>0</v>
      </c>
      <c r="B275" s="125" t="b">
        <f>IF(AND(A275&lt;&gt;0,OR(Pt_in_SU&lt;='Fan Hydraulic Data'!$AI275,Ps_in_SU&lt;='Fan Hydraulic Data'!$AI275),OR(Pt_in_SU&lt;='Fan Hydraulic Data'!$AI275,Ps_in_SU&lt;='Fan Hydraulic Data'!$AI275),Q_in_SU&lt;='Fan Hydraulic Data'!$AK275,Q_in_SU&gt;='Fan Hydraulic Data'!$AL275),TRUE,FALSE)</f>
        <v>0</v>
      </c>
      <c r="D275" s="122" t="b">
        <f>IF(OR(A275=0,ISERROR('Fan Hydraulic Data'!B275)),FALSE,TRUE)</f>
        <v>0</v>
      </c>
    </row>
    <row r="276" spans="1:4">
      <c r="A276" s="123">
        <f>'House C Data'!A276</f>
        <v>0</v>
      </c>
      <c r="B276" s="125" t="b">
        <f>IF(AND(A276&lt;&gt;0,OR(Pt_in_SU&lt;='Fan Hydraulic Data'!$AI276,Ps_in_SU&lt;='Fan Hydraulic Data'!$AI276),OR(Pt_in_SU&lt;='Fan Hydraulic Data'!$AI276,Ps_in_SU&lt;='Fan Hydraulic Data'!$AI276),Q_in_SU&lt;='Fan Hydraulic Data'!$AK276,Q_in_SU&gt;='Fan Hydraulic Data'!$AL276),TRUE,FALSE)</f>
        <v>0</v>
      </c>
      <c r="D276" s="122" t="b">
        <f>IF(OR(A276=0,ISERROR('Fan Hydraulic Data'!B276)),FALSE,TRUE)</f>
        <v>0</v>
      </c>
    </row>
    <row r="277" spans="1:4">
      <c r="A277" s="123">
        <f>'House C Data'!A277</f>
        <v>0</v>
      </c>
      <c r="B277" s="125" t="b">
        <f>IF(AND(A277&lt;&gt;0,OR(Pt_in_SU&lt;='Fan Hydraulic Data'!$AI277,Ps_in_SU&lt;='Fan Hydraulic Data'!$AI277),OR(Pt_in_SU&lt;='Fan Hydraulic Data'!$AI277,Ps_in_SU&lt;='Fan Hydraulic Data'!$AI277),Q_in_SU&lt;='Fan Hydraulic Data'!$AK277,Q_in_SU&gt;='Fan Hydraulic Data'!$AL277),TRUE,FALSE)</f>
        <v>0</v>
      </c>
      <c r="D277" s="122" t="b">
        <f>IF(OR(A277=0,ISERROR('Fan Hydraulic Data'!B277)),FALSE,TRUE)</f>
        <v>0</v>
      </c>
    </row>
    <row r="278" spans="1:4">
      <c r="A278" s="123">
        <f>'House C Data'!A278</f>
        <v>0</v>
      </c>
      <c r="B278" s="125" t="b">
        <f>IF(AND(A278&lt;&gt;0,OR(Pt_in_SU&lt;='Fan Hydraulic Data'!$AI278,Ps_in_SU&lt;='Fan Hydraulic Data'!$AI278),OR(Pt_in_SU&lt;='Fan Hydraulic Data'!$AI278,Ps_in_SU&lt;='Fan Hydraulic Data'!$AI278),Q_in_SU&lt;='Fan Hydraulic Data'!$AK278,Q_in_SU&gt;='Fan Hydraulic Data'!$AL278),TRUE,FALSE)</f>
        <v>0</v>
      </c>
      <c r="D278" s="122" t="b">
        <f>IF(OR(A278=0,ISERROR('Fan Hydraulic Data'!B278)),FALSE,TRUE)</f>
        <v>0</v>
      </c>
    </row>
    <row r="279" spans="1:4">
      <c r="A279" s="123">
        <f>'House C Data'!A279</f>
        <v>0</v>
      </c>
      <c r="B279" s="125" t="b">
        <f>IF(AND(A279&lt;&gt;0,OR(Pt_in_SU&lt;='Fan Hydraulic Data'!$AI279,Ps_in_SU&lt;='Fan Hydraulic Data'!$AI279),OR(Pt_in_SU&lt;='Fan Hydraulic Data'!$AI279,Ps_in_SU&lt;='Fan Hydraulic Data'!$AI279),Q_in_SU&lt;='Fan Hydraulic Data'!$AK279,Q_in_SU&gt;='Fan Hydraulic Data'!$AL279),TRUE,FALSE)</f>
        <v>0</v>
      </c>
      <c r="D279" s="122" t="b">
        <f>IF(OR(A279=0,ISERROR('Fan Hydraulic Data'!B279)),FALSE,TRUE)</f>
        <v>0</v>
      </c>
    </row>
    <row r="280" spans="1:4">
      <c r="A280" s="123">
        <f>'House C Data'!A280</f>
        <v>0</v>
      </c>
      <c r="B280" s="125" t="b">
        <f>IF(AND(A280&lt;&gt;0,OR(Pt_in_SU&lt;='Fan Hydraulic Data'!$AI280,Ps_in_SU&lt;='Fan Hydraulic Data'!$AI280),OR(Pt_in_SU&lt;='Fan Hydraulic Data'!$AI280,Ps_in_SU&lt;='Fan Hydraulic Data'!$AI280),Q_in_SU&lt;='Fan Hydraulic Data'!$AK280,Q_in_SU&gt;='Fan Hydraulic Data'!$AL280),TRUE,FALSE)</f>
        <v>0</v>
      </c>
      <c r="D280" s="122" t="b">
        <f>IF(OR(A280=0,ISERROR('Fan Hydraulic Data'!B280)),FALSE,TRUE)</f>
        <v>0</v>
      </c>
    </row>
    <row r="281" spans="1:4">
      <c r="A281" s="123">
        <f>'House C Data'!A281</f>
        <v>0</v>
      </c>
      <c r="B281" s="125" t="b">
        <f>IF(AND(A281&lt;&gt;0,OR(Pt_in_SU&lt;='Fan Hydraulic Data'!$AI281,Ps_in_SU&lt;='Fan Hydraulic Data'!$AI281),OR(Pt_in_SU&lt;='Fan Hydraulic Data'!$AI281,Ps_in_SU&lt;='Fan Hydraulic Data'!$AI281),Q_in_SU&lt;='Fan Hydraulic Data'!$AK281,Q_in_SU&gt;='Fan Hydraulic Data'!$AL281),TRUE,FALSE)</f>
        <v>0</v>
      </c>
      <c r="D281" s="122" t="b">
        <f>IF(OR(A281=0,ISERROR('Fan Hydraulic Data'!B281)),FALSE,TRUE)</f>
        <v>0</v>
      </c>
    </row>
    <row r="282" spans="1:4">
      <c r="A282" s="123">
        <f>'House C Data'!A282</f>
        <v>0</v>
      </c>
      <c r="B282" s="125" t="b">
        <f>IF(AND(A282&lt;&gt;0,OR(Pt_in_SU&lt;='Fan Hydraulic Data'!$AI282,Ps_in_SU&lt;='Fan Hydraulic Data'!$AI282),OR(Pt_in_SU&lt;='Fan Hydraulic Data'!$AI282,Ps_in_SU&lt;='Fan Hydraulic Data'!$AI282),Q_in_SU&lt;='Fan Hydraulic Data'!$AK282,Q_in_SU&gt;='Fan Hydraulic Data'!$AL282),TRUE,FALSE)</f>
        <v>0</v>
      </c>
      <c r="D282" s="122" t="b">
        <f>IF(OR(A282=0,ISERROR('Fan Hydraulic Data'!B282)),FALSE,TRUE)</f>
        <v>0</v>
      </c>
    </row>
    <row r="283" spans="1:4">
      <c r="A283" s="123">
        <f>'House C Data'!A283</f>
        <v>0</v>
      </c>
      <c r="B283" s="125" t="b">
        <f>IF(AND(A283&lt;&gt;0,OR(Pt_in_SU&lt;='Fan Hydraulic Data'!$AI283,Ps_in_SU&lt;='Fan Hydraulic Data'!$AI283),OR(Pt_in_SU&lt;='Fan Hydraulic Data'!$AI283,Ps_in_SU&lt;='Fan Hydraulic Data'!$AI283),Q_in_SU&lt;='Fan Hydraulic Data'!$AK283,Q_in_SU&gt;='Fan Hydraulic Data'!$AL283),TRUE,FALSE)</f>
        <v>0</v>
      </c>
      <c r="D283" s="122" t="b">
        <f>IF(OR(A283=0,ISERROR('Fan Hydraulic Data'!B283)),FALSE,TRUE)</f>
        <v>0</v>
      </c>
    </row>
    <row r="284" spans="1:4">
      <c r="A284" s="123">
        <f>'House C Data'!A284</f>
        <v>0</v>
      </c>
      <c r="B284" s="125" t="b">
        <f>IF(AND(A284&lt;&gt;0,OR(Pt_in_SU&lt;='Fan Hydraulic Data'!$AI284,Ps_in_SU&lt;='Fan Hydraulic Data'!$AI284),OR(Pt_in_SU&lt;='Fan Hydraulic Data'!$AI284,Ps_in_SU&lt;='Fan Hydraulic Data'!$AI284),Q_in_SU&lt;='Fan Hydraulic Data'!$AK284,Q_in_SU&gt;='Fan Hydraulic Data'!$AL284),TRUE,FALSE)</f>
        <v>0</v>
      </c>
      <c r="D284" s="122" t="b">
        <f>IF(OR(A284=0,ISERROR('Fan Hydraulic Data'!B284)),FALSE,TRUE)</f>
        <v>0</v>
      </c>
    </row>
    <row r="285" spans="1:4">
      <c r="A285" s="123">
        <f>'House C Data'!A285</f>
        <v>0</v>
      </c>
      <c r="B285" s="125" t="b">
        <f>IF(AND(A285&lt;&gt;0,OR(Pt_in_SU&lt;='Fan Hydraulic Data'!$AI285,Ps_in_SU&lt;='Fan Hydraulic Data'!$AI285),OR(Pt_in_SU&lt;='Fan Hydraulic Data'!$AI285,Ps_in_SU&lt;='Fan Hydraulic Data'!$AI285),Q_in_SU&lt;='Fan Hydraulic Data'!$AK285,Q_in_SU&gt;='Fan Hydraulic Data'!$AL285),TRUE,FALSE)</f>
        <v>0</v>
      </c>
      <c r="D285" s="122" t="b">
        <f>IF(OR(A285=0,ISERROR('Fan Hydraulic Data'!B285)),FALSE,TRUE)</f>
        <v>0</v>
      </c>
    </row>
    <row r="286" spans="1:4">
      <c r="A286" s="123">
        <f>'House C Data'!A286</f>
        <v>0</v>
      </c>
      <c r="B286" s="125" t="b">
        <f>IF(AND(A286&lt;&gt;0,OR(Pt_in_SU&lt;='Fan Hydraulic Data'!$AI286,Ps_in_SU&lt;='Fan Hydraulic Data'!$AI286),OR(Pt_in_SU&lt;='Fan Hydraulic Data'!$AI286,Ps_in_SU&lt;='Fan Hydraulic Data'!$AI286),Q_in_SU&lt;='Fan Hydraulic Data'!$AK286,Q_in_SU&gt;='Fan Hydraulic Data'!$AL286),TRUE,FALSE)</f>
        <v>0</v>
      </c>
      <c r="D286" s="122" t="b">
        <f>IF(OR(A286=0,ISERROR('Fan Hydraulic Data'!B286)),FALSE,TRUE)</f>
        <v>0</v>
      </c>
    </row>
    <row r="287" spans="1:4">
      <c r="A287" s="123">
        <f>'House C Data'!A287</f>
        <v>0</v>
      </c>
      <c r="B287" s="125" t="b">
        <f>IF(AND(A287&lt;&gt;0,OR(Pt_in_SU&lt;='Fan Hydraulic Data'!$AI287,Ps_in_SU&lt;='Fan Hydraulic Data'!$AI287),OR(Pt_in_SU&lt;='Fan Hydraulic Data'!$AI287,Ps_in_SU&lt;='Fan Hydraulic Data'!$AI287),Q_in_SU&lt;='Fan Hydraulic Data'!$AK287,Q_in_SU&gt;='Fan Hydraulic Data'!$AL287),TRUE,FALSE)</f>
        <v>0</v>
      </c>
      <c r="D287" s="122" t="b">
        <f>IF(OR(A287=0,ISERROR('Fan Hydraulic Data'!B287)),FALSE,TRUE)</f>
        <v>0</v>
      </c>
    </row>
    <row r="288" spans="1:4">
      <c r="A288" s="123">
        <f>'House C Data'!A288</f>
        <v>0</v>
      </c>
      <c r="B288" s="125" t="b">
        <f>IF(AND(A288&lt;&gt;0,OR(Pt_in_SU&lt;='Fan Hydraulic Data'!$AI288,Ps_in_SU&lt;='Fan Hydraulic Data'!$AI288),OR(Pt_in_SU&lt;='Fan Hydraulic Data'!$AI288,Ps_in_SU&lt;='Fan Hydraulic Data'!$AI288),Q_in_SU&lt;='Fan Hydraulic Data'!$AK288,Q_in_SU&gt;='Fan Hydraulic Data'!$AL288),TRUE,FALSE)</f>
        <v>0</v>
      </c>
      <c r="D288" s="122" t="b">
        <f>IF(OR(A288=0,ISERROR('Fan Hydraulic Data'!B288)),FALSE,TRUE)</f>
        <v>0</v>
      </c>
    </row>
    <row r="289" spans="1:4">
      <c r="A289" s="123">
        <f>'House C Data'!A289</f>
        <v>0</v>
      </c>
      <c r="B289" s="125" t="b">
        <f>IF(AND(A289&lt;&gt;0,OR(Pt_in_SU&lt;='Fan Hydraulic Data'!$AI289,Ps_in_SU&lt;='Fan Hydraulic Data'!$AI289),OR(Pt_in_SU&lt;='Fan Hydraulic Data'!$AI289,Ps_in_SU&lt;='Fan Hydraulic Data'!$AI289),Q_in_SU&lt;='Fan Hydraulic Data'!$AK289,Q_in_SU&gt;='Fan Hydraulic Data'!$AL289),TRUE,FALSE)</f>
        <v>0</v>
      </c>
      <c r="D289" s="122" t="b">
        <f>IF(OR(A289=0,ISERROR('Fan Hydraulic Data'!B289)),FALSE,TRUE)</f>
        <v>0</v>
      </c>
    </row>
    <row r="290" spans="1:4">
      <c r="A290" s="123">
        <f>'House C Data'!A290</f>
        <v>0</v>
      </c>
      <c r="B290" s="125" t="b">
        <f>IF(AND(A290&lt;&gt;0,OR(Pt_in_SU&lt;='Fan Hydraulic Data'!$AI290,Ps_in_SU&lt;='Fan Hydraulic Data'!$AI290),OR(Pt_in_SU&lt;='Fan Hydraulic Data'!$AI290,Ps_in_SU&lt;='Fan Hydraulic Data'!$AI290),Q_in_SU&lt;='Fan Hydraulic Data'!$AK290,Q_in_SU&gt;='Fan Hydraulic Data'!$AL290),TRUE,FALSE)</f>
        <v>0</v>
      </c>
      <c r="D290" s="122" t="b">
        <f>IF(OR(A290=0,ISERROR('Fan Hydraulic Data'!B290)),FALSE,TRUE)</f>
        <v>0</v>
      </c>
    </row>
    <row r="291" spans="1:4">
      <c r="A291" s="123">
        <f>'House C Data'!A291</f>
        <v>0</v>
      </c>
      <c r="B291" s="125" t="b">
        <f>IF(AND(A291&lt;&gt;0,OR(Pt_in_SU&lt;='Fan Hydraulic Data'!$AI291,Ps_in_SU&lt;='Fan Hydraulic Data'!$AI291),OR(Pt_in_SU&lt;='Fan Hydraulic Data'!$AI291,Ps_in_SU&lt;='Fan Hydraulic Data'!$AI291),Q_in_SU&lt;='Fan Hydraulic Data'!$AK291,Q_in_SU&gt;='Fan Hydraulic Data'!$AL291),TRUE,FALSE)</f>
        <v>0</v>
      </c>
      <c r="D291" s="122" t="b">
        <f>IF(OR(A291=0,ISERROR('Fan Hydraulic Data'!B291)),FALSE,TRUE)</f>
        <v>0</v>
      </c>
    </row>
    <row r="292" spans="1:4">
      <c r="A292" s="123">
        <f>'House C Data'!A292</f>
        <v>0</v>
      </c>
      <c r="B292" s="125" t="b">
        <f>IF(AND(A292&lt;&gt;0,OR(Pt_in_SU&lt;='Fan Hydraulic Data'!$AI292,Ps_in_SU&lt;='Fan Hydraulic Data'!$AI292),OR(Pt_in_SU&lt;='Fan Hydraulic Data'!$AI292,Ps_in_SU&lt;='Fan Hydraulic Data'!$AI292),Q_in_SU&lt;='Fan Hydraulic Data'!$AK292,Q_in_SU&gt;='Fan Hydraulic Data'!$AL292),TRUE,FALSE)</f>
        <v>0</v>
      </c>
      <c r="D292" s="122" t="b">
        <f>IF(OR(A292=0,ISERROR('Fan Hydraulic Data'!B292)),FALSE,TRUE)</f>
        <v>0</v>
      </c>
    </row>
    <row r="293" spans="1:4">
      <c r="A293" s="123">
        <f>'House C Data'!A293</f>
        <v>0</v>
      </c>
      <c r="B293" s="125" t="b">
        <f>IF(AND(A293&lt;&gt;0,OR(Pt_in_SU&lt;='Fan Hydraulic Data'!$AI293,Ps_in_SU&lt;='Fan Hydraulic Data'!$AI293),OR(Pt_in_SU&lt;='Fan Hydraulic Data'!$AI293,Ps_in_SU&lt;='Fan Hydraulic Data'!$AI293),Q_in_SU&lt;='Fan Hydraulic Data'!$AK293,Q_in_SU&gt;='Fan Hydraulic Data'!$AL293),TRUE,FALSE)</f>
        <v>0</v>
      </c>
      <c r="D293" s="122" t="b">
        <f>IF(OR(A293=0,ISERROR('Fan Hydraulic Data'!B293)),FALSE,TRUE)</f>
        <v>0</v>
      </c>
    </row>
    <row r="294" spans="1:4">
      <c r="A294" s="123">
        <f>'House C Data'!A294</f>
        <v>0</v>
      </c>
      <c r="B294" s="125" t="b">
        <f>IF(AND(A294&lt;&gt;0,OR(Pt_in_SU&lt;='Fan Hydraulic Data'!$AI294,Ps_in_SU&lt;='Fan Hydraulic Data'!$AI294),OR(Pt_in_SU&lt;='Fan Hydraulic Data'!$AI294,Ps_in_SU&lt;='Fan Hydraulic Data'!$AI294),Q_in_SU&lt;='Fan Hydraulic Data'!$AK294,Q_in_SU&gt;='Fan Hydraulic Data'!$AL294),TRUE,FALSE)</f>
        <v>0</v>
      </c>
      <c r="D294" s="122" t="b">
        <f>IF(OR(A294=0,ISERROR('Fan Hydraulic Data'!B294)),FALSE,TRUE)</f>
        <v>0</v>
      </c>
    </row>
    <row r="295" spans="1:4">
      <c r="A295" s="123">
        <f>'House C Data'!A295</f>
        <v>0</v>
      </c>
      <c r="B295" s="125" t="b">
        <f>IF(AND(A295&lt;&gt;0,OR(Pt_in_SU&lt;='Fan Hydraulic Data'!$AI295,Ps_in_SU&lt;='Fan Hydraulic Data'!$AI295),OR(Pt_in_SU&lt;='Fan Hydraulic Data'!$AI295,Ps_in_SU&lt;='Fan Hydraulic Data'!$AI295),Q_in_SU&lt;='Fan Hydraulic Data'!$AK295,Q_in_SU&gt;='Fan Hydraulic Data'!$AL295),TRUE,FALSE)</f>
        <v>0</v>
      </c>
      <c r="D295" s="122" t="b">
        <f>IF(OR(A295=0,ISERROR('Fan Hydraulic Data'!B295)),FALSE,TRUE)</f>
        <v>0</v>
      </c>
    </row>
    <row r="296" spans="1:4">
      <c r="A296" s="123">
        <f>'House C Data'!A296</f>
        <v>0</v>
      </c>
      <c r="B296" s="125" t="b">
        <f>IF(AND(A296&lt;&gt;0,OR(Pt_in_SU&lt;='Fan Hydraulic Data'!$AI296,Ps_in_SU&lt;='Fan Hydraulic Data'!$AI296),OR(Pt_in_SU&lt;='Fan Hydraulic Data'!$AI296,Ps_in_SU&lt;='Fan Hydraulic Data'!$AI296),Q_in_SU&lt;='Fan Hydraulic Data'!$AK296,Q_in_SU&gt;='Fan Hydraulic Data'!$AL296),TRUE,FALSE)</f>
        <v>0</v>
      </c>
      <c r="D296" s="122" t="b">
        <f>IF(OR(A296=0,ISERROR('Fan Hydraulic Data'!B296)),FALSE,TRUE)</f>
        <v>0</v>
      </c>
    </row>
    <row r="297" spans="1:4">
      <c r="A297" s="123">
        <f>'House C Data'!A297</f>
        <v>0</v>
      </c>
      <c r="B297" s="125" t="b">
        <f>IF(AND(A297&lt;&gt;0,OR(Pt_in_SU&lt;='Fan Hydraulic Data'!$AI297,Ps_in_SU&lt;='Fan Hydraulic Data'!$AI297),OR(Pt_in_SU&lt;='Fan Hydraulic Data'!$AI297,Ps_in_SU&lt;='Fan Hydraulic Data'!$AI297),Q_in_SU&lt;='Fan Hydraulic Data'!$AK297,Q_in_SU&gt;='Fan Hydraulic Data'!$AL297),TRUE,FALSE)</f>
        <v>0</v>
      </c>
      <c r="D297" s="122" t="b">
        <f>IF(OR(A297=0,ISERROR('Fan Hydraulic Data'!B297)),FALSE,TRUE)</f>
        <v>0</v>
      </c>
    </row>
    <row r="298" spans="1:4">
      <c r="A298" s="123">
        <f>'House C Data'!A298</f>
        <v>0</v>
      </c>
      <c r="B298" s="125" t="b">
        <f>IF(AND(A298&lt;&gt;0,OR(Pt_in_SU&lt;='Fan Hydraulic Data'!$AI298,Ps_in_SU&lt;='Fan Hydraulic Data'!$AI298),OR(Pt_in_SU&lt;='Fan Hydraulic Data'!$AI298,Ps_in_SU&lt;='Fan Hydraulic Data'!$AI298),Q_in_SU&lt;='Fan Hydraulic Data'!$AK298,Q_in_SU&gt;='Fan Hydraulic Data'!$AL298),TRUE,FALSE)</f>
        <v>0</v>
      </c>
      <c r="D298" s="122" t="b">
        <f>IF(OR(A298=0,ISERROR('Fan Hydraulic Data'!B298)),FALSE,TRUE)</f>
        <v>0</v>
      </c>
    </row>
    <row r="299" spans="1:4">
      <c r="A299" s="123">
        <f>'House C Data'!A299</f>
        <v>0</v>
      </c>
      <c r="B299" s="125" t="b">
        <f>IF(AND(A299&lt;&gt;0,OR(Pt_in_SU&lt;='Fan Hydraulic Data'!$AI299,Ps_in_SU&lt;='Fan Hydraulic Data'!$AI299),OR(Pt_in_SU&lt;='Fan Hydraulic Data'!$AI299,Ps_in_SU&lt;='Fan Hydraulic Data'!$AI299),Q_in_SU&lt;='Fan Hydraulic Data'!$AK299,Q_in_SU&gt;='Fan Hydraulic Data'!$AL299),TRUE,FALSE)</f>
        <v>0</v>
      </c>
      <c r="D299" s="122" t="b">
        <f>IF(OR(A299=0,ISERROR('Fan Hydraulic Data'!B299)),FALSE,TRUE)</f>
        <v>0</v>
      </c>
    </row>
    <row r="300" spans="1:4">
      <c r="A300" s="123">
        <f>'House C Data'!A300</f>
        <v>0</v>
      </c>
      <c r="B300" s="125" t="b">
        <f>IF(AND(A300&lt;&gt;0,OR(Pt_in_SU&lt;='Fan Hydraulic Data'!$AI300,Ps_in_SU&lt;='Fan Hydraulic Data'!$AI300),OR(Pt_in_SU&lt;='Fan Hydraulic Data'!$AI300,Ps_in_SU&lt;='Fan Hydraulic Data'!$AI300),Q_in_SU&lt;='Fan Hydraulic Data'!$AK300,Q_in_SU&gt;='Fan Hydraulic Data'!$AL300),TRUE,FALSE)</f>
        <v>0</v>
      </c>
      <c r="D300" s="122" t="b">
        <f>IF(OR(A300=0,ISERROR('Fan Hydraulic Data'!B300)),FALSE,TRUE)</f>
        <v>0</v>
      </c>
    </row>
  </sheetData>
  <phoneticPr fontId="77" type="noConversion"/>
  <conditionalFormatting sqref="A17:A300">
    <cfRule type="expression" dxfId="257" priority="459">
      <formula>AND(#REF!=TRUE,$A17&lt;&gt;#REF!)</formula>
    </cfRule>
  </conditionalFormatting>
  <conditionalFormatting sqref="D18:D300">
    <cfRule type="expression" dxfId="256" priority="460">
      <formula>$D18=FALSE</formula>
    </cfRule>
  </conditionalFormatting>
  <pageMargins left="0.51181102362204722" right="0.35433070866141736" top="0.98425196850393704" bottom="0.98425196850393704" header="0.51181102362204722" footer="0.51181102362204722"/>
  <pageSetup paperSize="9" scale="15" orientation="landscape" r:id="rId1"/>
  <headerFooter alignWithMargins="0">
    <oddHeader>&amp;L&amp;F / &amp;A&amp;R&amp;D</oddHeader>
    <oddFooter>&amp;LCONFIDENTIAL&amp;CBARKER JET&amp;RPage &amp;P / &amp;N</oddFooter>
  </headerFooter>
  <rowBreaks count="2" manualBreakCount="2">
    <brk id="74" max="16383" man="1"/>
    <brk id="15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240"/>
  <sheetViews>
    <sheetView zoomScale="80" zoomScaleNormal="80" workbookViewId="0">
      <selection activeCell="A16" sqref="A16:Y239"/>
    </sheetView>
  </sheetViews>
  <sheetFormatPr defaultColWidth="8.7109375" defaultRowHeight="12.75"/>
  <cols>
    <col min="1" max="1" width="24.42578125" style="768" customWidth="1"/>
    <col min="2" max="4" width="8.5703125" style="768" customWidth="1"/>
    <col min="5" max="16384" width="8.7109375" style="768"/>
  </cols>
  <sheetData>
    <row r="1" spans="1:25" s="530" customFormat="1" ht="14.45" customHeight="1" thickTop="1">
      <c r="A1" s="847" t="s">
        <v>108</v>
      </c>
      <c r="B1" s="848">
        <f>VLOOKUP("Steel",Metal_mech_data,MATCH("density",mech_data_type,0),FALSE)</f>
        <v>7850</v>
      </c>
      <c r="C1" s="849" t="s">
        <v>30</v>
      </c>
      <c r="D1" s="850"/>
      <c r="E1" s="851"/>
      <c r="F1" s="851"/>
      <c r="G1" s="852"/>
      <c r="H1" s="853"/>
      <c r="I1" s="854"/>
      <c r="J1" s="854"/>
      <c r="K1" s="855"/>
      <c r="L1" s="856"/>
      <c r="M1" s="854"/>
      <c r="N1" s="854"/>
      <c r="O1" s="854"/>
      <c r="P1" s="854"/>
      <c r="Q1" s="855"/>
      <c r="R1" s="856"/>
      <c r="S1" s="854"/>
      <c r="T1" s="854"/>
      <c r="U1" s="854"/>
      <c r="V1" s="854"/>
      <c r="W1" s="855"/>
      <c r="X1" s="856"/>
      <c r="Y1" s="857"/>
    </row>
    <row r="2" spans="1:25" s="530" customFormat="1" ht="14.45" customHeight="1">
      <c r="A2" s="750" t="s">
        <v>697</v>
      </c>
      <c r="B2" s="858">
        <v>15</v>
      </c>
      <c r="C2" s="639" t="s">
        <v>698</v>
      </c>
      <c r="D2" s="640"/>
      <c r="E2" s="641"/>
      <c r="F2" s="641"/>
      <c r="G2" s="641"/>
      <c r="H2" s="859"/>
      <c r="I2" s="860"/>
      <c r="J2" s="860"/>
      <c r="K2" s="861"/>
      <c r="L2" s="862"/>
      <c r="M2" s="860"/>
      <c r="N2" s="860"/>
      <c r="O2" s="860"/>
      <c r="P2" s="860"/>
      <c r="Q2" s="861"/>
      <c r="R2" s="862"/>
      <c r="S2" s="860"/>
      <c r="T2" s="860"/>
      <c r="U2" s="860"/>
      <c r="V2" s="860"/>
      <c r="W2" s="861"/>
      <c r="X2" s="862"/>
      <c r="Y2" s="863"/>
    </row>
    <row r="3" spans="1:25" s="530" customFormat="1" ht="14.45" customHeight="1" thickBot="1">
      <c r="A3" s="752" t="s">
        <v>699</v>
      </c>
      <c r="B3" s="644">
        <f>g</f>
        <v>9.8070000000000004</v>
      </c>
      <c r="C3" s="639" t="s">
        <v>700</v>
      </c>
      <c r="D3" s="640"/>
      <c r="E3" s="641"/>
      <c r="F3" s="641"/>
      <c r="G3" s="641"/>
      <c r="H3" s="859"/>
      <c r="I3" s="860"/>
      <c r="J3" s="860"/>
      <c r="K3" s="861"/>
      <c r="L3" s="862"/>
      <c r="M3" s="860"/>
      <c r="N3" s="860"/>
      <c r="O3" s="860"/>
      <c r="P3" s="860"/>
      <c r="Q3" s="861"/>
      <c r="R3" s="862"/>
      <c r="S3" s="860"/>
      <c r="T3" s="860"/>
      <c r="U3" s="860"/>
      <c r="V3" s="860"/>
      <c r="W3" s="861"/>
      <c r="X3" s="862"/>
      <c r="Y3" s="863"/>
    </row>
    <row r="4" spans="1:25" s="530" customFormat="1" ht="14.45" customHeight="1" thickBot="1">
      <c r="A4" s="864" t="s">
        <v>1608</v>
      </c>
      <c r="B4" s="865" t="s">
        <v>1609</v>
      </c>
      <c r="C4" s="866" t="s">
        <v>1584</v>
      </c>
      <c r="D4" s="866" t="s">
        <v>1588</v>
      </c>
      <c r="E4" s="866" t="s">
        <v>1589</v>
      </c>
      <c r="F4" s="866" t="s">
        <v>1587</v>
      </c>
      <c r="G4" s="866" t="s">
        <v>68</v>
      </c>
      <c r="H4" s="867" t="s">
        <v>67</v>
      </c>
      <c r="I4" s="860"/>
      <c r="J4" s="860"/>
      <c r="K4" s="861"/>
      <c r="L4" s="862"/>
      <c r="M4" s="860"/>
      <c r="N4" s="860"/>
      <c r="O4" s="860"/>
      <c r="P4" s="860"/>
      <c r="Q4" s="861"/>
      <c r="R4" s="862"/>
      <c r="S4" s="860"/>
      <c r="T4" s="860"/>
      <c r="U4" s="860"/>
      <c r="V4" s="860"/>
      <c r="W4" s="861"/>
      <c r="X4" s="862"/>
      <c r="Y4" s="863"/>
    </row>
    <row r="5" spans="1:25" s="530" customFormat="1" ht="3" customHeight="1">
      <c r="A5" s="868"/>
      <c r="B5" s="869"/>
      <c r="C5" s="870"/>
      <c r="D5" s="871"/>
      <c r="E5" s="502"/>
      <c r="F5" s="502"/>
      <c r="G5" s="872"/>
      <c r="H5" s="873"/>
      <c r="I5" s="860"/>
      <c r="J5" s="860"/>
      <c r="K5" s="861"/>
      <c r="L5" s="862"/>
      <c r="M5" s="860"/>
      <c r="N5" s="860"/>
      <c r="O5" s="860"/>
      <c r="P5" s="860"/>
      <c r="Q5" s="861"/>
      <c r="R5" s="862"/>
      <c r="S5" s="860"/>
      <c r="T5" s="860"/>
      <c r="U5" s="860"/>
      <c r="V5" s="860"/>
      <c r="W5" s="861"/>
      <c r="X5" s="862"/>
      <c r="Y5" s="863"/>
    </row>
    <row r="6" spans="1:25" s="530" customFormat="1" ht="3" customHeight="1">
      <c r="A6" s="874"/>
      <c r="B6" s="875"/>
      <c r="C6" s="870"/>
      <c r="D6" s="876"/>
      <c r="E6" s="502"/>
      <c r="F6" s="502"/>
      <c r="G6" s="877"/>
      <c r="H6" s="873"/>
      <c r="I6" s="860"/>
      <c r="J6" s="860"/>
      <c r="K6" s="861"/>
      <c r="L6" s="862"/>
      <c r="M6" s="860"/>
      <c r="N6" s="860"/>
      <c r="O6" s="860"/>
      <c r="P6" s="860"/>
      <c r="Q6" s="861"/>
      <c r="R6" s="862"/>
      <c r="S6" s="860"/>
      <c r="T6" s="860"/>
      <c r="U6" s="860"/>
      <c r="V6" s="860"/>
      <c r="W6" s="861"/>
      <c r="X6" s="862"/>
      <c r="Y6" s="863"/>
    </row>
    <row r="7" spans="1:25" s="530" customFormat="1" ht="3" customHeight="1">
      <c r="A7" s="868"/>
      <c r="B7" s="869"/>
      <c r="C7" s="870"/>
      <c r="D7" s="871"/>
      <c r="E7" s="502"/>
      <c r="F7" s="502"/>
      <c r="G7" s="877"/>
      <c r="H7" s="873"/>
      <c r="I7" s="860"/>
      <c r="J7" s="860"/>
      <c r="K7" s="861"/>
      <c r="L7" s="862"/>
      <c r="M7" s="860"/>
      <c r="N7" s="860"/>
      <c r="O7" s="860"/>
      <c r="P7" s="860"/>
      <c r="Q7" s="861"/>
      <c r="R7" s="862"/>
      <c r="S7" s="860"/>
      <c r="T7" s="860"/>
      <c r="U7" s="860"/>
      <c r="V7" s="860"/>
      <c r="W7" s="861"/>
      <c r="X7" s="862"/>
      <c r="Y7" s="863"/>
    </row>
    <row r="8" spans="1:25" s="530" customFormat="1" ht="3" customHeight="1">
      <c r="A8" s="868"/>
      <c r="B8" s="869"/>
      <c r="C8" s="870"/>
      <c r="D8" s="871"/>
      <c r="E8" s="502"/>
      <c r="F8" s="502"/>
      <c r="G8" s="877"/>
      <c r="H8" s="873"/>
      <c r="I8" s="860"/>
      <c r="J8" s="860"/>
      <c r="K8" s="861"/>
      <c r="L8" s="862"/>
      <c r="M8" s="860"/>
      <c r="N8" s="860"/>
      <c r="O8" s="860"/>
      <c r="P8" s="860"/>
      <c r="Q8" s="861"/>
      <c r="R8" s="862"/>
      <c r="S8" s="860"/>
      <c r="T8" s="860"/>
      <c r="U8" s="860"/>
      <c r="V8" s="860"/>
      <c r="W8" s="861"/>
      <c r="X8" s="862"/>
      <c r="Y8" s="863"/>
    </row>
    <row r="9" spans="1:25" s="530" customFormat="1" ht="3" customHeight="1">
      <c r="A9" s="868"/>
      <c r="B9" s="869"/>
      <c r="C9" s="870"/>
      <c r="D9" s="871"/>
      <c r="E9" s="502"/>
      <c r="F9" s="502"/>
      <c r="G9" s="877"/>
      <c r="H9" s="873"/>
      <c r="I9" s="860"/>
      <c r="J9" s="860"/>
      <c r="K9" s="861"/>
      <c r="L9" s="862"/>
      <c r="M9" s="860"/>
      <c r="N9" s="860"/>
      <c r="O9" s="860"/>
      <c r="P9" s="860"/>
      <c r="Q9" s="861"/>
      <c r="R9" s="862"/>
      <c r="S9" s="860"/>
      <c r="T9" s="860"/>
      <c r="U9" s="860"/>
      <c r="V9" s="860"/>
      <c r="W9" s="861"/>
      <c r="X9" s="862"/>
      <c r="Y9" s="863"/>
    </row>
    <row r="10" spans="1:25" s="530" customFormat="1" ht="3" customHeight="1">
      <c r="A10" s="878"/>
      <c r="B10" s="869"/>
      <c r="C10" s="870"/>
      <c r="D10" s="869"/>
      <c r="E10" s="502"/>
      <c r="F10" s="502"/>
      <c r="G10" s="877"/>
      <c r="H10" s="873"/>
      <c r="I10" s="860"/>
      <c r="J10" s="860"/>
      <c r="K10" s="861"/>
      <c r="L10" s="862"/>
      <c r="M10" s="860"/>
      <c r="N10" s="860"/>
      <c r="O10" s="860"/>
      <c r="P10" s="860"/>
      <c r="Q10" s="861"/>
      <c r="R10" s="862"/>
      <c r="S10" s="860"/>
      <c r="T10" s="860"/>
      <c r="U10" s="860"/>
      <c r="V10" s="860"/>
      <c r="W10" s="861"/>
      <c r="X10" s="862"/>
      <c r="Y10" s="863"/>
    </row>
    <row r="11" spans="1:25" s="530" customFormat="1" ht="3" customHeight="1">
      <c r="A11" s="868"/>
      <c r="B11" s="869"/>
      <c r="C11" s="870"/>
      <c r="D11" s="871"/>
      <c r="E11" s="502"/>
      <c r="F11" s="502"/>
      <c r="G11" s="877"/>
      <c r="H11" s="873"/>
      <c r="I11" s="860"/>
      <c r="J11" s="860"/>
      <c r="K11" s="861"/>
      <c r="L11" s="862"/>
      <c r="M11" s="860"/>
      <c r="N11" s="860"/>
      <c r="O11" s="860"/>
      <c r="P11" s="860"/>
      <c r="Q11" s="861"/>
      <c r="R11" s="862"/>
      <c r="S11" s="860"/>
      <c r="T11" s="860"/>
      <c r="U11" s="860"/>
      <c r="V11" s="860"/>
      <c r="W11" s="861"/>
      <c r="X11" s="862"/>
      <c r="Y11" s="863"/>
    </row>
    <row r="12" spans="1:25" s="887" customFormat="1" ht="13.5" thickBot="1">
      <c r="A12" s="879"/>
      <c r="B12" s="880"/>
      <c r="C12" s="881"/>
      <c r="D12" s="881"/>
      <c r="E12" s="882"/>
      <c r="F12" s="882"/>
      <c r="G12" s="883"/>
      <c r="H12" s="884"/>
      <c r="I12" s="883"/>
      <c r="J12" s="883"/>
      <c r="K12" s="883"/>
      <c r="L12" s="883"/>
      <c r="M12" s="883"/>
      <c r="N12" s="883"/>
      <c r="O12" s="883"/>
      <c r="P12" s="883"/>
      <c r="Q12" s="883"/>
      <c r="R12" s="883"/>
      <c r="S12" s="885"/>
      <c r="T12" s="883"/>
      <c r="U12" s="883"/>
      <c r="V12" s="883"/>
      <c r="W12" s="883"/>
      <c r="X12" s="883"/>
      <c r="Y12" s="886"/>
    </row>
    <row r="13" spans="1:25" s="887" customFormat="1" ht="13.5" thickTop="1">
      <c r="A13" s="888" t="s">
        <v>993</v>
      </c>
      <c r="B13" s="889">
        <f>MATCH(A13,B16:B238,0)+16</f>
        <v>85</v>
      </c>
      <c r="C13" s="890" t="s">
        <v>1014</v>
      </c>
      <c r="D13" s="502">
        <f>MATCH(C13,D16:D238,0)+16</f>
        <v>20</v>
      </c>
      <c r="E13" s="891" t="s">
        <v>1270</v>
      </c>
      <c r="F13" s="892">
        <f>MATCH(E13,F16:F238,0)+16</f>
        <v>29</v>
      </c>
      <c r="G13" s="877"/>
      <c r="H13" s="893"/>
      <c r="I13" s="894"/>
      <c r="J13" s="894"/>
      <c r="K13" s="894"/>
      <c r="L13" s="894"/>
      <c r="M13" s="894"/>
      <c r="N13" s="894"/>
      <c r="O13" s="894"/>
      <c r="P13" s="894"/>
      <c r="Q13" s="894"/>
      <c r="R13" s="894"/>
      <c r="S13" s="895"/>
      <c r="T13" s="894"/>
      <c r="U13" s="894"/>
      <c r="V13" s="894"/>
      <c r="W13" s="894"/>
      <c r="X13" s="894"/>
      <c r="Y13" s="896"/>
    </row>
    <row r="14" spans="1:25" s="887" customFormat="1" ht="13.5" thickBot="1">
      <c r="A14" s="897">
        <f>MAX(B14:Y14)</f>
        <v>24</v>
      </c>
      <c r="B14" s="898">
        <v>1</v>
      </c>
      <c r="C14" s="899">
        <f t="shared" ref="C14:Y14" si="0">B14+1</f>
        <v>2</v>
      </c>
      <c r="D14" s="898">
        <f t="shared" si="0"/>
        <v>3</v>
      </c>
      <c r="E14" s="900">
        <f t="shared" si="0"/>
        <v>4</v>
      </c>
      <c r="F14" s="901">
        <f t="shared" si="0"/>
        <v>5</v>
      </c>
      <c r="G14" s="902">
        <f t="shared" si="0"/>
        <v>6</v>
      </c>
      <c r="H14" s="903">
        <f t="shared" si="0"/>
        <v>7</v>
      </c>
      <c r="I14" s="902">
        <f t="shared" si="0"/>
        <v>8</v>
      </c>
      <c r="J14" s="902">
        <f t="shared" si="0"/>
        <v>9</v>
      </c>
      <c r="K14" s="902">
        <f t="shared" si="0"/>
        <v>10</v>
      </c>
      <c r="L14" s="902">
        <f t="shared" si="0"/>
        <v>11</v>
      </c>
      <c r="M14" s="902">
        <f t="shared" si="0"/>
        <v>12</v>
      </c>
      <c r="N14" s="902">
        <f t="shared" si="0"/>
        <v>13</v>
      </c>
      <c r="O14" s="902">
        <f t="shared" si="0"/>
        <v>14</v>
      </c>
      <c r="P14" s="902">
        <f t="shared" si="0"/>
        <v>15</v>
      </c>
      <c r="Q14" s="902">
        <f t="shared" si="0"/>
        <v>16</v>
      </c>
      <c r="R14" s="902">
        <f t="shared" si="0"/>
        <v>17</v>
      </c>
      <c r="S14" s="902">
        <f t="shared" si="0"/>
        <v>18</v>
      </c>
      <c r="T14" s="902">
        <f t="shared" si="0"/>
        <v>19</v>
      </c>
      <c r="U14" s="902">
        <f t="shared" si="0"/>
        <v>20</v>
      </c>
      <c r="V14" s="902">
        <f t="shared" si="0"/>
        <v>21</v>
      </c>
      <c r="W14" s="902">
        <f t="shared" si="0"/>
        <v>22</v>
      </c>
      <c r="X14" s="902">
        <f t="shared" si="0"/>
        <v>23</v>
      </c>
      <c r="Y14" s="904">
        <f t="shared" si="0"/>
        <v>24</v>
      </c>
    </row>
    <row r="15" spans="1:25" ht="14.25" thickBot="1">
      <c r="A15" s="785"/>
      <c r="B15" s="1467"/>
      <c r="C15" s="1467"/>
      <c r="D15" s="1468"/>
      <c r="E15" s="4"/>
      <c r="F15" s="4"/>
      <c r="G15" s="4"/>
      <c r="H15" s="4"/>
    </row>
    <row r="16" spans="1:25" ht="60" customHeight="1">
      <c r="A16" s="820" t="s">
        <v>1656</v>
      </c>
      <c r="B16" s="804"/>
      <c r="C16" s="579" t="s">
        <v>994</v>
      </c>
      <c r="D16" s="805">
        <v>0</v>
      </c>
      <c r="E16" s="579" t="s">
        <v>1613</v>
      </c>
      <c r="F16" s="965">
        <v>0</v>
      </c>
      <c r="G16" s="805">
        <v>0</v>
      </c>
      <c r="H16" s="966" t="s">
        <v>1614</v>
      </c>
      <c r="I16" s="967" t="s">
        <v>1615</v>
      </c>
      <c r="J16" s="967" t="s">
        <v>1616</v>
      </c>
      <c r="K16" s="967" t="s">
        <v>1617</v>
      </c>
      <c r="L16" s="968" t="s">
        <v>1618</v>
      </c>
      <c r="M16" s="969" t="s">
        <v>1619</v>
      </c>
      <c r="N16" s="970" t="s">
        <v>1620</v>
      </c>
      <c r="O16" s="971" t="s">
        <v>1615</v>
      </c>
      <c r="P16" s="971" t="s">
        <v>1616</v>
      </c>
      <c r="Q16" s="971" t="s">
        <v>1617</v>
      </c>
      <c r="R16" s="971" t="s">
        <v>1618</v>
      </c>
      <c r="S16" s="972" t="s">
        <v>1621</v>
      </c>
      <c r="T16" s="973" t="s">
        <v>1622</v>
      </c>
      <c r="U16" s="967" t="s">
        <v>1615</v>
      </c>
      <c r="V16" s="967" t="s">
        <v>1616</v>
      </c>
      <c r="W16" s="967" t="s">
        <v>1617</v>
      </c>
      <c r="X16" s="968" t="s">
        <v>1618</v>
      </c>
      <c r="Y16" s="974" t="s">
        <v>1619</v>
      </c>
    </row>
    <row r="17" spans="1:25" ht="54.75">
      <c r="A17" s="821" t="s">
        <v>794</v>
      </c>
      <c r="B17" s="582">
        <v>0</v>
      </c>
      <c r="C17" s="806">
        <v>0</v>
      </c>
      <c r="D17" s="583">
        <v>0</v>
      </c>
      <c r="E17" s="1211">
        <v>0</v>
      </c>
      <c r="F17" s="1212">
        <v>0</v>
      </c>
      <c r="G17" s="1213" t="b">
        <v>0</v>
      </c>
      <c r="H17" s="1214" t="s">
        <v>1623</v>
      </c>
      <c r="I17" s="1215">
        <v>0</v>
      </c>
      <c r="J17" s="1215">
        <v>0</v>
      </c>
      <c r="K17" s="1215">
        <v>0</v>
      </c>
      <c r="L17" s="1215">
        <v>0</v>
      </c>
      <c r="M17" s="1216">
        <v>0</v>
      </c>
      <c r="N17" s="1215"/>
      <c r="O17" s="1215">
        <v>0</v>
      </c>
      <c r="P17" s="1215">
        <v>0</v>
      </c>
      <c r="Q17" s="1215">
        <v>0</v>
      </c>
      <c r="R17" s="1215">
        <v>0</v>
      </c>
      <c r="S17" s="1216">
        <v>0</v>
      </c>
      <c r="T17" s="1215"/>
      <c r="U17" s="1215">
        <v>0</v>
      </c>
      <c r="V17" s="1215">
        <v>0</v>
      </c>
      <c r="W17" s="1215">
        <v>0</v>
      </c>
      <c r="X17" s="1215">
        <v>0</v>
      </c>
      <c r="Y17" s="1217">
        <v>0</v>
      </c>
    </row>
    <row r="18" spans="1:25" ht="14.25">
      <c r="A18" s="807" t="s">
        <v>795</v>
      </c>
      <c r="B18" s="645" t="s">
        <v>1254</v>
      </c>
      <c r="C18" s="808" t="s">
        <v>571</v>
      </c>
      <c r="D18" s="645" t="s">
        <v>1013</v>
      </c>
      <c r="E18" s="975" t="s">
        <v>795</v>
      </c>
      <c r="F18" s="976" t="s">
        <v>1254</v>
      </c>
      <c r="G18" t="b">
        <v>1</v>
      </c>
      <c r="H18" s="977"/>
      <c r="I18" s="978">
        <v>2400</v>
      </c>
      <c r="J18" s="978">
        <v>264.60000000000002</v>
      </c>
      <c r="K18" s="978">
        <v>7622.6111011909798</v>
      </c>
      <c r="L18" s="979">
        <v>0.82007292680588495</v>
      </c>
      <c r="M18" s="980">
        <v>6.6999999999999975</v>
      </c>
      <c r="N18" s="978"/>
      <c r="O18" s="978">
        <v>3600</v>
      </c>
      <c r="P18" s="978">
        <v>595.35</v>
      </c>
      <c r="Q18" s="978">
        <v>11433.916651786469</v>
      </c>
      <c r="R18" s="979">
        <v>0.82007292680588495</v>
      </c>
      <c r="S18" s="980">
        <v>22.612499999999983</v>
      </c>
      <c r="T18" s="978"/>
      <c r="U18" s="978">
        <v>1403.5285143421759</v>
      </c>
      <c r="V18" s="978">
        <v>90.49192709813083</v>
      </c>
      <c r="W18" s="978">
        <v>4457.7300142761469</v>
      </c>
      <c r="X18" s="979">
        <v>0.82007292680588495</v>
      </c>
      <c r="Y18" s="981">
        <v>1.3399999999999999</v>
      </c>
    </row>
    <row r="19" spans="1:25" ht="14.25">
      <c r="A19" s="807" t="s">
        <v>796</v>
      </c>
      <c r="B19" s="645" t="s">
        <v>1255</v>
      </c>
      <c r="C19" s="808" t="s">
        <v>572</v>
      </c>
      <c r="D19" s="610" t="s">
        <v>1014</v>
      </c>
      <c r="E19" s="975" t="s">
        <v>796</v>
      </c>
      <c r="F19" s="976" t="s">
        <v>1255</v>
      </c>
      <c r="G19" t="b">
        <v>1</v>
      </c>
      <c r="H19" s="977"/>
      <c r="I19" s="978">
        <v>2500</v>
      </c>
      <c r="J19" s="978">
        <v>500</v>
      </c>
      <c r="K19" s="978">
        <v>10875</v>
      </c>
      <c r="L19" s="979">
        <v>0.75962339743589702</v>
      </c>
      <c r="M19" s="980">
        <v>19.500000000000011</v>
      </c>
      <c r="N19" s="978"/>
      <c r="O19" s="978">
        <v>3600</v>
      </c>
      <c r="P19" s="978">
        <v>1036.8</v>
      </c>
      <c r="Q19" s="978">
        <v>15660</v>
      </c>
      <c r="R19" s="979">
        <v>0.75962339743589702</v>
      </c>
      <c r="S19" s="980">
        <v>58.226688000000038</v>
      </c>
      <c r="T19" s="978"/>
      <c r="U19" s="978">
        <v>1462.0088691064332</v>
      </c>
      <c r="V19" s="978">
        <v>170.99759466766972</v>
      </c>
      <c r="W19" s="978">
        <v>6359.7385806129842</v>
      </c>
      <c r="X19" s="979">
        <v>0.75962339743589702</v>
      </c>
      <c r="Y19" s="981">
        <v>3.900000000000003</v>
      </c>
    </row>
    <row r="20" spans="1:25" ht="14.25">
      <c r="A20" s="807" t="s">
        <v>797</v>
      </c>
      <c r="B20" s="645" t="s">
        <v>1256</v>
      </c>
      <c r="C20" s="808" t="s">
        <v>573</v>
      </c>
      <c r="D20" s="610" t="s">
        <v>1257</v>
      </c>
      <c r="E20" s="975" t="s">
        <v>797</v>
      </c>
      <c r="F20" s="976" t="s">
        <v>1256</v>
      </c>
      <c r="G20" t="b">
        <v>1</v>
      </c>
      <c r="H20" s="977"/>
      <c r="I20" s="978">
        <v>2500</v>
      </c>
      <c r="J20" s="978">
        <v>495</v>
      </c>
      <c r="K20" s="978">
        <v>13450</v>
      </c>
      <c r="L20" s="979">
        <v>0.851493926056338</v>
      </c>
      <c r="M20" s="980">
        <v>21.3</v>
      </c>
      <c r="N20" s="978"/>
      <c r="O20" s="978">
        <v>3600</v>
      </c>
      <c r="P20" s="978">
        <v>1026.432</v>
      </c>
      <c r="Q20" s="978">
        <v>19368</v>
      </c>
      <c r="R20" s="979">
        <v>0.851493926056338</v>
      </c>
      <c r="S20" s="980">
        <v>63.601459200000008</v>
      </c>
      <c r="T20" s="978"/>
      <c r="U20" s="978">
        <v>1462.0088691064332</v>
      </c>
      <c r="V20" s="978">
        <v>169.28761872099304</v>
      </c>
      <c r="W20" s="978">
        <v>7865.6077157926102</v>
      </c>
      <c r="X20" s="979">
        <v>0.851493926056338</v>
      </c>
      <c r="Y20" s="981">
        <v>4.2600000000000016</v>
      </c>
    </row>
    <row r="21" spans="1:25" ht="14.25">
      <c r="A21" s="807" t="s">
        <v>798</v>
      </c>
      <c r="B21" s="645" t="s">
        <v>1258</v>
      </c>
      <c r="C21" s="808" t="s">
        <v>574</v>
      </c>
      <c r="D21" s="610" t="s">
        <v>1259</v>
      </c>
      <c r="E21" s="975" t="s">
        <v>798</v>
      </c>
      <c r="F21" s="976" t="s">
        <v>1258</v>
      </c>
      <c r="G21" t="b">
        <v>1</v>
      </c>
      <c r="H21" s="977"/>
      <c r="I21" s="978">
        <v>2400</v>
      </c>
      <c r="J21" s="978">
        <v>343</v>
      </c>
      <c r="K21" s="978">
        <v>21036.426740299801</v>
      </c>
      <c r="L21" s="979">
        <v>0.79579794540538895</v>
      </c>
      <c r="M21" s="980">
        <v>24.70000000000001</v>
      </c>
      <c r="N21" s="978"/>
      <c r="O21" s="978">
        <v>3600</v>
      </c>
      <c r="P21" s="978">
        <v>771.75</v>
      </c>
      <c r="Q21" s="978">
        <v>31554.640110449702</v>
      </c>
      <c r="R21" s="979">
        <v>0.79579794540538895</v>
      </c>
      <c r="S21" s="980">
        <v>83.362500000000026</v>
      </c>
      <c r="T21" s="978"/>
      <c r="U21" s="978">
        <v>1403.5285143421759</v>
      </c>
      <c r="V21" s="978">
        <v>117.30434994202143</v>
      </c>
      <c r="W21" s="978">
        <v>12302.176987450417</v>
      </c>
      <c r="X21" s="979">
        <v>0.79579794540538895</v>
      </c>
      <c r="Y21" s="981">
        <v>4.9400000000000031</v>
      </c>
    </row>
    <row r="22" spans="1:25" ht="14.25">
      <c r="A22" s="807" t="s">
        <v>799</v>
      </c>
      <c r="B22" s="645" t="s">
        <v>1260</v>
      </c>
      <c r="C22" s="808" t="s">
        <v>575</v>
      </c>
      <c r="D22" s="610" t="s">
        <v>1261</v>
      </c>
      <c r="E22" s="975" t="s">
        <v>799</v>
      </c>
      <c r="F22" s="976" t="s">
        <v>1260</v>
      </c>
      <c r="G22" t="b">
        <v>1</v>
      </c>
      <c r="H22" s="977"/>
      <c r="I22" s="978">
        <v>2400</v>
      </c>
      <c r="J22" s="978">
        <v>343</v>
      </c>
      <c r="K22" s="978">
        <v>21036.426740299801</v>
      </c>
      <c r="L22" s="979">
        <v>0.79579794540538895</v>
      </c>
      <c r="M22" s="980">
        <v>24.70000000000001</v>
      </c>
      <c r="N22" s="978"/>
      <c r="O22" s="978">
        <v>3600</v>
      </c>
      <c r="P22" s="978">
        <v>771.75</v>
      </c>
      <c r="Q22" s="978">
        <v>31554.640110449702</v>
      </c>
      <c r="R22" s="979">
        <v>0.79579794540538895</v>
      </c>
      <c r="S22" s="980">
        <v>83.362500000000026</v>
      </c>
      <c r="T22" s="978"/>
      <c r="U22" s="978">
        <v>1403.5285143421759</v>
      </c>
      <c r="V22" s="978">
        <v>117.30434994202143</v>
      </c>
      <c r="W22" s="978">
        <v>12302.176987450417</v>
      </c>
      <c r="X22" s="979">
        <v>0.79579794540538895</v>
      </c>
      <c r="Y22" s="981">
        <v>4.9400000000000031</v>
      </c>
    </row>
    <row r="23" spans="1:25" ht="14.25">
      <c r="A23" s="807" t="s">
        <v>800</v>
      </c>
      <c r="B23" s="645" t="s">
        <v>1262</v>
      </c>
      <c r="C23" s="808" t="s">
        <v>576</v>
      </c>
      <c r="D23" s="610" t="s">
        <v>1263</v>
      </c>
      <c r="E23" s="975" t="s">
        <v>800</v>
      </c>
      <c r="F23" s="976" t="s">
        <v>1262</v>
      </c>
      <c r="G23" t="b">
        <v>0</v>
      </c>
      <c r="H23" s="977"/>
      <c r="I23" s="978">
        <v>0</v>
      </c>
      <c r="J23" s="978">
        <v>0</v>
      </c>
      <c r="K23" s="978">
        <v>0</v>
      </c>
      <c r="L23" s="979">
        <v>0</v>
      </c>
      <c r="M23" s="980">
        <v>0</v>
      </c>
      <c r="N23" s="978"/>
      <c r="O23" s="978">
        <v>0</v>
      </c>
      <c r="P23" s="978">
        <v>0</v>
      </c>
      <c r="Q23" s="978">
        <v>0</v>
      </c>
      <c r="R23" s="979">
        <v>0</v>
      </c>
      <c r="S23" s="980">
        <v>0</v>
      </c>
      <c r="T23" s="978"/>
      <c r="U23" s="978">
        <v>0</v>
      </c>
      <c r="V23" s="978">
        <v>0</v>
      </c>
      <c r="W23" s="978">
        <v>0</v>
      </c>
      <c r="X23" s="979">
        <v>0</v>
      </c>
      <c r="Y23" s="981">
        <v>0</v>
      </c>
    </row>
    <row r="24" spans="1:25" ht="14.25">
      <c r="A24" s="807" t="s">
        <v>801</v>
      </c>
      <c r="B24" s="645" t="s">
        <v>1264</v>
      </c>
      <c r="C24" s="808" t="s">
        <v>577</v>
      </c>
      <c r="D24" s="610" t="s">
        <v>1265</v>
      </c>
      <c r="E24" s="975" t="s">
        <v>801</v>
      </c>
      <c r="F24" s="976" t="s">
        <v>1264</v>
      </c>
      <c r="G24" t="b">
        <v>1</v>
      </c>
      <c r="H24" s="977"/>
      <c r="I24" s="978">
        <v>2400</v>
      </c>
      <c r="J24" s="978">
        <v>640</v>
      </c>
      <c r="K24" s="978">
        <v>16150</v>
      </c>
      <c r="L24" s="979">
        <v>0.76099963963964001</v>
      </c>
      <c r="M24" s="980">
        <v>36.999999999999986</v>
      </c>
      <c r="N24" s="978"/>
      <c r="O24" s="978">
        <v>3600</v>
      </c>
      <c r="P24" s="978">
        <v>1440</v>
      </c>
      <c r="Q24" s="978">
        <v>24225</v>
      </c>
      <c r="R24" s="979">
        <v>0.76099963963964001</v>
      </c>
      <c r="S24" s="980">
        <v>124.87499999999996</v>
      </c>
      <c r="T24" s="978"/>
      <c r="U24" s="978">
        <v>1403.5285143421759</v>
      </c>
      <c r="V24" s="978">
        <v>218.87692117461725</v>
      </c>
      <c r="W24" s="978">
        <v>9444.5772944275577</v>
      </c>
      <c r="X24" s="979">
        <v>0.76099963963964001</v>
      </c>
      <c r="Y24" s="981">
        <v>7.3999999999999986</v>
      </c>
    </row>
    <row r="25" spans="1:25" ht="14.25">
      <c r="A25" s="807" t="s">
        <v>802</v>
      </c>
      <c r="B25" s="645" t="s">
        <v>1266</v>
      </c>
      <c r="C25" s="808" t="s">
        <v>578</v>
      </c>
      <c r="D25" s="610" t="s">
        <v>1017</v>
      </c>
      <c r="E25" s="975" t="s">
        <v>802</v>
      </c>
      <c r="F25" s="976" t="s">
        <v>1266</v>
      </c>
      <c r="G25" t="b">
        <v>1</v>
      </c>
      <c r="H25" s="977"/>
      <c r="I25" s="978">
        <v>2200</v>
      </c>
      <c r="J25" s="978">
        <v>530.25</v>
      </c>
      <c r="K25" s="978">
        <v>17738.030471278398</v>
      </c>
      <c r="L25" s="979">
        <v>0.753599898505525</v>
      </c>
      <c r="M25" s="980">
        <v>34.00000000000005</v>
      </c>
      <c r="N25" s="978"/>
      <c r="O25" s="978">
        <v>3600</v>
      </c>
      <c r="P25" s="978">
        <v>1419.8429752066118</v>
      </c>
      <c r="Q25" s="978">
        <v>29025.868043910108</v>
      </c>
      <c r="R25" s="979">
        <v>0.753599898505525</v>
      </c>
      <c r="S25" s="980">
        <v>148.9767092411723</v>
      </c>
      <c r="T25" s="978"/>
      <c r="U25" s="978">
        <v>1286.5678048136613</v>
      </c>
      <c r="V25" s="978">
        <v>181.34294914506376</v>
      </c>
      <c r="W25" s="978">
        <v>10373.263147795673</v>
      </c>
      <c r="X25" s="979">
        <v>0.753599898505525</v>
      </c>
      <c r="Y25" s="981">
        <v>6.800000000000014</v>
      </c>
    </row>
    <row r="26" spans="1:25" ht="14.25">
      <c r="A26" s="807" t="s">
        <v>803</v>
      </c>
      <c r="B26" s="645" t="s">
        <v>1267</v>
      </c>
      <c r="C26" s="808" t="s">
        <v>579</v>
      </c>
      <c r="D26" s="610" t="s">
        <v>1018</v>
      </c>
      <c r="E26" s="975" t="s">
        <v>803</v>
      </c>
      <c r="F26" s="976" t="s">
        <v>1267</v>
      </c>
      <c r="G26" t="b">
        <v>1</v>
      </c>
      <c r="H26" s="977"/>
      <c r="I26" s="978">
        <v>2975</v>
      </c>
      <c r="J26" s="978">
        <v>779.02571864518256</v>
      </c>
      <c r="K26" s="978">
        <v>29355.568699297706</v>
      </c>
      <c r="L26" s="979">
        <v>0.82260378947077117</v>
      </c>
      <c r="M26" s="980">
        <v>75.733017757264264</v>
      </c>
      <c r="N26" s="978"/>
      <c r="O26" s="978">
        <v>3600</v>
      </c>
      <c r="P26" s="978">
        <v>1140.7299838871904</v>
      </c>
      <c r="Q26" s="978">
        <v>35522.704980662769</v>
      </c>
      <c r="R26" s="979">
        <v>0.82260378947077117</v>
      </c>
      <c r="S26" s="980">
        <v>134.19361573294088</v>
      </c>
      <c r="T26" s="978"/>
      <c r="U26" s="978">
        <v>1739.7905542366555</v>
      </c>
      <c r="V26" s="978">
        <v>266.42304814515808</v>
      </c>
      <c r="W26" s="978">
        <v>17167.240718414578</v>
      </c>
      <c r="X26" s="979">
        <v>0.82260378947077117</v>
      </c>
      <c r="Y26" s="981">
        <v>15.146603551452854</v>
      </c>
    </row>
    <row r="27" spans="1:25" ht="14.25">
      <c r="A27" s="807" t="s">
        <v>804</v>
      </c>
      <c r="B27" s="645" t="s">
        <v>1268</v>
      </c>
      <c r="C27" s="808" t="s">
        <v>580</v>
      </c>
      <c r="D27" s="610" t="s">
        <v>1269</v>
      </c>
      <c r="E27" s="975" t="s">
        <v>804</v>
      </c>
      <c r="F27" s="976" t="s">
        <v>1268</v>
      </c>
      <c r="G27" t="b">
        <v>1</v>
      </c>
      <c r="H27" s="977"/>
      <c r="I27" s="978">
        <v>2965</v>
      </c>
      <c r="J27" s="978">
        <v>687.09925655827817</v>
      </c>
      <c r="K27" s="978">
        <v>34416.779750979622</v>
      </c>
      <c r="L27" s="979">
        <v>0.86483822300084945</v>
      </c>
      <c r="M27" s="980">
        <v>74.48837670922795</v>
      </c>
      <c r="N27" s="978"/>
      <c r="O27" s="978">
        <v>3600</v>
      </c>
      <c r="P27" s="978">
        <v>1012.9198564472284</v>
      </c>
      <c r="Q27" s="978">
        <v>41787.658382302405</v>
      </c>
      <c r="R27" s="979">
        <v>0.86483822300084945</v>
      </c>
      <c r="S27" s="980">
        <v>133.32817029796604</v>
      </c>
      <c r="T27" s="978"/>
      <c r="U27" s="978">
        <v>1733.9425187602296</v>
      </c>
      <c r="V27" s="978">
        <v>234.98464033881933</v>
      </c>
      <c r="W27" s="978">
        <v>20127.054896805963</v>
      </c>
      <c r="X27" s="979">
        <v>0.86483822300084945</v>
      </c>
      <c r="Y27" s="981">
        <v>14.897675341845591</v>
      </c>
    </row>
    <row r="28" spans="1:25" ht="14.25">
      <c r="A28" s="807" t="s">
        <v>805</v>
      </c>
      <c r="B28" s="645" t="s">
        <v>1270</v>
      </c>
      <c r="C28" s="808" t="s">
        <v>581</v>
      </c>
      <c r="D28" s="610" t="s">
        <v>1271</v>
      </c>
      <c r="E28" s="975" t="s">
        <v>805</v>
      </c>
      <c r="F28" s="976" t="s">
        <v>1270</v>
      </c>
      <c r="G28" t="b">
        <v>1</v>
      </c>
      <c r="H28" s="977"/>
      <c r="I28" s="978">
        <v>2400</v>
      </c>
      <c r="J28" s="978">
        <v>805</v>
      </c>
      <c r="K28" s="978">
        <v>28500</v>
      </c>
      <c r="L28" s="979">
        <v>0.80127171474359005</v>
      </c>
      <c r="M28" s="980">
        <v>77.999999999999986</v>
      </c>
      <c r="N28" s="978"/>
      <c r="O28" s="978">
        <v>3600</v>
      </c>
      <c r="P28" s="978">
        <v>1811.25</v>
      </c>
      <c r="Q28" s="978">
        <v>42750</v>
      </c>
      <c r="R28" s="979">
        <v>0.80127171474359005</v>
      </c>
      <c r="S28" s="980">
        <v>263.24999999999994</v>
      </c>
      <c r="T28" s="978"/>
      <c r="U28" s="978">
        <v>1403.5285143421759</v>
      </c>
      <c r="V28" s="978">
        <v>275.30612741494826</v>
      </c>
      <c r="W28" s="978">
        <v>16666.901107813337</v>
      </c>
      <c r="X28" s="979">
        <v>0.80127171474359005</v>
      </c>
      <c r="Y28" s="981">
        <v>15.599999999999998</v>
      </c>
    </row>
    <row r="29" spans="1:25" ht="14.25">
      <c r="A29" s="807" t="s">
        <v>806</v>
      </c>
      <c r="B29" s="645" t="s">
        <v>1272</v>
      </c>
      <c r="C29" s="808" t="s">
        <v>582</v>
      </c>
      <c r="D29" s="610" t="s">
        <v>1273</v>
      </c>
      <c r="E29" s="975" t="s">
        <v>806</v>
      </c>
      <c r="F29" s="976" t="s">
        <v>1272</v>
      </c>
      <c r="G29" t="b">
        <v>1</v>
      </c>
      <c r="H29" s="977"/>
      <c r="I29" s="978">
        <v>2400</v>
      </c>
      <c r="J29" s="978">
        <v>725</v>
      </c>
      <c r="K29" s="978">
        <v>37420</v>
      </c>
      <c r="L29" s="979">
        <v>0.85936371608527096</v>
      </c>
      <c r="M29" s="980">
        <v>86.000000000000028</v>
      </c>
      <c r="N29" s="978"/>
      <c r="O29" s="978">
        <v>3600</v>
      </c>
      <c r="P29" s="978">
        <v>1631.25</v>
      </c>
      <c r="Q29" s="978">
        <v>56130</v>
      </c>
      <c r="R29" s="979">
        <v>0.85936371608527096</v>
      </c>
      <c r="S29" s="980">
        <v>290.25000000000011</v>
      </c>
      <c r="T29" s="978"/>
      <c r="U29" s="978">
        <v>1403.5285143421759</v>
      </c>
      <c r="V29" s="978">
        <v>247.9465122681211</v>
      </c>
      <c r="W29" s="978">
        <v>21883.348752785092</v>
      </c>
      <c r="X29" s="979">
        <v>0.85936371608527096</v>
      </c>
      <c r="Y29" s="981">
        <v>17.20000000000001</v>
      </c>
    </row>
    <row r="30" spans="1:25" ht="14.25">
      <c r="A30" s="807" t="s">
        <v>807</v>
      </c>
      <c r="B30" s="645" t="s">
        <v>1274</v>
      </c>
      <c r="C30" s="808" t="s">
        <v>583</v>
      </c>
      <c r="D30" s="610" t="s">
        <v>1022</v>
      </c>
      <c r="E30" s="975" t="s">
        <v>807</v>
      </c>
      <c r="F30" s="976" t="s">
        <v>1274</v>
      </c>
      <c r="G30" t="b">
        <v>1</v>
      </c>
      <c r="H30" s="977"/>
      <c r="I30" s="978">
        <v>1700</v>
      </c>
      <c r="J30" s="978">
        <v>333.2</v>
      </c>
      <c r="K30" s="978">
        <v>31297.253242097799</v>
      </c>
      <c r="L30" s="979">
        <v>0.81166505206411299</v>
      </c>
      <c r="M30" s="980">
        <v>35.000000000000028</v>
      </c>
      <c r="N30" s="978"/>
      <c r="O30" s="978">
        <v>3600</v>
      </c>
      <c r="P30" s="978">
        <v>1494.2117647058824</v>
      </c>
      <c r="Q30" s="978">
        <v>66276.53627738358</v>
      </c>
      <c r="R30" s="979">
        <v>0.81166505206411299</v>
      </c>
      <c r="S30" s="980">
        <v>332.37533075513977</v>
      </c>
      <c r="T30" s="978"/>
      <c r="U30" s="978">
        <v>994.16603099237454</v>
      </c>
      <c r="V30" s="978">
        <v>113.9527970865351</v>
      </c>
      <c r="W30" s="978">
        <v>18302.744727446821</v>
      </c>
      <c r="X30" s="979">
        <v>0.81166505206411299</v>
      </c>
      <c r="Y30" s="981">
        <v>7.0000000000000089</v>
      </c>
    </row>
    <row r="31" spans="1:25" ht="14.25">
      <c r="A31" s="807" t="s">
        <v>808</v>
      </c>
      <c r="B31" s="645" t="s">
        <v>1275</v>
      </c>
      <c r="C31" s="808" t="s">
        <v>584</v>
      </c>
      <c r="D31" s="610" t="s">
        <v>1276</v>
      </c>
      <c r="E31" s="975" t="s">
        <v>808</v>
      </c>
      <c r="F31" s="976" t="s">
        <v>1275</v>
      </c>
      <c r="G31" t="b">
        <v>1</v>
      </c>
      <c r="H31" s="977"/>
      <c r="I31" s="978">
        <v>1800</v>
      </c>
      <c r="J31" s="978">
        <v>328.68</v>
      </c>
      <c r="K31" s="978">
        <v>33516.151818936502</v>
      </c>
      <c r="L31" s="979">
        <v>0.81107194192169496</v>
      </c>
      <c r="M31" s="980">
        <v>37.000000000000021</v>
      </c>
      <c r="N31" s="978"/>
      <c r="O31" s="978">
        <v>3600</v>
      </c>
      <c r="P31" s="978">
        <v>1314.72</v>
      </c>
      <c r="Q31" s="978">
        <v>67032.303637873003</v>
      </c>
      <c r="R31" s="979">
        <v>0.81107194192169496</v>
      </c>
      <c r="S31" s="980">
        <v>296.00000000000017</v>
      </c>
      <c r="T31" s="978"/>
      <c r="U31" s="978">
        <v>1052.6463857566318</v>
      </c>
      <c r="V31" s="978">
        <v>112.40697883073938</v>
      </c>
      <c r="W31" s="978">
        <v>19600.364487041152</v>
      </c>
      <c r="X31" s="979">
        <v>0.81107194192169496</v>
      </c>
      <c r="Y31" s="981">
        <v>7.4000000000000057</v>
      </c>
    </row>
    <row r="32" spans="1:25" ht="14.25">
      <c r="A32" s="807" t="s">
        <v>809</v>
      </c>
      <c r="B32" s="645" t="s">
        <v>1277</v>
      </c>
      <c r="C32" s="808" t="s">
        <v>585</v>
      </c>
      <c r="D32" s="610" t="s">
        <v>1278</v>
      </c>
      <c r="E32" s="975" t="s">
        <v>809</v>
      </c>
      <c r="F32" s="976" t="s">
        <v>1277</v>
      </c>
      <c r="G32" t="b">
        <v>1</v>
      </c>
      <c r="H32" s="977"/>
      <c r="I32" s="978">
        <v>2800</v>
      </c>
      <c r="J32" s="978">
        <v>1340</v>
      </c>
      <c r="K32" s="978">
        <v>16950</v>
      </c>
      <c r="L32" s="979">
        <v>0.80355840909090903</v>
      </c>
      <c r="M32" s="980">
        <v>77.000000000000014</v>
      </c>
      <c r="N32" s="978"/>
      <c r="O32" s="978">
        <v>3600</v>
      </c>
      <c r="P32" s="978">
        <v>2215.1020408163267</v>
      </c>
      <c r="Q32" s="978">
        <v>21792.857142857145</v>
      </c>
      <c r="R32" s="979">
        <v>0.80355840909090903</v>
      </c>
      <c r="S32" s="980">
        <v>163.65306122448985</v>
      </c>
      <c r="T32" s="978"/>
      <c r="U32" s="978">
        <v>1637.4499333992051</v>
      </c>
      <c r="V32" s="978">
        <v>458.27355370935487</v>
      </c>
      <c r="W32" s="978">
        <v>9912.4201325416161</v>
      </c>
      <c r="X32" s="979">
        <v>0.80355840909090903</v>
      </c>
      <c r="Y32" s="981">
        <v>15.400000000000006</v>
      </c>
    </row>
    <row r="33" spans="1:25" ht="14.25">
      <c r="A33" s="807" t="s">
        <v>810</v>
      </c>
      <c r="B33" s="645" t="s">
        <v>1279</v>
      </c>
      <c r="C33" s="808" t="s">
        <v>586</v>
      </c>
      <c r="D33" s="610" t="s">
        <v>1280</v>
      </c>
      <c r="E33" s="975" t="s">
        <v>810</v>
      </c>
      <c r="F33" s="976" t="s">
        <v>1279</v>
      </c>
      <c r="G33" t="b">
        <v>1</v>
      </c>
      <c r="H33" s="977"/>
      <c r="I33" s="978">
        <v>2200</v>
      </c>
      <c r="J33" s="978">
        <v>860</v>
      </c>
      <c r="K33" s="978">
        <v>17160</v>
      </c>
      <c r="L33" s="979">
        <v>0.75853135849056597</v>
      </c>
      <c r="M33" s="980">
        <v>53.000000000000007</v>
      </c>
      <c r="N33" s="978"/>
      <c r="O33" s="978">
        <v>3600</v>
      </c>
      <c r="P33" s="978">
        <v>2302.8099173553724</v>
      </c>
      <c r="Q33" s="978">
        <v>28080</v>
      </c>
      <c r="R33" s="979">
        <v>0.75853135849056597</v>
      </c>
      <c r="S33" s="980">
        <v>232.22839969947418</v>
      </c>
      <c r="T33" s="978"/>
      <c r="U33" s="978">
        <v>1286.5678048136613</v>
      </c>
      <c r="V33" s="978">
        <v>294.11586282839193</v>
      </c>
      <c r="W33" s="978">
        <v>10035.228877546557</v>
      </c>
      <c r="X33" s="979">
        <v>0.75853135849056597</v>
      </c>
      <c r="Y33" s="981">
        <v>10.600000000000003</v>
      </c>
    </row>
    <row r="34" spans="1:25" ht="14.25">
      <c r="A34" s="807" t="s">
        <v>811</v>
      </c>
      <c r="B34" s="645" t="s">
        <v>1281</v>
      </c>
      <c r="C34" s="808" t="s">
        <v>587</v>
      </c>
      <c r="D34" s="610" t="s">
        <v>1282</v>
      </c>
      <c r="E34" s="975" t="s">
        <v>811</v>
      </c>
      <c r="F34" s="976" t="s">
        <v>1281</v>
      </c>
      <c r="G34" t="b">
        <v>0</v>
      </c>
      <c r="H34" s="977"/>
      <c r="I34" s="978">
        <v>0</v>
      </c>
      <c r="J34" s="978">
        <v>0</v>
      </c>
      <c r="K34" s="978">
        <v>0</v>
      </c>
      <c r="L34" s="979">
        <v>0</v>
      </c>
      <c r="M34" s="980">
        <v>0</v>
      </c>
      <c r="N34" s="978"/>
      <c r="O34" s="978">
        <v>0</v>
      </c>
      <c r="P34" s="978">
        <v>0</v>
      </c>
      <c r="Q34" s="978">
        <v>0</v>
      </c>
      <c r="R34" s="979">
        <v>0</v>
      </c>
      <c r="S34" s="980">
        <v>0</v>
      </c>
      <c r="T34" s="978"/>
      <c r="U34" s="978">
        <v>0</v>
      </c>
      <c r="V34" s="978">
        <v>0</v>
      </c>
      <c r="W34" s="978">
        <v>0</v>
      </c>
      <c r="X34" s="979">
        <v>0</v>
      </c>
      <c r="Y34" s="981">
        <v>0</v>
      </c>
    </row>
    <row r="35" spans="1:25" ht="14.25">
      <c r="A35" s="809" t="s">
        <v>812</v>
      </c>
      <c r="B35" s="645" t="s">
        <v>1283</v>
      </c>
      <c r="C35" s="808">
        <v>0</v>
      </c>
      <c r="D35" s="610">
        <v>0</v>
      </c>
      <c r="E35" s="975" t="s">
        <v>812</v>
      </c>
      <c r="F35" s="976" t="s">
        <v>1283</v>
      </c>
      <c r="G35" t="b">
        <v>1</v>
      </c>
      <c r="H35" s="977"/>
      <c r="I35" s="978">
        <v>2100</v>
      </c>
      <c r="J35" s="978">
        <v>750</v>
      </c>
      <c r="K35" s="978">
        <v>20000</v>
      </c>
      <c r="L35" s="979">
        <v>0.72968750000000004</v>
      </c>
      <c r="M35" s="980">
        <v>56</v>
      </c>
      <c r="N35" s="978"/>
      <c r="O35" s="978">
        <v>3600</v>
      </c>
      <c r="P35" s="978">
        <v>2204.0816326530612</v>
      </c>
      <c r="Q35" s="978">
        <v>34285.714285714283</v>
      </c>
      <c r="R35" s="979">
        <v>0.72968750000000004</v>
      </c>
      <c r="S35" s="980">
        <v>282.12244897959181</v>
      </c>
      <c r="T35" s="978"/>
      <c r="U35" s="978">
        <v>1228.087450049404</v>
      </c>
      <c r="V35" s="978">
        <v>256.49639200150466</v>
      </c>
      <c r="W35" s="978">
        <v>11696.070952851467</v>
      </c>
      <c r="X35" s="979">
        <v>0.72968750000000004</v>
      </c>
      <c r="Y35" s="981">
        <v>11.200000000000005</v>
      </c>
    </row>
    <row r="36" spans="1:25" ht="14.25">
      <c r="A36" s="807" t="s">
        <v>813</v>
      </c>
      <c r="B36" s="645" t="s">
        <v>1284</v>
      </c>
      <c r="C36" s="808" t="s">
        <v>588</v>
      </c>
      <c r="D36" s="610" t="s">
        <v>1285</v>
      </c>
      <c r="E36" s="975" t="s">
        <v>813</v>
      </c>
      <c r="F36" s="976" t="s">
        <v>1284</v>
      </c>
      <c r="G36" t="b">
        <v>1</v>
      </c>
      <c r="H36" s="977"/>
      <c r="I36" s="978">
        <v>2200</v>
      </c>
      <c r="J36" s="978">
        <v>875</v>
      </c>
      <c r="K36" s="978">
        <v>28590</v>
      </c>
      <c r="L36" s="979">
        <v>0.85185542968750005</v>
      </c>
      <c r="M36" s="980">
        <v>80</v>
      </c>
      <c r="N36" s="978"/>
      <c r="O36" s="978">
        <v>3600</v>
      </c>
      <c r="P36" s="978">
        <v>2342.9752066115707</v>
      </c>
      <c r="Q36" s="978">
        <v>46783.636363636368</v>
      </c>
      <c r="R36" s="979">
        <v>0.85185542968750005</v>
      </c>
      <c r="S36" s="980">
        <v>350.5334335086402</v>
      </c>
      <c r="T36" s="978"/>
      <c r="U36" s="978">
        <v>1286.5678048136613</v>
      </c>
      <c r="V36" s="978">
        <v>299.24579066842205</v>
      </c>
      <c r="W36" s="978">
        <v>16719.533427101171</v>
      </c>
      <c r="X36" s="979">
        <v>0.85185542968750005</v>
      </c>
      <c r="Y36" s="981">
        <v>16.000000000000007</v>
      </c>
    </row>
    <row r="37" spans="1:25" ht="14.25">
      <c r="A37" s="807" t="s">
        <v>814</v>
      </c>
      <c r="B37" s="645" t="s">
        <v>1286</v>
      </c>
      <c r="C37" s="808" t="s">
        <v>589</v>
      </c>
      <c r="D37" s="610" t="s">
        <v>1287</v>
      </c>
      <c r="E37" s="975" t="s">
        <v>814</v>
      </c>
      <c r="F37" s="976" t="s">
        <v>1286</v>
      </c>
      <c r="G37" t="b">
        <v>1</v>
      </c>
      <c r="H37" s="977"/>
      <c r="I37" s="978">
        <v>2100</v>
      </c>
      <c r="J37" s="978">
        <v>680</v>
      </c>
      <c r="K37" s="978">
        <v>33015</v>
      </c>
      <c r="L37" s="979">
        <v>0.79426086363636395</v>
      </c>
      <c r="M37" s="980">
        <v>76.999999999999972</v>
      </c>
      <c r="N37" s="978"/>
      <c r="O37" s="978">
        <v>3600</v>
      </c>
      <c r="P37" s="978">
        <v>1998.3673469387754</v>
      </c>
      <c r="Q37" s="978">
        <v>56597.142857142855</v>
      </c>
      <c r="R37" s="979">
        <v>0.79426086363636395</v>
      </c>
      <c r="S37" s="980">
        <v>387.91836734693862</v>
      </c>
      <c r="T37" s="978"/>
      <c r="U37" s="978">
        <v>1228.087450049404</v>
      </c>
      <c r="V37" s="978">
        <v>232.55672874803091</v>
      </c>
      <c r="W37" s="978">
        <v>19307.28912541956</v>
      </c>
      <c r="X37" s="979">
        <v>0.79426086363636395</v>
      </c>
      <c r="Y37" s="981">
        <v>15.400000000000009</v>
      </c>
    </row>
    <row r="38" spans="1:25" ht="14.25">
      <c r="A38" s="807" t="s">
        <v>815</v>
      </c>
      <c r="B38" s="645" t="s">
        <v>1288</v>
      </c>
      <c r="C38" s="808" t="s">
        <v>590</v>
      </c>
      <c r="D38" s="610" t="s">
        <v>1289</v>
      </c>
      <c r="E38" s="975" t="s">
        <v>815</v>
      </c>
      <c r="F38" s="976" t="s">
        <v>1288</v>
      </c>
      <c r="G38" t="b">
        <v>1</v>
      </c>
      <c r="H38" s="977"/>
      <c r="I38" s="978">
        <v>1600</v>
      </c>
      <c r="J38" s="978">
        <v>367.5</v>
      </c>
      <c r="K38" s="978">
        <v>33410.795411064399</v>
      </c>
      <c r="L38" s="979">
        <v>0.82589114502155903</v>
      </c>
      <c r="M38" s="980">
        <v>40.500000000000036</v>
      </c>
      <c r="N38" s="978"/>
      <c r="O38" s="978">
        <v>3600</v>
      </c>
      <c r="P38" s="978">
        <v>1860.46875</v>
      </c>
      <c r="Q38" s="978">
        <v>75174.289674894899</v>
      </c>
      <c r="R38" s="979">
        <v>0.82589114502155903</v>
      </c>
      <c r="S38" s="980">
        <v>461.32031250000034</v>
      </c>
      <c r="T38" s="978"/>
      <c r="U38" s="978">
        <v>935.68567622811725</v>
      </c>
      <c r="V38" s="978">
        <v>125.68323208073726</v>
      </c>
      <c r="W38" s="978">
        <v>19538.751685950669</v>
      </c>
      <c r="X38" s="979">
        <v>0.82589114502155903</v>
      </c>
      <c r="Y38" s="981">
        <v>8.1000000000000085</v>
      </c>
    </row>
    <row r="39" spans="1:25" ht="14.25">
      <c r="A39" s="807" t="s">
        <v>816</v>
      </c>
      <c r="B39" s="645" t="s">
        <v>1290</v>
      </c>
      <c r="C39" s="808" t="s">
        <v>591</v>
      </c>
      <c r="D39" s="610" t="s">
        <v>1291</v>
      </c>
      <c r="E39" s="975" t="s">
        <v>816</v>
      </c>
      <c r="F39" s="976" t="s">
        <v>1290</v>
      </c>
      <c r="G39" t="b">
        <v>1</v>
      </c>
      <c r="H39" s="977"/>
      <c r="I39" s="978">
        <v>1500</v>
      </c>
      <c r="J39" s="978">
        <v>355</v>
      </c>
      <c r="K39" s="978">
        <v>33590</v>
      </c>
      <c r="L39" s="979">
        <v>0.85484708442982504</v>
      </c>
      <c r="M39" s="980">
        <v>37.999999999999979</v>
      </c>
      <c r="N39" s="978"/>
      <c r="O39" s="978">
        <v>3200</v>
      </c>
      <c r="P39" s="978">
        <v>1615.6444444444444</v>
      </c>
      <c r="Q39" s="978">
        <v>71658.666666666672</v>
      </c>
      <c r="R39" s="979">
        <v>0.85484708442982504</v>
      </c>
      <c r="S39" s="980">
        <v>368.94340740740722</v>
      </c>
      <c r="T39" s="978"/>
      <c r="U39" s="978">
        <v>877.20532146385995</v>
      </c>
      <c r="V39" s="978">
        <v>121.4082922140455</v>
      </c>
      <c r="W39" s="978">
        <v>19643.551165314035</v>
      </c>
      <c r="X39" s="979">
        <v>0.85484708442982504</v>
      </c>
      <c r="Y39" s="981">
        <v>7.5999999999999979</v>
      </c>
    </row>
    <row r="40" spans="1:25" ht="14.25">
      <c r="A40" s="807" t="s">
        <v>817</v>
      </c>
      <c r="B40" s="645" t="s">
        <v>1292</v>
      </c>
      <c r="C40" s="808" t="s">
        <v>592</v>
      </c>
      <c r="D40" s="610" t="s">
        <v>1293</v>
      </c>
      <c r="E40" s="975" t="s">
        <v>817</v>
      </c>
      <c r="F40" s="976" t="s">
        <v>1292</v>
      </c>
      <c r="G40" t="b">
        <v>1</v>
      </c>
      <c r="H40" s="977"/>
      <c r="I40" s="978">
        <v>1600</v>
      </c>
      <c r="J40" s="978">
        <v>333.2</v>
      </c>
      <c r="K40" s="978">
        <v>38979.261312908398</v>
      </c>
      <c r="L40" s="979">
        <v>0.88452941631809001</v>
      </c>
      <c r="M40" s="980">
        <v>39.99999999999995</v>
      </c>
      <c r="N40" s="978"/>
      <c r="O40" s="978">
        <v>3600</v>
      </c>
      <c r="P40" s="978">
        <v>1686.825</v>
      </c>
      <c r="Q40" s="978">
        <v>87703.337954043891</v>
      </c>
      <c r="R40" s="979">
        <v>0.88452941631809001</v>
      </c>
      <c r="S40" s="980">
        <v>455.62499999999943</v>
      </c>
      <c r="T40" s="978"/>
      <c r="U40" s="978">
        <v>935.68567622811725</v>
      </c>
      <c r="V40" s="978">
        <v>113.9527970865351</v>
      </c>
      <c r="W40" s="978">
        <v>22795.210300275739</v>
      </c>
      <c r="X40" s="979">
        <v>0.88452941631809001</v>
      </c>
      <c r="Y40" s="981">
        <v>7.999999999999992</v>
      </c>
    </row>
    <row r="41" spans="1:25" ht="14.25">
      <c r="A41" s="807" t="s">
        <v>818</v>
      </c>
      <c r="B41" s="645" t="s">
        <v>1294</v>
      </c>
      <c r="C41" s="808" t="s">
        <v>593</v>
      </c>
      <c r="D41" s="610" t="s">
        <v>1295</v>
      </c>
      <c r="E41" s="975" t="s">
        <v>818</v>
      </c>
      <c r="F41" s="976" t="s">
        <v>1294</v>
      </c>
      <c r="G41" t="b">
        <v>1</v>
      </c>
      <c r="H41" s="977"/>
      <c r="I41" s="978">
        <v>2000</v>
      </c>
      <c r="J41" s="978">
        <v>910</v>
      </c>
      <c r="K41" s="978">
        <v>18250</v>
      </c>
      <c r="L41" s="979">
        <v>0.74166553961748605</v>
      </c>
      <c r="M41" s="980">
        <v>61.000000000000021</v>
      </c>
      <c r="N41" s="978"/>
      <c r="O41" s="978">
        <v>3600</v>
      </c>
      <c r="P41" s="978">
        <v>2948.4</v>
      </c>
      <c r="Q41" s="978">
        <v>32850</v>
      </c>
      <c r="R41" s="979">
        <v>0.74166553961748605</v>
      </c>
      <c r="S41" s="980">
        <v>355.75200000000012</v>
      </c>
      <c r="T41" s="978"/>
      <c r="U41" s="978">
        <v>1169.6070952851464</v>
      </c>
      <c r="V41" s="978">
        <v>311.21562229515882</v>
      </c>
      <c r="W41" s="978">
        <v>10672.664744476961</v>
      </c>
      <c r="X41" s="979">
        <v>0.74166553961748605</v>
      </c>
      <c r="Y41" s="981">
        <v>12.200000000000003</v>
      </c>
    </row>
    <row r="42" spans="1:25" ht="14.25">
      <c r="A42" s="807" t="s">
        <v>819</v>
      </c>
      <c r="B42" s="645" t="s">
        <v>1296</v>
      </c>
      <c r="C42" s="808" t="s">
        <v>594</v>
      </c>
      <c r="D42" s="610" t="s">
        <v>1297</v>
      </c>
      <c r="E42" s="975" t="s">
        <v>819</v>
      </c>
      <c r="F42" s="976" t="s">
        <v>1296</v>
      </c>
      <c r="G42" t="b">
        <v>1</v>
      </c>
      <c r="H42" s="977"/>
      <c r="I42" s="978">
        <v>2000</v>
      </c>
      <c r="J42" s="978">
        <v>975</v>
      </c>
      <c r="K42" s="978">
        <v>28000</v>
      </c>
      <c r="L42" s="979">
        <v>0.79967473118279597</v>
      </c>
      <c r="M42" s="980">
        <v>92.999999999999972</v>
      </c>
      <c r="N42" s="978"/>
      <c r="O42" s="978">
        <v>3600</v>
      </c>
      <c r="P42" s="978">
        <v>3159</v>
      </c>
      <c r="Q42" s="978">
        <v>50400</v>
      </c>
      <c r="R42" s="979">
        <v>0.79967473118279597</v>
      </c>
      <c r="S42" s="980">
        <v>542.37599999999986</v>
      </c>
      <c r="T42" s="978"/>
      <c r="U42" s="978">
        <v>1169.6070952851464</v>
      </c>
      <c r="V42" s="978">
        <v>333.44530960195584</v>
      </c>
      <c r="W42" s="978">
        <v>16374.499333992049</v>
      </c>
      <c r="X42" s="979">
        <v>0.79967473118279597</v>
      </c>
      <c r="Y42" s="981">
        <v>18.599999999999994</v>
      </c>
    </row>
    <row r="43" spans="1:25" ht="14.25">
      <c r="A43" s="807" t="s">
        <v>820</v>
      </c>
      <c r="B43" s="645" t="s">
        <v>1298</v>
      </c>
      <c r="C43" s="808" t="s">
        <v>595</v>
      </c>
      <c r="D43" s="610" t="s">
        <v>1299</v>
      </c>
      <c r="E43" s="975" t="s">
        <v>820</v>
      </c>
      <c r="F43" s="976" t="s">
        <v>1298</v>
      </c>
      <c r="G43" t="b">
        <v>1</v>
      </c>
      <c r="H43" s="977"/>
      <c r="I43" s="978">
        <v>2000</v>
      </c>
      <c r="J43" s="978">
        <v>935</v>
      </c>
      <c r="K43" s="978">
        <v>35000</v>
      </c>
      <c r="L43" s="979">
        <v>0.79596744791666696</v>
      </c>
      <c r="M43" s="980">
        <v>111.99999999999997</v>
      </c>
      <c r="N43" s="978"/>
      <c r="O43" s="978">
        <v>3430.1001780401912</v>
      </c>
      <c r="P43" s="978">
        <v>2750.2060153377283</v>
      </c>
      <c r="Q43" s="978">
        <v>60026.753115703345</v>
      </c>
      <c r="R43" s="979">
        <v>0.79596744791666696</v>
      </c>
      <c r="S43" s="980">
        <v>565</v>
      </c>
      <c r="T43" s="978"/>
      <c r="U43" s="978">
        <v>1169.6070952851464</v>
      </c>
      <c r="V43" s="978">
        <v>319.7655020285423</v>
      </c>
      <c r="W43" s="978">
        <v>20468.124167490063</v>
      </c>
      <c r="X43" s="979">
        <v>0.79596744791666696</v>
      </c>
      <c r="Y43" s="981">
        <v>22.399999999999988</v>
      </c>
    </row>
    <row r="44" spans="1:25" ht="14.25">
      <c r="A44" s="807" t="s">
        <v>821</v>
      </c>
      <c r="B44" s="645" t="s">
        <v>1300</v>
      </c>
      <c r="C44" s="808" t="s">
        <v>596</v>
      </c>
      <c r="D44" s="610" t="s">
        <v>1301</v>
      </c>
      <c r="E44" s="975" t="s">
        <v>821</v>
      </c>
      <c r="F44" s="976" t="s">
        <v>1300</v>
      </c>
      <c r="G44" t="b">
        <v>1</v>
      </c>
      <c r="H44" s="977"/>
      <c r="I44" s="978">
        <v>2200</v>
      </c>
      <c r="J44" s="978">
        <v>1048.5999999999999</v>
      </c>
      <c r="K44" s="978">
        <v>47200.791857764401</v>
      </c>
      <c r="L44" s="979">
        <v>0.83229598183213604</v>
      </c>
      <c r="M44" s="980">
        <v>161.99999999999994</v>
      </c>
      <c r="N44" s="978"/>
      <c r="O44" s="978">
        <v>3336.3158491025047</v>
      </c>
      <c r="P44" s="978">
        <v>2411.5640934707089</v>
      </c>
      <c r="Q44" s="978">
        <v>71580.340893294459</v>
      </c>
      <c r="R44" s="979">
        <v>0.83229598183213604</v>
      </c>
      <c r="S44" s="980">
        <v>564.99999999999977</v>
      </c>
      <c r="T44" s="978"/>
      <c r="U44" s="978">
        <v>1286.5678048136613</v>
      </c>
      <c r="V44" s="978">
        <v>358.61615553703695</v>
      </c>
      <c r="W44" s="978">
        <v>27603.190529959309</v>
      </c>
      <c r="X44" s="979">
        <v>0.83229598183213604</v>
      </c>
      <c r="Y44" s="981">
        <v>32.4</v>
      </c>
    </row>
    <row r="45" spans="1:25" ht="14.25">
      <c r="A45" s="807" t="s">
        <v>822</v>
      </c>
      <c r="B45" s="645" t="s">
        <v>1302</v>
      </c>
      <c r="C45" s="808" t="s">
        <v>597</v>
      </c>
      <c r="D45" s="610" t="s">
        <v>1303</v>
      </c>
      <c r="E45" s="975" t="s">
        <v>822</v>
      </c>
      <c r="F45" s="976" t="s">
        <v>1302</v>
      </c>
      <c r="G45" t="b">
        <v>1</v>
      </c>
      <c r="H45" s="977"/>
      <c r="I45" s="978">
        <v>1800</v>
      </c>
      <c r="J45" s="978">
        <v>582</v>
      </c>
      <c r="K45" s="978">
        <v>52799.726675428901</v>
      </c>
      <c r="L45" s="979">
        <v>0.82070704562214603</v>
      </c>
      <c r="M45" s="980">
        <v>101.99999999999999</v>
      </c>
      <c r="N45" s="978"/>
      <c r="O45" s="978">
        <v>3184.8471719684858</v>
      </c>
      <c r="P45" s="978">
        <v>1822.028511765147</v>
      </c>
      <c r="Q45" s="978">
        <v>93421.700101638198</v>
      </c>
      <c r="R45" s="979">
        <v>0.82070704562214603</v>
      </c>
      <c r="S45" s="980">
        <v>564.99999999999989</v>
      </c>
      <c r="T45" s="978"/>
      <c r="U45" s="978">
        <v>1052.6463857566318</v>
      </c>
      <c r="V45" s="978">
        <v>199.04120019316755</v>
      </c>
      <c r="W45" s="978">
        <v>30877.467474349032</v>
      </c>
      <c r="X45" s="979">
        <v>0.82070704562214603</v>
      </c>
      <c r="Y45" s="981">
        <v>20.399999999999999</v>
      </c>
    </row>
    <row r="46" spans="1:25" ht="14.25">
      <c r="A46" s="807" t="s">
        <v>823</v>
      </c>
      <c r="B46" s="645" t="s">
        <v>1304</v>
      </c>
      <c r="C46" s="808" t="s">
        <v>598</v>
      </c>
      <c r="D46" s="610" t="s">
        <v>1036</v>
      </c>
      <c r="E46" s="975" t="s">
        <v>823</v>
      </c>
      <c r="F46" s="976" t="s">
        <v>1304</v>
      </c>
      <c r="G46" t="b">
        <v>1</v>
      </c>
      <c r="H46" s="977"/>
      <c r="I46" s="978">
        <v>1500</v>
      </c>
      <c r="J46" s="978">
        <v>420</v>
      </c>
      <c r="K46" s="978">
        <v>50000</v>
      </c>
      <c r="L46" s="979">
        <v>0.85384328358209005</v>
      </c>
      <c r="M46" s="980">
        <v>66.999999999999972</v>
      </c>
      <c r="N46" s="978"/>
      <c r="O46" s="978">
        <v>3053.1570247349127</v>
      </c>
      <c r="P46" s="978">
        <v>1740.0633259684539</v>
      </c>
      <c r="Q46" s="978">
        <v>101771.90082449709</v>
      </c>
      <c r="R46" s="979">
        <v>0.85384328358209005</v>
      </c>
      <c r="S46" s="980">
        <v>564.99999999999989</v>
      </c>
      <c r="T46" s="978"/>
      <c r="U46" s="978">
        <v>877.20532146385995</v>
      </c>
      <c r="V46" s="978">
        <v>143.63797952084258</v>
      </c>
      <c r="W46" s="978">
        <v>29240.177382128662</v>
      </c>
      <c r="X46" s="979">
        <v>0.85384328358209005</v>
      </c>
      <c r="Y46" s="981">
        <v>13.399999999999997</v>
      </c>
    </row>
    <row r="47" spans="1:25" ht="14.25">
      <c r="A47" s="807" t="s">
        <v>824</v>
      </c>
      <c r="B47" s="645" t="s">
        <v>1305</v>
      </c>
      <c r="C47" s="808" t="s">
        <v>599</v>
      </c>
      <c r="D47" s="610" t="s">
        <v>1306</v>
      </c>
      <c r="E47" s="975" t="s">
        <v>824</v>
      </c>
      <c r="F47" s="976" t="s">
        <v>1305</v>
      </c>
      <c r="G47" t="b">
        <v>1</v>
      </c>
      <c r="H47" s="977"/>
      <c r="I47" s="978">
        <v>1500</v>
      </c>
      <c r="J47" s="978">
        <v>380</v>
      </c>
      <c r="K47" s="978">
        <v>52190</v>
      </c>
      <c r="L47" s="979">
        <v>0.87139061559139797</v>
      </c>
      <c r="M47" s="980">
        <v>61.999999999999993</v>
      </c>
      <c r="N47" s="978"/>
      <c r="O47" s="978">
        <v>3133.1186745601135</v>
      </c>
      <c r="P47" s="978">
        <v>1657.8863995437257</v>
      </c>
      <c r="Q47" s="978">
        <v>109011.64241686155</v>
      </c>
      <c r="R47" s="979">
        <v>0.87139061559139797</v>
      </c>
      <c r="S47" s="980">
        <v>564.99999999999977</v>
      </c>
      <c r="T47" s="978"/>
      <c r="U47" s="978">
        <v>877.20532146385995</v>
      </c>
      <c r="V47" s="978">
        <v>129.95817194742898</v>
      </c>
      <c r="W47" s="978">
        <v>30520.897151465899</v>
      </c>
      <c r="X47" s="979">
        <v>0.87139061559139797</v>
      </c>
      <c r="Y47" s="981">
        <v>12.400000000000002</v>
      </c>
    </row>
    <row r="48" spans="1:25" ht="14.25">
      <c r="A48" s="807" t="s">
        <v>825</v>
      </c>
      <c r="B48" s="645" t="s">
        <v>1307</v>
      </c>
      <c r="C48" s="808" t="s">
        <v>600</v>
      </c>
      <c r="D48" s="610" t="s">
        <v>1308</v>
      </c>
      <c r="E48" s="975" t="s">
        <v>825</v>
      </c>
      <c r="F48" s="976" t="s">
        <v>1307</v>
      </c>
      <c r="G48" t="b">
        <v>1</v>
      </c>
      <c r="H48" s="977"/>
      <c r="I48" s="978">
        <v>1500</v>
      </c>
      <c r="J48" s="978">
        <v>656.6</v>
      </c>
      <c r="K48" s="978">
        <v>28941.173447184199</v>
      </c>
      <c r="L48" s="979">
        <v>0.65527499781478604</v>
      </c>
      <c r="M48" s="980">
        <v>79.000000000000014</v>
      </c>
      <c r="N48" s="978"/>
      <c r="O48" s="978">
        <v>2890.0035610899513</v>
      </c>
      <c r="P48" s="978">
        <v>2437.3343888318818</v>
      </c>
      <c r="Q48" s="978">
        <v>55760.062882989521</v>
      </c>
      <c r="R48" s="979">
        <v>0.65527499781478604</v>
      </c>
      <c r="S48" s="980">
        <v>565.00000000000011</v>
      </c>
      <c r="T48" s="978"/>
      <c r="U48" s="978">
        <v>877.20532146385995</v>
      </c>
      <c r="V48" s="978">
        <v>224.55404131758388</v>
      </c>
      <c r="W48" s="978">
        <v>16924.900904852362</v>
      </c>
      <c r="X48" s="979">
        <v>0.65527499781478604</v>
      </c>
      <c r="Y48" s="981">
        <v>15.800000000000006</v>
      </c>
    </row>
    <row r="49" spans="1:25" ht="14.25">
      <c r="A49" s="807" t="s">
        <v>826</v>
      </c>
      <c r="B49" s="645" t="s">
        <v>1309</v>
      </c>
      <c r="C49" s="808" t="s">
        <v>601</v>
      </c>
      <c r="D49" s="610" t="s">
        <v>1310</v>
      </c>
      <c r="E49" s="975" t="s">
        <v>826</v>
      </c>
      <c r="F49" s="976" t="s">
        <v>1309</v>
      </c>
      <c r="G49" t="b">
        <v>1</v>
      </c>
      <c r="H49" s="977"/>
      <c r="I49" s="978">
        <v>1700</v>
      </c>
      <c r="J49" s="978">
        <v>823.2</v>
      </c>
      <c r="K49" s="978">
        <v>34648.2322781408</v>
      </c>
      <c r="L49" s="979">
        <v>0.82659403110242802</v>
      </c>
      <c r="M49" s="980">
        <v>93.999999999999972</v>
      </c>
      <c r="N49" s="978"/>
      <c r="O49" s="978">
        <v>3090.9296420297019</v>
      </c>
      <c r="P49" s="978">
        <v>2721.358501726012</v>
      </c>
      <c r="Q49" s="978">
        <v>62997.204819079823</v>
      </c>
      <c r="R49" s="979">
        <v>0.82659403110242802</v>
      </c>
      <c r="S49" s="980">
        <v>564.99999999999977</v>
      </c>
      <c r="T49" s="978"/>
      <c r="U49" s="978">
        <v>994.16603099237454</v>
      </c>
      <c r="V49" s="978">
        <v>281.53043986085146</v>
      </c>
      <c r="W49" s="978">
        <v>20262.409155800658</v>
      </c>
      <c r="X49" s="979">
        <v>0.82659403110242802</v>
      </c>
      <c r="Y49" s="981">
        <v>18.8</v>
      </c>
    </row>
    <row r="50" spans="1:25" ht="14.25">
      <c r="A50" s="807" t="s">
        <v>827</v>
      </c>
      <c r="B50" s="645" t="s">
        <v>1311</v>
      </c>
      <c r="C50" s="808" t="s">
        <v>602</v>
      </c>
      <c r="D50" s="610" t="s">
        <v>1312</v>
      </c>
      <c r="E50" s="975" t="s">
        <v>827</v>
      </c>
      <c r="F50" s="976" t="s">
        <v>1311</v>
      </c>
      <c r="G50" t="b">
        <v>1</v>
      </c>
      <c r="H50" s="977"/>
      <c r="I50" s="978">
        <v>1700</v>
      </c>
      <c r="J50" s="978">
        <v>865</v>
      </c>
      <c r="K50" s="978">
        <v>44380</v>
      </c>
      <c r="L50" s="979">
        <v>0.75235407853716996</v>
      </c>
      <c r="M50" s="980">
        <v>139.00000000000006</v>
      </c>
      <c r="N50" s="978"/>
      <c r="O50" s="978">
        <v>2713.064615541562</v>
      </c>
      <c r="P50" s="978">
        <v>2203.1219588268809</v>
      </c>
      <c r="Q50" s="978">
        <v>70826.945669255598</v>
      </c>
      <c r="R50" s="979">
        <v>0.75235407853716996</v>
      </c>
      <c r="S50" s="980">
        <v>564.99999999999989</v>
      </c>
      <c r="T50" s="978"/>
      <c r="U50" s="978">
        <v>994.16603099237454</v>
      </c>
      <c r="V50" s="978">
        <v>295.82583877506863</v>
      </c>
      <c r="W50" s="978">
        <v>25953.5814443774</v>
      </c>
      <c r="X50" s="979">
        <v>0.75235407853716996</v>
      </c>
      <c r="Y50" s="981">
        <v>27.800000000000018</v>
      </c>
    </row>
    <row r="51" spans="1:25" ht="14.25">
      <c r="A51" s="807" t="s">
        <v>828</v>
      </c>
      <c r="B51" s="645" t="s">
        <v>1313</v>
      </c>
      <c r="C51" s="808" t="s">
        <v>603</v>
      </c>
      <c r="D51" s="610" t="s">
        <v>1314</v>
      </c>
      <c r="E51" s="975" t="s">
        <v>828</v>
      </c>
      <c r="F51" s="976" t="s">
        <v>1313</v>
      </c>
      <c r="G51" t="b">
        <v>1</v>
      </c>
      <c r="H51" s="977"/>
      <c r="I51" s="978">
        <v>1600</v>
      </c>
      <c r="J51" s="978">
        <v>660</v>
      </c>
      <c r="K51" s="978">
        <v>49355</v>
      </c>
      <c r="L51" s="979">
        <v>0.82164650231481495</v>
      </c>
      <c r="M51" s="980">
        <v>107.99999999999999</v>
      </c>
      <c r="N51" s="978"/>
      <c r="O51" s="978">
        <v>2777.5478328174904</v>
      </c>
      <c r="P51" s="978">
        <v>1988.9646468628248</v>
      </c>
      <c r="Q51" s="978">
        <v>85678.670805442031</v>
      </c>
      <c r="R51" s="979">
        <v>0.82164650231481495</v>
      </c>
      <c r="S51" s="980">
        <v>564.99999999999989</v>
      </c>
      <c r="T51" s="978"/>
      <c r="U51" s="978">
        <v>935.68567622811725</v>
      </c>
      <c r="V51" s="978">
        <v>225.71682496132405</v>
      </c>
      <c r="W51" s="978">
        <v>28862.979093899205</v>
      </c>
      <c r="X51" s="979">
        <v>0.82164650231481495</v>
      </c>
      <c r="Y51" s="981">
        <v>21.600000000000005</v>
      </c>
    </row>
    <row r="52" spans="1:25" ht="14.25">
      <c r="A52" s="807" t="s">
        <v>829</v>
      </c>
      <c r="B52" s="645" t="s">
        <v>1315</v>
      </c>
      <c r="C52" s="808" t="s">
        <v>604</v>
      </c>
      <c r="D52" s="610" t="s">
        <v>1316</v>
      </c>
      <c r="E52" s="975" t="s">
        <v>829</v>
      </c>
      <c r="F52" s="976" t="s">
        <v>1315</v>
      </c>
      <c r="G52" t="b">
        <v>1</v>
      </c>
      <c r="H52" s="977"/>
      <c r="I52" s="978">
        <v>1500</v>
      </c>
      <c r="J52" s="978">
        <v>554.4</v>
      </c>
      <c r="K52" s="978">
        <v>59699.246226397197</v>
      </c>
      <c r="L52" s="979">
        <v>0.88394566855206602</v>
      </c>
      <c r="M52" s="980">
        <v>101.99999999999997</v>
      </c>
      <c r="N52" s="978"/>
      <c r="O52" s="978">
        <v>2654.0393099737385</v>
      </c>
      <c r="P52" s="978">
        <v>1735.6230359494803</v>
      </c>
      <c r="Q52" s="978">
        <v>105629.43084043969</v>
      </c>
      <c r="R52" s="979">
        <v>0.88394566855206602</v>
      </c>
      <c r="S52" s="980">
        <v>564.99999999999989</v>
      </c>
      <c r="T52" s="978"/>
      <c r="U52" s="978">
        <v>877.20532146385995</v>
      </c>
      <c r="V52" s="978">
        <v>189.60213296751218</v>
      </c>
      <c r="W52" s="978">
        <v>34912.330984784589</v>
      </c>
      <c r="X52" s="979">
        <v>0.88394566855206602</v>
      </c>
      <c r="Y52" s="981">
        <v>20.399999999999999</v>
      </c>
    </row>
    <row r="53" spans="1:25" ht="14.25">
      <c r="A53" s="807" t="s">
        <v>830</v>
      </c>
      <c r="B53" s="645" t="s">
        <v>1317</v>
      </c>
      <c r="C53" s="808" t="s">
        <v>605</v>
      </c>
      <c r="D53" s="610" t="s">
        <v>1318</v>
      </c>
      <c r="E53" s="975" t="s">
        <v>830</v>
      </c>
      <c r="F53" s="976" t="s">
        <v>1317</v>
      </c>
      <c r="G53" t="b">
        <v>1</v>
      </c>
      <c r="H53" s="977"/>
      <c r="I53" s="978">
        <v>1300</v>
      </c>
      <c r="J53" s="978">
        <v>425.7</v>
      </c>
      <c r="K53" s="978">
        <v>59699.246226397197</v>
      </c>
      <c r="L53" s="979">
        <v>0.87635300684207995</v>
      </c>
      <c r="M53" s="980">
        <v>78.999999999999972</v>
      </c>
      <c r="N53" s="978"/>
      <c r="O53" s="978">
        <v>2504.6697529446251</v>
      </c>
      <c r="P53" s="978">
        <v>1580.2212143249046</v>
      </c>
      <c r="Q53" s="978">
        <v>115020.68945911585</v>
      </c>
      <c r="R53" s="979">
        <v>0.87635300684207995</v>
      </c>
      <c r="S53" s="980">
        <v>565</v>
      </c>
      <c r="T53" s="978"/>
      <c r="U53" s="978">
        <v>760.24461193534523</v>
      </c>
      <c r="V53" s="978">
        <v>145.58735210005401</v>
      </c>
      <c r="W53" s="978">
        <v>34912.330984784589</v>
      </c>
      <c r="X53" s="979">
        <v>0.87635300684207995</v>
      </c>
      <c r="Y53" s="981">
        <v>15.799999999999999</v>
      </c>
    </row>
    <row r="54" spans="1:25" ht="14.25">
      <c r="A54" s="807" t="s">
        <v>831</v>
      </c>
      <c r="B54" s="645" t="s">
        <v>1319</v>
      </c>
      <c r="C54" s="808" t="s">
        <v>606</v>
      </c>
      <c r="D54" s="610" t="s">
        <v>1320</v>
      </c>
      <c r="E54" s="975" t="s">
        <v>831</v>
      </c>
      <c r="F54" s="976" t="s">
        <v>1319</v>
      </c>
      <c r="G54" t="b">
        <v>1</v>
      </c>
      <c r="H54" s="977"/>
      <c r="I54" s="978">
        <v>1300</v>
      </c>
      <c r="J54" s="978">
        <v>357.7</v>
      </c>
      <c r="K54" s="978">
        <v>56922.095885517003</v>
      </c>
      <c r="L54" s="979">
        <v>0.88042617935948997</v>
      </c>
      <c r="M54" s="980">
        <v>62.999999999999943</v>
      </c>
      <c r="N54" s="978"/>
      <c r="O54" s="978">
        <v>2700.9257898974092</v>
      </c>
      <c r="P54" s="978">
        <v>1544.0364164674756</v>
      </c>
      <c r="Q54" s="978">
        <v>118263.35137862006</v>
      </c>
      <c r="R54" s="979">
        <v>0.88042617935948997</v>
      </c>
      <c r="S54" s="980">
        <v>565.00000000000011</v>
      </c>
      <c r="T54" s="978"/>
      <c r="U54" s="978">
        <v>760.24461193534523</v>
      </c>
      <c r="V54" s="978">
        <v>122.33167922525092</v>
      </c>
      <c r="W54" s="978">
        <v>33288.243613101069</v>
      </c>
      <c r="X54" s="979">
        <v>0.88042617935948997</v>
      </c>
      <c r="Y54" s="981">
        <v>12.599999999999996</v>
      </c>
    </row>
    <row r="55" spans="1:25" ht="14.25">
      <c r="A55" s="807" t="s">
        <v>832</v>
      </c>
      <c r="B55" s="645" t="s">
        <v>1321</v>
      </c>
      <c r="C55" s="808" t="s">
        <v>607</v>
      </c>
      <c r="D55" s="610" t="s">
        <v>1322</v>
      </c>
      <c r="E55" s="975" t="s">
        <v>832</v>
      </c>
      <c r="F55" s="976" t="s">
        <v>1321</v>
      </c>
      <c r="G55" t="b">
        <v>1</v>
      </c>
      <c r="H55" s="977"/>
      <c r="I55" s="978">
        <v>1600</v>
      </c>
      <c r="J55" s="978">
        <v>910.8</v>
      </c>
      <c r="K55" s="978">
        <v>33829.5728616251</v>
      </c>
      <c r="L55" s="979">
        <v>0.81492189443350604</v>
      </c>
      <c r="M55" s="980">
        <v>103.0000000000001</v>
      </c>
      <c r="N55" s="978"/>
      <c r="O55" s="978">
        <v>2821.7837211422493</v>
      </c>
      <c r="P55" s="978">
        <v>2832.8951704676624</v>
      </c>
      <c r="Q55" s="978">
        <v>59662.336246330822</v>
      </c>
      <c r="R55" s="979">
        <v>0.81492189443350604</v>
      </c>
      <c r="S55" s="980">
        <v>564.99999999999989</v>
      </c>
      <c r="T55" s="978"/>
      <c r="U55" s="978">
        <v>935.68567622811725</v>
      </c>
      <c r="V55" s="978">
        <v>311.48921844662715</v>
      </c>
      <c r="W55" s="978">
        <v>19783.654224711277</v>
      </c>
      <c r="X55" s="979">
        <v>0.81492189443350604</v>
      </c>
      <c r="Y55" s="981">
        <v>20.60000000000003</v>
      </c>
    </row>
    <row r="56" spans="1:25" ht="14.25">
      <c r="A56" s="807" t="s">
        <v>833</v>
      </c>
      <c r="B56" s="645" t="s">
        <v>1323</v>
      </c>
      <c r="C56" s="808" t="s">
        <v>608</v>
      </c>
      <c r="D56" s="610" t="s">
        <v>1324</v>
      </c>
      <c r="E56" s="975" t="s">
        <v>833</v>
      </c>
      <c r="F56" s="976" t="s">
        <v>1323</v>
      </c>
      <c r="G56" t="b">
        <v>1</v>
      </c>
      <c r="H56" s="977"/>
      <c r="I56" s="978">
        <v>1500</v>
      </c>
      <c r="J56" s="978">
        <v>776</v>
      </c>
      <c r="K56" s="978">
        <v>54168.7179098786</v>
      </c>
      <c r="L56" s="979">
        <v>0.83584045100715998</v>
      </c>
      <c r="M56" s="980">
        <v>136.99999999999997</v>
      </c>
      <c r="N56" s="978"/>
      <c r="O56" s="978">
        <v>2405.4733657864867</v>
      </c>
      <c r="P56" s="978">
        <v>1995.6313067032622</v>
      </c>
      <c r="Q56" s="978">
        <v>86867.605460676292</v>
      </c>
      <c r="R56" s="979">
        <v>0.83584045100715998</v>
      </c>
      <c r="S56" s="980">
        <v>565.00000000000011</v>
      </c>
      <c r="T56" s="978"/>
      <c r="U56" s="978">
        <v>877.20532146385995</v>
      </c>
      <c r="V56" s="978">
        <v>265.38826692422339</v>
      </c>
      <c r="W56" s="978">
        <v>31678.058404946802</v>
      </c>
      <c r="X56" s="979">
        <v>0.83584045100715998</v>
      </c>
      <c r="Y56" s="981">
        <v>27.400000000000002</v>
      </c>
    </row>
    <row r="57" spans="1:25" ht="14.25">
      <c r="A57" s="807" t="s">
        <v>834</v>
      </c>
      <c r="B57" s="645" t="s">
        <v>1325</v>
      </c>
      <c r="C57" s="808" t="s">
        <v>609</v>
      </c>
      <c r="D57" s="610" t="s">
        <v>1045</v>
      </c>
      <c r="E57" s="975" t="s">
        <v>834</v>
      </c>
      <c r="F57" s="976" t="s">
        <v>1325</v>
      </c>
      <c r="G57" t="b">
        <v>1</v>
      </c>
      <c r="H57" s="977"/>
      <c r="I57" s="978">
        <v>2239</v>
      </c>
      <c r="J57" s="978">
        <v>1523.9733100777232</v>
      </c>
      <c r="K57" s="978">
        <v>113943.71247996054</v>
      </c>
      <c r="L57" s="979">
        <v>0.83465584478353427</v>
      </c>
      <c r="M57" s="980">
        <v>566.75317545950952</v>
      </c>
      <c r="N57" s="978"/>
      <c r="O57" s="978">
        <v>2236.6889326076189</v>
      </c>
      <c r="P57" s="978">
        <v>1520.8288819050299</v>
      </c>
      <c r="Q57" s="978">
        <v>113826.10122561516</v>
      </c>
      <c r="R57" s="979">
        <v>0.83465584478353427</v>
      </c>
      <c r="S57" s="980">
        <v>564.99999999999989</v>
      </c>
      <c r="T57" s="978"/>
      <c r="U57" s="978">
        <v>1309.3751431717214</v>
      </c>
      <c r="V57" s="978">
        <v>521.1915407220348</v>
      </c>
      <c r="W57" s="978">
        <v>66634.687289846261</v>
      </c>
      <c r="X57" s="979">
        <v>0.83465584478353427</v>
      </c>
      <c r="Y57" s="981">
        <v>113.35063509190188</v>
      </c>
    </row>
    <row r="58" spans="1:25" ht="14.25">
      <c r="A58" s="807" t="s">
        <v>835</v>
      </c>
      <c r="B58" s="645" t="s">
        <v>1326</v>
      </c>
      <c r="C58" s="808" t="s">
        <v>610</v>
      </c>
      <c r="D58" s="610" t="s">
        <v>1047</v>
      </c>
      <c r="E58" s="975" t="s">
        <v>835</v>
      </c>
      <c r="F58" s="976" t="s">
        <v>1326</v>
      </c>
      <c r="G58" t="b">
        <v>1</v>
      </c>
      <c r="H58" s="977"/>
      <c r="I58" s="978">
        <v>1100</v>
      </c>
      <c r="J58" s="978">
        <v>366.3</v>
      </c>
      <c r="K58" s="978">
        <v>72136.589190229904</v>
      </c>
      <c r="L58" s="979">
        <v>0.83700440926382003</v>
      </c>
      <c r="M58" s="980">
        <v>85.999999999999972</v>
      </c>
      <c r="N58" s="978"/>
      <c r="O58" s="978">
        <v>2060.1998474789634</v>
      </c>
      <c r="P58" s="978">
        <v>1284.9027236790278</v>
      </c>
      <c r="Q58" s="978">
        <v>135105.26367942209</v>
      </c>
      <c r="R58" s="979">
        <v>0.83700440926382003</v>
      </c>
      <c r="S58" s="980">
        <v>564.99999999999989</v>
      </c>
      <c r="T58" s="978"/>
      <c r="U58" s="978">
        <v>643.28390240683063</v>
      </c>
      <c r="V58" s="978">
        <v>125.27283785353485</v>
      </c>
      <c r="W58" s="978">
        <v>42185.733273281352</v>
      </c>
      <c r="X58" s="979">
        <v>0.83700440926382003</v>
      </c>
      <c r="Y58" s="981">
        <v>17.2</v>
      </c>
    </row>
    <row r="59" spans="1:25" ht="14.25">
      <c r="A59" s="807" t="s">
        <v>836</v>
      </c>
      <c r="B59" s="645" t="s">
        <v>1327</v>
      </c>
      <c r="C59" s="808" t="s">
        <v>611</v>
      </c>
      <c r="D59" s="610" t="s">
        <v>1328</v>
      </c>
      <c r="E59" s="975" t="s">
        <v>836</v>
      </c>
      <c r="F59" s="976" t="s">
        <v>1327</v>
      </c>
      <c r="G59" t="b">
        <v>1</v>
      </c>
      <c r="H59" s="977"/>
      <c r="I59" s="978">
        <v>1100</v>
      </c>
      <c r="J59" s="978">
        <v>305.55</v>
      </c>
      <c r="K59" s="978">
        <v>83715.291315266906</v>
      </c>
      <c r="L59" s="979">
        <v>0.84978077781961903</v>
      </c>
      <c r="M59" s="980">
        <v>82.000000000000071</v>
      </c>
      <c r="N59" s="978"/>
      <c r="O59" s="978">
        <v>2093.1686278749953</v>
      </c>
      <c r="P59" s="978">
        <v>1106.3826373034908</v>
      </c>
      <c r="Q59" s="978">
        <v>159300.20132230251</v>
      </c>
      <c r="R59" s="979">
        <v>0.84978077781961903</v>
      </c>
      <c r="S59" s="980">
        <v>565</v>
      </c>
      <c r="T59" s="978"/>
      <c r="U59" s="978">
        <v>643.28390240683063</v>
      </c>
      <c r="V59" s="978">
        <v>104.49663010141298</v>
      </c>
      <c r="W59" s="978">
        <v>48956.999353099593</v>
      </c>
      <c r="X59" s="979">
        <v>0.84978077781961903</v>
      </c>
      <c r="Y59" s="981">
        <v>16.400000000000023</v>
      </c>
    </row>
    <row r="60" spans="1:25" ht="14.25">
      <c r="A60" s="807" t="s">
        <v>837</v>
      </c>
      <c r="B60" s="645" t="s">
        <v>1329</v>
      </c>
      <c r="C60" s="808" t="s">
        <v>612</v>
      </c>
      <c r="D60" s="610" t="s">
        <v>1330</v>
      </c>
      <c r="E60" s="975" t="s">
        <v>837</v>
      </c>
      <c r="F60" s="976" t="s">
        <v>1329</v>
      </c>
      <c r="G60" t="b">
        <v>1</v>
      </c>
      <c r="H60" s="977"/>
      <c r="I60" s="978">
        <v>1600</v>
      </c>
      <c r="J60" s="978">
        <v>1110</v>
      </c>
      <c r="K60" s="978">
        <v>46000</v>
      </c>
      <c r="L60" s="979">
        <v>0.72445807291666697</v>
      </c>
      <c r="M60" s="980">
        <v>191.99999999999994</v>
      </c>
      <c r="N60" s="978"/>
      <c r="O60" s="978">
        <v>2292.8152185720728</v>
      </c>
      <c r="P60" s="978">
        <v>2279.4030489970423</v>
      </c>
      <c r="Q60" s="978">
        <v>65918.437533947086</v>
      </c>
      <c r="R60" s="979">
        <v>0.72445807291666697</v>
      </c>
      <c r="S60" s="980">
        <v>565</v>
      </c>
      <c r="T60" s="978"/>
      <c r="U60" s="978">
        <v>935.68567622811725</v>
      </c>
      <c r="V60" s="978">
        <v>379.61466016222681</v>
      </c>
      <c r="W60" s="978">
        <v>26900.96319155837</v>
      </c>
      <c r="X60" s="979">
        <v>0.72445807291666697</v>
      </c>
      <c r="Y60" s="981">
        <v>38.4</v>
      </c>
    </row>
    <row r="61" spans="1:25" ht="14.25">
      <c r="A61" s="807" t="s">
        <v>838</v>
      </c>
      <c r="B61" s="645" t="s">
        <v>1331</v>
      </c>
      <c r="C61" s="808" t="s">
        <v>613</v>
      </c>
      <c r="D61" s="610" t="s">
        <v>1332</v>
      </c>
      <c r="E61" s="975" t="s">
        <v>838</v>
      </c>
      <c r="F61" s="976" t="s">
        <v>1331</v>
      </c>
      <c r="G61" t="b">
        <v>1</v>
      </c>
      <c r="H61" s="977"/>
      <c r="I61" s="978">
        <v>1400</v>
      </c>
      <c r="J61" s="978">
        <v>900</v>
      </c>
      <c r="K61" s="978">
        <v>60000</v>
      </c>
      <c r="L61" s="979">
        <v>0.81273480662983399</v>
      </c>
      <c r="M61" s="980">
        <v>181.00000000000006</v>
      </c>
      <c r="N61" s="978"/>
      <c r="O61" s="978">
        <v>2046.0582485094935</v>
      </c>
      <c r="P61" s="978">
        <v>1922.305571767532</v>
      </c>
      <c r="Q61" s="978">
        <v>87688.210650406865</v>
      </c>
      <c r="R61" s="979">
        <v>0.81273480662983399</v>
      </c>
      <c r="S61" s="980">
        <v>565</v>
      </c>
      <c r="T61" s="978"/>
      <c r="U61" s="978">
        <v>818.72496669960253</v>
      </c>
      <c r="V61" s="978">
        <v>307.79567040180552</v>
      </c>
      <c r="W61" s="978">
        <v>35088.212858554398</v>
      </c>
      <c r="X61" s="979">
        <v>0.81273480662983399</v>
      </c>
      <c r="Y61" s="981">
        <v>36.200000000000024</v>
      </c>
    </row>
    <row r="62" spans="1:25" ht="14.25">
      <c r="A62" s="807" t="s">
        <v>839</v>
      </c>
      <c r="B62" s="645" t="s">
        <v>1333</v>
      </c>
      <c r="C62" s="808" t="s">
        <v>614</v>
      </c>
      <c r="D62" s="610" t="s">
        <v>1334</v>
      </c>
      <c r="E62" s="975" t="s">
        <v>839</v>
      </c>
      <c r="F62" s="976" t="s">
        <v>1333</v>
      </c>
      <c r="G62" t="b">
        <v>1</v>
      </c>
      <c r="H62" s="977"/>
      <c r="I62" s="978">
        <v>1200</v>
      </c>
      <c r="J62" s="978">
        <v>602.70000000000005</v>
      </c>
      <c r="K62" s="978">
        <v>84145.706961199205</v>
      </c>
      <c r="L62" s="979">
        <v>0.76752817077336899</v>
      </c>
      <c r="M62" s="980">
        <v>180.00000000000006</v>
      </c>
      <c r="N62" s="978"/>
      <c r="O62" s="978">
        <v>1757.0059287272647</v>
      </c>
      <c r="P62" s="978">
        <v>1292.0673532641169</v>
      </c>
      <c r="Q62" s="978">
        <v>123203.7550064784</v>
      </c>
      <c r="R62" s="979">
        <v>0.76752817077336899</v>
      </c>
      <c r="S62" s="980">
        <v>564.99999999999989</v>
      </c>
      <c r="T62" s="978"/>
      <c r="U62" s="978">
        <v>701.76425717108793</v>
      </c>
      <c r="V62" s="978">
        <v>206.1205006124091</v>
      </c>
      <c r="W62" s="978">
        <v>49208.707949801668</v>
      </c>
      <c r="X62" s="979">
        <v>0.76752817077336899</v>
      </c>
      <c r="Y62" s="981">
        <v>36.000000000000021</v>
      </c>
    </row>
    <row r="63" spans="1:25" ht="14.25">
      <c r="A63" s="807" t="s">
        <v>840</v>
      </c>
      <c r="B63" s="645" t="s">
        <v>1335</v>
      </c>
      <c r="C63" s="808" t="s">
        <v>615</v>
      </c>
      <c r="D63" s="610" t="s">
        <v>1336</v>
      </c>
      <c r="E63" s="975" t="s">
        <v>840</v>
      </c>
      <c r="F63" s="976" t="s">
        <v>1335</v>
      </c>
      <c r="G63" t="b">
        <v>1</v>
      </c>
      <c r="H63" s="977"/>
      <c r="I63" s="978">
        <v>1100</v>
      </c>
      <c r="J63" s="978">
        <v>494.7</v>
      </c>
      <c r="K63" s="978">
        <v>93564.149117063003</v>
      </c>
      <c r="L63" s="979">
        <v>0.86363891183494301</v>
      </c>
      <c r="M63" s="980">
        <v>145.99999999999997</v>
      </c>
      <c r="N63" s="978"/>
      <c r="O63" s="978">
        <v>1726.9955393705354</v>
      </c>
      <c r="P63" s="978">
        <v>1219.3797309586221</v>
      </c>
      <c r="Q63" s="978">
        <v>146895.33470015219</v>
      </c>
      <c r="R63" s="979">
        <v>0.86363891183494301</v>
      </c>
      <c r="S63" s="980">
        <v>564.99999999999989</v>
      </c>
      <c r="T63" s="978"/>
      <c r="U63" s="978">
        <v>643.28390240683063</v>
      </c>
      <c r="V63" s="978">
        <v>169.18502016419242</v>
      </c>
      <c r="W63" s="978">
        <v>54716.646335817182</v>
      </c>
      <c r="X63" s="979">
        <v>0.86363891183494301</v>
      </c>
      <c r="Y63" s="981">
        <v>29.199999999999996</v>
      </c>
    </row>
    <row r="64" spans="1:25" ht="14.25">
      <c r="A64" s="807" t="s">
        <v>841</v>
      </c>
      <c r="B64" s="645" t="s">
        <v>1337</v>
      </c>
      <c r="C64" s="808" t="s">
        <v>616</v>
      </c>
      <c r="D64" s="610" t="s">
        <v>1338</v>
      </c>
      <c r="E64" s="975" t="s">
        <v>841</v>
      </c>
      <c r="F64" s="976" t="s">
        <v>1337</v>
      </c>
      <c r="G64" t="b">
        <v>1</v>
      </c>
      <c r="H64" s="977"/>
      <c r="I64" s="978">
        <v>1200</v>
      </c>
      <c r="J64" s="978">
        <v>523.79999999999995</v>
      </c>
      <c r="K64" s="978">
        <v>128035.151423349</v>
      </c>
      <c r="L64" s="979">
        <v>0.82667749419130498</v>
      </c>
      <c r="M64" s="980">
        <v>220.99999999999955</v>
      </c>
      <c r="N64" s="978"/>
      <c r="O64" s="978">
        <v>1640.8415218895545</v>
      </c>
      <c r="P64" s="978">
        <v>979.34627735929666</v>
      </c>
      <c r="Q64" s="978">
        <v>175071.16059737295</v>
      </c>
      <c r="R64" s="979">
        <v>0.82667749419130498</v>
      </c>
      <c r="S64" s="980">
        <v>564.99999999999989</v>
      </c>
      <c r="T64" s="978"/>
      <c r="U64" s="978">
        <v>701.76425717108793</v>
      </c>
      <c r="V64" s="978">
        <v>179.13708017385079</v>
      </c>
      <c r="W64" s="978">
        <v>74875.410775328564</v>
      </c>
      <c r="X64" s="979">
        <v>0.82667749419130498</v>
      </c>
      <c r="Y64" s="981">
        <v>44.199999999999918</v>
      </c>
    </row>
    <row r="65" spans="1:25" ht="14.25">
      <c r="A65" s="807" t="s">
        <v>842</v>
      </c>
      <c r="B65" s="645" t="s">
        <v>1339</v>
      </c>
      <c r="C65" s="808" t="s">
        <v>617</v>
      </c>
      <c r="D65" s="610" t="s">
        <v>1340</v>
      </c>
      <c r="E65" s="975" t="s">
        <v>842</v>
      </c>
      <c r="F65" s="976" t="s">
        <v>1339</v>
      </c>
      <c r="G65" t="b">
        <v>1</v>
      </c>
      <c r="H65" s="977"/>
      <c r="I65" s="978">
        <v>976</v>
      </c>
      <c r="J65" s="978">
        <v>302.36666613206404</v>
      </c>
      <c r="K65" s="978">
        <v>147351.72320619153</v>
      </c>
      <c r="L65" s="979">
        <v>0.78698705542940295</v>
      </c>
      <c r="M65" s="980">
        <v>154.22515522910902</v>
      </c>
      <c r="N65" s="978"/>
      <c r="O65" s="978">
        <v>1250</v>
      </c>
      <c r="P65" s="978">
        <v>495.9687372255338</v>
      </c>
      <c r="Q65" s="978">
        <v>188718.90779481496</v>
      </c>
      <c r="R65" s="979">
        <v>0.78698705542940295</v>
      </c>
      <c r="S65" s="980">
        <v>323.99313045093726</v>
      </c>
      <c r="T65" s="978"/>
      <c r="U65" s="978">
        <v>570.76826249915155</v>
      </c>
      <c r="V65" s="978">
        <v>103.40794523253065</v>
      </c>
      <c r="W65" s="978">
        <v>86171.810482227302</v>
      </c>
      <c r="X65" s="979">
        <v>0.78698705542940295</v>
      </c>
      <c r="Y65" s="981">
        <v>30.84503104582183</v>
      </c>
    </row>
    <row r="66" spans="1:25" ht="14.25">
      <c r="A66" s="807" t="s">
        <v>843</v>
      </c>
      <c r="B66" s="645" t="s">
        <v>1341</v>
      </c>
      <c r="C66" s="808" t="s">
        <v>618</v>
      </c>
      <c r="D66" s="610" t="s">
        <v>1342</v>
      </c>
      <c r="E66" s="975" t="s">
        <v>843</v>
      </c>
      <c r="F66" s="976" t="s">
        <v>1341</v>
      </c>
      <c r="G66" t="b">
        <v>1</v>
      </c>
      <c r="H66" s="977"/>
      <c r="I66" s="978">
        <v>1200</v>
      </c>
      <c r="J66" s="978">
        <v>840</v>
      </c>
      <c r="K66" s="978">
        <v>66000</v>
      </c>
      <c r="L66" s="979">
        <v>0.77849381443299004</v>
      </c>
      <c r="M66" s="980">
        <v>193.99999999999994</v>
      </c>
      <c r="N66" s="978"/>
      <c r="O66" s="978">
        <v>1713.6816723112704</v>
      </c>
      <c r="P66" s="978">
        <v>1713.077843175739</v>
      </c>
      <c r="Q66" s="978">
        <v>94252.491977119877</v>
      </c>
      <c r="R66" s="979">
        <v>0.77849381443299004</v>
      </c>
      <c r="S66" s="980">
        <v>565</v>
      </c>
      <c r="T66" s="978"/>
      <c r="U66" s="978">
        <v>701.76425717108793</v>
      </c>
      <c r="V66" s="978">
        <v>287.27595904168516</v>
      </c>
      <c r="W66" s="978">
        <v>38597.034144409838</v>
      </c>
      <c r="X66" s="979">
        <v>0.77849381443299004</v>
      </c>
      <c r="Y66" s="981">
        <v>38.799999999999997</v>
      </c>
    </row>
    <row r="67" spans="1:25" ht="14.25">
      <c r="A67" s="807" t="s">
        <v>844</v>
      </c>
      <c r="B67" s="645" t="s">
        <v>1343</v>
      </c>
      <c r="C67" s="808" t="s">
        <v>619</v>
      </c>
      <c r="D67" s="610" t="s">
        <v>1344</v>
      </c>
      <c r="E67" s="975" t="s">
        <v>844</v>
      </c>
      <c r="F67" s="976" t="s">
        <v>1343</v>
      </c>
      <c r="G67" t="b">
        <v>1</v>
      </c>
      <c r="H67" s="977"/>
      <c r="I67" s="978">
        <v>1200</v>
      </c>
      <c r="J67" s="978">
        <v>825</v>
      </c>
      <c r="K67" s="978">
        <v>77500</v>
      </c>
      <c r="L67" s="979">
        <v>0.74434361645299196</v>
      </c>
      <c r="M67" s="980">
        <v>233.99999999999983</v>
      </c>
      <c r="N67" s="978"/>
      <c r="O67" s="978">
        <v>1609.8748269269158</v>
      </c>
      <c r="P67" s="978">
        <v>1484.8263824011792</v>
      </c>
      <c r="Q67" s="978">
        <v>103971.08257236332</v>
      </c>
      <c r="R67" s="979">
        <v>0.74434361645299196</v>
      </c>
      <c r="S67" s="980">
        <v>564.99999999999989</v>
      </c>
      <c r="T67" s="978"/>
      <c r="U67" s="978">
        <v>701.76425717108793</v>
      </c>
      <c r="V67" s="978">
        <v>282.14603120165503</v>
      </c>
      <c r="W67" s="978">
        <v>45322.274942299431</v>
      </c>
      <c r="X67" s="979">
        <v>0.74434361645299196</v>
      </c>
      <c r="Y67" s="981">
        <v>46.799999999999983</v>
      </c>
    </row>
    <row r="68" spans="1:25" ht="14.25">
      <c r="A68" s="807" t="s">
        <v>845</v>
      </c>
      <c r="B68" s="645" t="s">
        <v>1345</v>
      </c>
      <c r="C68" s="808" t="s">
        <v>620</v>
      </c>
      <c r="D68" s="610" t="s">
        <v>1055</v>
      </c>
      <c r="E68" s="975" t="s">
        <v>845</v>
      </c>
      <c r="F68" s="976" t="s">
        <v>1345</v>
      </c>
      <c r="G68" t="b">
        <v>1</v>
      </c>
      <c r="H68" s="977"/>
      <c r="I68" s="978">
        <v>1200</v>
      </c>
      <c r="J68" s="978">
        <v>744.8</v>
      </c>
      <c r="K68" s="978">
        <v>118793.93923934</v>
      </c>
      <c r="L68" s="979">
        <v>0.80881903276205303</v>
      </c>
      <c r="M68" s="980">
        <v>297.99999999999994</v>
      </c>
      <c r="N68" s="978"/>
      <c r="O68" s="978">
        <v>1485.2240530387389</v>
      </c>
      <c r="P68" s="978">
        <v>1140.9355800398923</v>
      </c>
      <c r="Q68" s="978">
        <v>147029.67992790855</v>
      </c>
      <c r="R68" s="979">
        <v>0.80881903276205303</v>
      </c>
      <c r="S68" s="980">
        <v>565.00000000000023</v>
      </c>
      <c r="T68" s="978"/>
      <c r="U68" s="978">
        <v>701.76425717108793</v>
      </c>
      <c r="V68" s="978">
        <v>254.7180170169608</v>
      </c>
      <c r="W68" s="978">
        <v>69471.11710560233</v>
      </c>
      <c r="X68" s="979">
        <v>0.80881903276205303</v>
      </c>
      <c r="Y68" s="981">
        <v>59.600000000000023</v>
      </c>
    </row>
    <row r="69" spans="1:25" ht="14.25">
      <c r="A69" s="807" t="s">
        <v>846</v>
      </c>
      <c r="B69" s="645" t="s">
        <v>1346</v>
      </c>
      <c r="C69" s="808" t="s">
        <v>621</v>
      </c>
      <c r="D69" s="610" t="s">
        <v>1347</v>
      </c>
      <c r="E69" s="975" t="s">
        <v>846</v>
      </c>
      <c r="F69" s="976" t="s">
        <v>1346</v>
      </c>
      <c r="G69" t="b">
        <v>1</v>
      </c>
      <c r="H69" s="977"/>
      <c r="I69" s="978">
        <v>1100</v>
      </c>
      <c r="J69" s="978">
        <v>661.5</v>
      </c>
      <c r="K69" s="978">
        <v>123743.686707646</v>
      </c>
      <c r="L69" s="979">
        <v>0.87447297708165095</v>
      </c>
      <c r="M69" s="980">
        <v>255.00000000000031</v>
      </c>
      <c r="N69" s="978"/>
      <c r="O69" s="978">
        <v>1434.0427810973799</v>
      </c>
      <c r="P69" s="978">
        <v>1124.2650072219681</v>
      </c>
      <c r="Q69" s="978">
        <v>161321.58239043233</v>
      </c>
      <c r="R69" s="979">
        <v>0.87447297708165095</v>
      </c>
      <c r="S69" s="980">
        <v>565</v>
      </c>
      <c r="T69" s="978"/>
      <c r="U69" s="978">
        <v>643.28390240683063</v>
      </c>
      <c r="V69" s="978">
        <v>226.22981774532704</v>
      </c>
      <c r="W69" s="978">
        <v>72365.746985002523</v>
      </c>
      <c r="X69" s="979">
        <v>0.87447297708165095</v>
      </c>
      <c r="Y69" s="981">
        <v>51.000000000000071</v>
      </c>
    </row>
    <row r="70" spans="1:25" ht="14.25">
      <c r="A70" s="807" t="s">
        <v>847</v>
      </c>
      <c r="B70" s="645" t="s">
        <v>1348</v>
      </c>
      <c r="C70" s="808" t="s">
        <v>622</v>
      </c>
      <c r="D70" s="610" t="s">
        <v>1057</v>
      </c>
      <c r="E70" s="975" t="s">
        <v>847</v>
      </c>
      <c r="F70" s="976" t="s">
        <v>1348</v>
      </c>
      <c r="G70" t="b">
        <v>1</v>
      </c>
      <c r="H70" s="977"/>
      <c r="I70" s="978">
        <v>900</v>
      </c>
      <c r="J70" s="978">
        <v>395</v>
      </c>
      <c r="K70" s="978">
        <v>130000</v>
      </c>
      <c r="L70" s="979">
        <v>0.84779368686868695</v>
      </c>
      <c r="M70" s="980">
        <v>165</v>
      </c>
      <c r="N70" s="978"/>
      <c r="O70" s="978">
        <v>1356.5339811674398</v>
      </c>
      <c r="P70" s="978">
        <v>897.37389458578252</v>
      </c>
      <c r="Q70" s="978">
        <v>195943.79727974132</v>
      </c>
      <c r="R70" s="979">
        <v>0.84779368686868695</v>
      </c>
      <c r="S70" s="980">
        <v>565.00000000000011</v>
      </c>
      <c r="T70" s="978"/>
      <c r="U70" s="978">
        <v>526.32319287831592</v>
      </c>
      <c r="V70" s="978">
        <v>135.08809978745907</v>
      </c>
      <c r="W70" s="978">
        <v>76024.461193534531</v>
      </c>
      <c r="X70" s="979">
        <v>0.84779368686868695</v>
      </c>
      <c r="Y70" s="981">
        <v>33.000000000000007</v>
      </c>
    </row>
    <row r="71" spans="1:25" ht="14.25">
      <c r="A71" s="807" t="s">
        <v>848</v>
      </c>
      <c r="B71" s="645" t="s">
        <v>1349</v>
      </c>
      <c r="C71" s="808" t="s">
        <v>623</v>
      </c>
      <c r="D71" s="610" t="s">
        <v>1350</v>
      </c>
      <c r="E71" s="975" t="s">
        <v>848</v>
      </c>
      <c r="F71" s="976" t="s">
        <v>1349</v>
      </c>
      <c r="G71" t="b">
        <v>1</v>
      </c>
      <c r="H71" s="977"/>
      <c r="I71" s="978">
        <v>900</v>
      </c>
      <c r="J71" s="978">
        <v>338.1</v>
      </c>
      <c r="K71" s="978">
        <v>128693.434175952</v>
      </c>
      <c r="L71" s="979">
        <v>0.84665640809638698</v>
      </c>
      <c r="M71" s="980">
        <v>140.00000000000034</v>
      </c>
      <c r="N71" s="978"/>
      <c r="O71" s="978">
        <v>1432.9003216108085</v>
      </c>
      <c r="P71" s="978">
        <v>857.02227955361047</v>
      </c>
      <c r="Q71" s="978">
        <v>204894.29246657895</v>
      </c>
      <c r="R71" s="979">
        <v>0.84665640809638698</v>
      </c>
      <c r="S71" s="980">
        <v>564.99999999999989</v>
      </c>
      <c r="T71" s="978"/>
      <c r="U71" s="978">
        <v>526.32319287831592</v>
      </c>
      <c r="V71" s="978">
        <v>115.62857351427827</v>
      </c>
      <c r="W71" s="978">
        <v>75260.376864402715</v>
      </c>
      <c r="X71" s="979">
        <v>0.84665640809638698</v>
      </c>
      <c r="Y71" s="981">
        <v>28.000000000000082</v>
      </c>
    </row>
    <row r="72" spans="1:25" ht="14.25">
      <c r="A72" s="807" t="s">
        <v>849</v>
      </c>
      <c r="B72" s="645" t="s">
        <v>1351</v>
      </c>
      <c r="C72" s="808" t="s">
        <v>624</v>
      </c>
      <c r="D72" s="610" t="s">
        <v>1352</v>
      </c>
      <c r="E72" s="975" t="s">
        <v>849</v>
      </c>
      <c r="F72" s="976" t="s">
        <v>1351</v>
      </c>
      <c r="G72" t="b">
        <v>1</v>
      </c>
      <c r="H72" s="977"/>
      <c r="I72" s="978">
        <v>1200</v>
      </c>
      <c r="J72" s="978">
        <v>1045</v>
      </c>
      <c r="K72" s="978">
        <v>62000</v>
      </c>
      <c r="L72" s="979">
        <v>0.79147425261584503</v>
      </c>
      <c r="M72" s="980">
        <v>222.99999999999986</v>
      </c>
      <c r="N72" s="978"/>
      <c r="O72" s="978">
        <v>1635.9214278206496</v>
      </c>
      <c r="P72" s="978">
        <v>1942.131714800609</v>
      </c>
      <c r="Q72" s="978">
        <v>84522.607104066905</v>
      </c>
      <c r="R72" s="979">
        <v>0.79147425261584503</v>
      </c>
      <c r="S72" s="980">
        <v>565.00000000000011</v>
      </c>
      <c r="T72" s="978"/>
      <c r="U72" s="978">
        <v>701.76425717108793</v>
      </c>
      <c r="V72" s="978">
        <v>357.38497285542974</v>
      </c>
      <c r="W72" s="978">
        <v>36257.819953839542</v>
      </c>
      <c r="X72" s="979">
        <v>0.79147425261584503</v>
      </c>
      <c r="Y72" s="981">
        <v>44.6</v>
      </c>
    </row>
    <row r="73" spans="1:25" ht="14.25">
      <c r="A73" s="807" t="s">
        <v>850</v>
      </c>
      <c r="B73" s="645" t="s">
        <v>1353</v>
      </c>
      <c r="C73" s="808" t="s">
        <v>625</v>
      </c>
      <c r="D73" s="610" t="s">
        <v>1354</v>
      </c>
      <c r="E73" s="975" t="s">
        <v>850</v>
      </c>
      <c r="F73" s="976" t="s">
        <v>1353</v>
      </c>
      <c r="G73" t="b">
        <v>1</v>
      </c>
      <c r="H73" s="977"/>
      <c r="I73" s="978">
        <v>1100</v>
      </c>
      <c r="J73" s="978">
        <v>811.8</v>
      </c>
      <c r="K73" s="978">
        <v>92036.337932362396</v>
      </c>
      <c r="L73" s="979">
        <v>0.76517437051185599</v>
      </c>
      <c r="M73" s="980">
        <v>266.00000000000023</v>
      </c>
      <c r="N73" s="978"/>
      <c r="O73" s="978">
        <v>1413.9963515804952</v>
      </c>
      <c r="P73" s="978">
        <v>1341.4060304771076</v>
      </c>
      <c r="Q73" s="978">
        <v>118308.2236810818</v>
      </c>
      <c r="R73" s="979">
        <v>0.76517437051185599</v>
      </c>
      <c r="S73" s="980">
        <v>565</v>
      </c>
      <c r="T73" s="978"/>
      <c r="U73" s="978">
        <v>643.28390240683063</v>
      </c>
      <c r="V73" s="978">
        <v>277.63169470242855</v>
      </c>
      <c r="W73" s="978">
        <v>53823.176934876268</v>
      </c>
      <c r="X73" s="979">
        <v>0.76517437051185599</v>
      </c>
      <c r="Y73" s="981">
        <v>53.2</v>
      </c>
    </row>
    <row r="74" spans="1:25" ht="14.25">
      <c r="A74" s="807" t="s">
        <v>851</v>
      </c>
      <c r="B74" s="645" t="s">
        <v>1355</v>
      </c>
      <c r="C74" s="808" t="s">
        <v>626</v>
      </c>
      <c r="D74" s="610" t="s">
        <v>1356</v>
      </c>
      <c r="E74" s="975" t="s">
        <v>851</v>
      </c>
      <c r="F74" s="976" t="s">
        <v>1355</v>
      </c>
      <c r="G74" t="b">
        <v>1</v>
      </c>
      <c r="H74" s="977"/>
      <c r="I74" s="978">
        <v>1100</v>
      </c>
      <c r="J74" s="978">
        <v>880</v>
      </c>
      <c r="K74" s="978">
        <v>165000</v>
      </c>
      <c r="L74" s="979">
        <v>0.841593617021277</v>
      </c>
      <c r="M74" s="980">
        <v>469.99999999999983</v>
      </c>
      <c r="N74" s="978"/>
      <c r="O74" s="978">
        <v>1169.6148718763613</v>
      </c>
      <c r="P74" s="978">
        <v>994.90832619226001</v>
      </c>
      <c r="Q74" s="978">
        <v>175442.23078145421</v>
      </c>
      <c r="R74" s="979">
        <v>0.841593617021277</v>
      </c>
      <c r="S74" s="980">
        <v>564.99999999999989</v>
      </c>
      <c r="T74" s="978"/>
      <c r="U74" s="978">
        <v>643.28390240683063</v>
      </c>
      <c r="V74" s="978">
        <v>300.9557666150987</v>
      </c>
      <c r="W74" s="978">
        <v>96492.585361024583</v>
      </c>
      <c r="X74" s="979">
        <v>0.841593617021277</v>
      </c>
      <c r="Y74" s="981">
        <v>94</v>
      </c>
    </row>
    <row r="75" spans="1:25" ht="14.25">
      <c r="A75" s="807" t="s">
        <v>852</v>
      </c>
      <c r="B75" s="645" t="s">
        <v>1357</v>
      </c>
      <c r="C75" s="808" t="s">
        <v>627</v>
      </c>
      <c r="D75" s="610" t="s">
        <v>1358</v>
      </c>
      <c r="E75" s="975" t="s">
        <v>852</v>
      </c>
      <c r="F75" s="976" t="s">
        <v>1357</v>
      </c>
      <c r="G75" t="b">
        <v>1</v>
      </c>
      <c r="H75" s="977"/>
      <c r="I75" s="978">
        <v>1000</v>
      </c>
      <c r="J75" s="978">
        <v>648</v>
      </c>
      <c r="K75" s="978">
        <v>156767.34353812301</v>
      </c>
      <c r="L75" s="979">
        <v>0.86210318023086496</v>
      </c>
      <c r="M75" s="980">
        <v>320.99999999999926</v>
      </c>
      <c r="N75" s="978"/>
      <c r="O75" s="978">
        <v>1207.3906410264442</v>
      </c>
      <c r="P75" s="978">
        <v>944.64931970478438</v>
      </c>
      <c r="Q75" s="978">
        <v>189279.42340650712</v>
      </c>
      <c r="R75" s="979">
        <v>0.86210318023086496</v>
      </c>
      <c r="S75" s="980">
        <v>564.99999999999989</v>
      </c>
      <c r="T75" s="978"/>
      <c r="U75" s="978">
        <v>584.80354764257322</v>
      </c>
      <c r="V75" s="978">
        <v>221.61288268929991</v>
      </c>
      <c r="W75" s="978">
        <v>91678.098655596361</v>
      </c>
      <c r="X75" s="979">
        <v>0.86210318023086496</v>
      </c>
      <c r="Y75" s="981">
        <v>64.2</v>
      </c>
    </row>
    <row r="76" spans="1:25" ht="14.25">
      <c r="A76" s="807" t="s">
        <v>853</v>
      </c>
      <c r="B76" s="645" t="s">
        <v>1359</v>
      </c>
      <c r="C76" s="808" t="s">
        <v>628</v>
      </c>
      <c r="D76" s="610" t="s">
        <v>1360</v>
      </c>
      <c r="E76" s="975" t="s">
        <v>853</v>
      </c>
      <c r="F76" s="976" t="s">
        <v>1359</v>
      </c>
      <c r="G76" t="b">
        <v>1</v>
      </c>
      <c r="H76" s="977"/>
      <c r="I76" s="978">
        <v>850</v>
      </c>
      <c r="J76" s="978">
        <v>440.55</v>
      </c>
      <c r="K76" s="978">
        <v>149248.11556599301</v>
      </c>
      <c r="L76" s="979">
        <v>0.84889755195451699</v>
      </c>
      <c r="M76" s="980">
        <v>210.99999999999991</v>
      </c>
      <c r="N76" s="978"/>
      <c r="O76" s="978">
        <v>1180.3412635443901</v>
      </c>
      <c r="P76" s="978">
        <v>849.51789942060032</v>
      </c>
      <c r="Q76" s="978">
        <v>207251.42271621569</v>
      </c>
      <c r="R76" s="979">
        <v>0.84889755195451699</v>
      </c>
      <c r="S76" s="980">
        <v>564.99999999999989</v>
      </c>
      <c r="T76" s="978"/>
      <c r="U76" s="978">
        <v>497.08301549618727</v>
      </c>
      <c r="V76" s="978">
        <v>150.66598066168379</v>
      </c>
      <c r="W76" s="978">
        <v>87280.827461961468</v>
      </c>
      <c r="X76" s="979">
        <v>0.84889755195451699</v>
      </c>
      <c r="Y76" s="981">
        <v>42.2</v>
      </c>
    </row>
    <row r="77" spans="1:25" ht="14.25">
      <c r="A77" s="809" t="s">
        <v>854</v>
      </c>
      <c r="B77" s="645" t="s">
        <v>1361</v>
      </c>
      <c r="C77" s="810" t="s">
        <v>629</v>
      </c>
      <c r="D77" s="610" t="s">
        <v>1362</v>
      </c>
      <c r="E77" s="975" t="s">
        <v>854</v>
      </c>
      <c r="F77" s="976" t="s">
        <v>1361</v>
      </c>
      <c r="G77" t="b">
        <v>1</v>
      </c>
      <c r="H77" s="977"/>
      <c r="I77" s="978">
        <v>2900</v>
      </c>
      <c r="J77" s="978">
        <v>219.3902558572689</v>
      </c>
      <c r="K77" s="978">
        <v>3635.2456762917009</v>
      </c>
      <c r="L77" s="979">
        <v>0.79897488226175506</v>
      </c>
      <c r="M77" s="980">
        <v>2.7192657291412896</v>
      </c>
      <c r="N77" s="978"/>
      <c r="O77" s="978">
        <v>3600</v>
      </c>
      <c r="P77" s="978">
        <v>338.08534077410286</v>
      </c>
      <c r="Q77" s="978">
        <v>4512.7187705690085</v>
      </c>
      <c r="R77" s="979">
        <v>0.79897488226175506</v>
      </c>
      <c r="S77" s="980">
        <v>5.2019378350410435</v>
      </c>
      <c r="T77" s="978"/>
      <c r="U77" s="978">
        <v>1695.9302881634624</v>
      </c>
      <c r="V77" s="978">
        <v>75.030412090235245</v>
      </c>
      <c r="W77" s="978">
        <v>2125.904568047712</v>
      </c>
      <c r="X77" s="979">
        <v>0.79897488226175506</v>
      </c>
      <c r="Y77" s="981">
        <v>0.5</v>
      </c>
    </row>
    <row r="78" spans="1:25" ht="14.25">
      <c r="A78" s="809" t="s">
        <v>995</v>
      </c>
      <c r="B78" s="645" t="s">
        <v>1363</v>
      </c>
      <c r="C78" s="810" t="s">
        <v>630</v>
      </c>
      <c r="D78" s="610" t="s">
        <v>1364</v>
      </c>
      <c r="E78" s="975" t="s">
        <v>1624</v>
      </c>
      <c r="F78" s="976" t="s">
        <v>1625</v>
      </c>
      <c r="G78" t="b">
        <v>1</v>
      </c>
      <c r="H78" s="977"/>
      <c r="I78" s="978">
        <v>3456</v>
      </c>
      <c r="J78" s="978">
        <v>461.96784782425721</v>
      </c>
      <c r="K78" s="978">
        <v>3394.9016994044891</v>
      </c>
      <c r="L78" s="979">
        <v>0.78613785325399332</v>
      </c>
      <c r="M78" s="980">
        <v>5.4346792834940389</v>
      </c>
      <c r="N78" s="978"/>
      <c r="O78" s="978">
        <v>3600</v>
      </c>
      <c r="P78" s="978">
        <v>501.2671959898625</v>
      </c>
      <c r="Q78" s="978">
        <v>3536.3559368796764</v>
      </c>
      <c r="R78" s="979">
        <v>0.78613785325399332</v>
      </c>
      <c r="S78" s="980">
        <v>6.1427129488277181</v>
      </c>
      <c r="T78" s="978"/>
      <c r="U78" s="978">
        <v>2021.0810606527332</v>
      </c>
      <c r="V78" s="978">
        <v>157.99078158349613</v>
      </c>
      <c r="W78" s="978">
        <v>1985.3505577095461</v>
      </c>
      <c r="X78" s="979">
        <v>0.78613785325399332</v>
      </c>
      <c r="Y78" s="981">
        <v>1.1000000000000001</v>
      </c>
    </row>
    <row r="79" spans="1:25" ht="14.25">
      <c r="A79" s="809" t="s">
        <v>855</v>
      </c>
      <c r="B79" s="645" t="s">
        <v>1365</v>
      </c>
      <c r="C79" s="810" t="s">
        <v>631</v>
      </c>
      <c r="D79" s="610" t="s">
        <v>1366</v>
      </c>
      <c r="E79" s="975" t="s">
        <v>855</v>
      </c>
      <c r="F79" s="976" t="s">
        <v>1365</v>
      </c>
      <c r="G79" t="b">
        <v>1</v>
      </c>
      <c r="H79" s="977"/>
      <c r="I79" s="978">
        <v>1100</v>
      </c>
      <c r="J79" s="978">
        <v>528.93748805371752</v>
      </c>
      <c r="K79" s="978">
        <v>407838.81773166085</v>
      </c>
      <c r="L79" s="979">
        <v>0.79610252470512777</v>
      </c>
      <c r="M79" s="980">
        <v>738.17202240779977</v>
      </c>
      <c r="N79" s="978"/>
      <c r="O79" s="978">
        <v>1006.2123438696948</v>
      </c>
      <c r="P79" s="978">
        <v>442.58659882260912</v>
      </c>
      <c r="Q79" s="978">
        <v>373065.86610074522</v>
      </c>
      <c r="R79" s="979">
        <v>0.79610252470512777</v>
      </c>
      <c r="S79" s="980">
        <v>564.99999999999989</v>
      </c>
      <c r="T79" s="978"/>
      <c r="U79" s="978">
        <v>643.28390240683063</v>
      </c>
      <c r="V79" s="978">
        <v>180.89407637348998</v>
      </c>
      <c r="W79" s="978">
        <v>238505.58747582807</v>
      </c>
      <c r="X79" s="979">
        <v>0.79610252470512777</v>
      </c>
      <c r="Y79" s="981">
        <v>147.6</v>
      </c>
    </row>
    <row r="80" spans="1:25" ht="14.25">
      <c r="A80" s="809" t="s">
        <v>788</v>
      </c>
      <c r="B80" s="645" t="s">
        <v>1367</v>
      </c>
      <c r="C80" s="810" t="s">
        <v>632</v>
      </c>
      <c r="D80" s="610" t="s">
        <v>1368</v>
      </c>
      <c r="E80" s="975" t="s">
        <v>788</v>
      </c>
      <c r="F80" s="976" t="s">
        <v>1367</v>
      </c>
      <c r="G80" t="b">
        <v>1</v>
      </c>
      <c r="H80" s="977"/>
      <c r="I80" s="978">
        <v>1770</v>
      </c>
      <c r="J80" s="978">
        <v>700.78734938999332</v>
      </c>
      <c r="K80" s="978">
        <v>20608.670668254359</v>
      </c>
      <c r="L80" s="979">
        <v>0.71353207412300024</v>
      </c>
      <c r="M80" s="980">
        <v>55.138685339131591</v>
      </c>
      <c r="N80" s="978"/>
      <c r="O80" s="978">
        <v>3600</v>
      </c>
      <c r="P80" s="978">
        <v>2898.9766823372315</v>
      </c>
      <c r="Q80" s="978">
        <v>41915.940342212256</v>
      </c>
      <c r="R80" s="979">
        <v>0.71353207412300024</v>
      </c>
      <c r="S80" s="980">
        <v>463.92108378178574</v>
      </c>
      <c r="T80" s="978"/>
      <c r="U80" s="978">
        <v>1035.1022793273546</v>
      </c>
      <c r="V80" s="978">
        <v>239.66590223844136</v>
      </c>
      <c r="W80" s="978">
        <v>12052.023718992588</v>
      </c>
      <c r="X80" s="979">
        <v>0.71353207412300024</v>
      </c>
      <c r="Y80" s="981">
        <v>11</v>
      </c>
    </row>
    <row r="81" spans="1:25" ht="14.25">
      <c r="A81" s="809" t="s">
        <v>996</v>
      </c>
      <c r="B81" s="645" t="s">
        <v>1369</v>
      </c>
      <c r="C81" s="810" t="s">
        <v>633</v>
      </c>
      <c r="D81" s="610" t="s">
        <v>1370</v>
      </c>
      <c r="E81" s="975" t="s">
        <v>1626</v>
      </c>
      <c r="F81" s="976" t="s">
        <v>1627</v>
      </c>
      <c r="G81" t="b">
        <v>1</v>
      </c>
      <c r="H81" s="977"/>
      <c r="I81" s="978">
        <v>3564</v>
      </c>
      <c r="J81" s="978">
        <v>2133.1796119435817</v>
      </c>
      <c r="K81" s="978">
        <v>17119.317436599118</v>
      </c>
      <c r="L81" s="979">
        <v>0.71870001794958471</v>
      </c>
      <c r="M81" s="980">
        <v>138.42033246145598</v>
      </c>
      <c r="N81" s="978"/>
      <c r="O81" s="978">
        <v>3600</v>
      </c>
      <c r="P81" s="978">
        <v>2176.4917987384779</v>
      </c>
      <c r="Q81" s="978">
        <v>17292.239834948607</v>
      </c>
      <c r="R81" s="979">
        <v>0.71870001794958471</v>
      </c>
      <c r="S81" s="980">
        <v>142.65739989575999</v>
      </c>
      <c r="T81" s="978"/>
      <c r="U81" s="978">
        <v>2084.239843798131</v>
      </c>
      <c r="V81" s="978">
        <v>729.53716527293113</v>
      </c>
      <c r="W81" s="978">
        <v>10011.437570142527</v>
      </c>
      <c r="X81" s="979">
        <v>0.71870001794958471</v>
      </c>
      <c r="Y81" s="981">
        <v>27.7</v>
      </c>
    </row>
    <row r="82" spans="1:25" ht="14.25">
      <c r="A82" s="809" t="s">
        <v>997</v>
      </c>
      <c r="B82" s="645" t="s">
        <v>1371</v>
      </c>
      <c r="C82" s="810" t="s">
        <v>1172</v>
      </c>
      <c r="D82" s="610" t="s">
        <v>1181</v>
      </c>
      <c r="E82" s="975" t="s">
        <v>856</v>
      </c>
      <c r="F82" s="976" t="s">
        <v>1372</v>
      </c>
      <c r="G82" t="b">
        <v>1</v>
      </c>
      <c r="H82" s="977"/>
      <c r="I82" s="978">
        <v>3500</v>
      </c>
      <c r="J82" s="978">
        <v>2101.0893056485493</v>
      </c>
      <c r="K82" s="978">
        <v>8311.9489189972464</v>
      </c>
      <c r="L82" s="979">
        <v>0.53920771710208626</v>
      </c>
      <c r="M82" s="980">
        <v>88.231762201039786</v>
      </c>
      <c r="N82" s="978"/>
      <c r="O82" s="978">
        <v>3600</v>
      </c>
      <c r="P82" s="978">
        <v>2222.8667266289954</v>
      </c>
      <c r="Q82" s="978">
        <v>8549.4331738257388</v>
      </c>
      <c r="R82" s="979">
        <v>0.53920771710208626</v>
      </c>
      <c r="S82" s="980">
        <v>96.012620344063237</v>
      </c>
      <c r="T82" s="978"/>
      <c r="U82" s="978">
        <v>2046.8124167490064</v>
      </c>
      <c r="V82" s="978">
        <v>718.56243489573251</v>
      </c>
      <c r="W82" s="978">
        <v>4860.8572156534419</v>
      </c>
      <c r="X82" s="979">
        <v>0.53920771710208626</v>
      </c>
      <c r="Y82" s="981">
        <v>17.600000000000001</v>
      </c>
    </row>
    <row r="83" spans="1:25" ht="14.25">
      <c r="A83" s="809" t="s">
        <v>856</v>
      </c>
      <c r="B83" s="645" t="s">
        <v>1372</v>
      </c>
      <c r="C83" s="810" t="s">
        <v>634</v>
      </c>
      <c r="D83" s="610" t="s">
        <v>1373</v>
      </c>
      <c r="E83" s="975">
        <v>0</v>
      </c>
      <c r="F83" s="976">
        <v>0</v>
      </c>
      <c r="G83" t="b">
        <v>1</v>
      </c>
      <c r="H83" s="977"/>
      <c r="I83" s="978">
        <v>3576</v>
      </c>
      <c r="J83" s="978">
        <v>2285.5167186880808</v>
      </c>
      <c r="K83" s="978">
        <v>35273.453040601154</v>
      </c>
      <c r="L83" s="979">
        <v>0.66020076743673306</v>
      </c>
      <c r="M83" s="980">
        <v>332.65191549554504</v>
      </c>
      <c r="N83" s="978"/>
      <c r="O83" s="978">
        <v>3600</v>
      </c>
      <c r="P83" s="978">
        <v>2316.297742015307</v>
      </c>
      <c r="Q83" s="978">
        <v>35510.187624766266</v>
      </c>
      <c r="R83" s="979">
        <v>0.66020076743673306</v>
      </c>
      <c r="S83" s="980">
        <v>339.39465656739713</v>
      </c>
      <c r="T83" s="978"/>
      <c r="U83" s="978">
        <v>2091.2574863698419</v>
      </c>
      <c r="V83" s="978">
        <v>781.63572293681398</v>
      </c>
      <c r="W83" s="978">
        <v>20628.040475747268</v>
      </c>
      <c r="X83" s="979">
        <v>0.66020076743673306</v>
      </c>
      <c r="Y83" s="981">
        <v>66.5</v>
      </c>
    </row>
    <row r="84" spans="1:25" ht="14.25">
      <c r="A84" s="809" t="s">
        <v>998</v>
      </c>
      <c r="B84" s="645" t="s">
        <v>993</v>
      </c>
      <c r="C84" s="810" t="s">
        <v>635</v>
      </c>
      <c r="D84" s="610" t="s">
        <v>1374</v>
      </c>
      <c r="E84" s="975" t="s">
        <v>1628</v>
      </c>
      <c r="F84" s="976" t="s">
        <v>1629</v>
      </c>
      <c r="G84" t="b">
        <v>1</v>
      </c>
      <c r="H84" s="977"/>
      <c r="I84" s="978">
        <v>3528</v>
      </c>
      <c r="J84" s="978">
        <v>816.33313672311931</v>
      </c>
      <c r="K84" s="978">
        <v>7303.6246130026393</v>
      </c>
      <c r="L84" s="979">
        <v>0.85923178701244685</v>
      </c>
      <c r="M84" s="980">
        <v>18.902933591762128</v>
      </c>
      <c r="N84" s="978"/>
      <c r="O84" s="978">
        <v>3600</v>
      </c>
      <c r="P84" s="978">
        <v>849.9928537308615</v>
      </c>
      <c r="Q84" s="978">
        <v>7452.6781765333053</v>
      </c>
      <c r="R84" s="979">
        <v>0.85923178701244685</v>
      </c>
      <c r="S84" s="980">
        <v>20.084035554660609</v>
      </c>
      <c r="T84" s="978"/>
      <c r="U84" s="978">
        <v>2063.1869160829983</v>
      </c>
      <c r="V84" s="978">
        <v>279.18200565433466</v>
      </c>
      <c r="W84" s="978">
        <v>4271.1855843335588</v>
      </c>
      <c r="X84" s="979">
        <v>0.85923178701244685</v>
      </c>
      <c r="Y84" s="981">
        <v>3.8</v>
      </c>
    </row>
    <row r="85" spans="1:25" ht="14.25">
      <c r="A85" s="809" t="s">
        <v>857</v>
      </c>
      <c r="B85" s="811" t="s">
        <v>1375</v>
      </c>
      <c r="C85" s="810" t="s">
        <v>636</v>
      </c>
      <c r="D85" s="812" t="s">
        <v>1070</v>
      </c>
      <c r="E85" s="975" t="s">
        <v>857</v>
      </c>
      <c r="F85" s="976" t="s">
        <v>1375</v>
      </c>
      <c r="G85" t="b">
        <v>0</v>
      </c>
      <c r="H85" s="977"/>
      <c r="I85" s="978">
        <v>0</v>
      </c>
      <c r="J85" s="978">
        <v>0</v>
      </c>
      <c r="K85" s="978">
        <v>0</v>
      </c>
      <c r="L85" s="979">
        <v>0</v>
      </c>
      <c r="M85" s="980">
        <v>0</v>
      </c>
      <c r="N85" s="978"/>
      <c r="O85" s="978">
        <v>0</v>
      </c>
      <c r="P85" s="978">
        <v>0</v>
      </c>
      <c r="Q85" s="978">
        <v>0</v>
      </c>
      <c r="R85" s="979">
        <v>0</v>
      </c>
      <c r="S85" s="980">
        <v>0</v>
      </c>
      <c r="T85" s="978"/>
      <c r="U85" s="978">
        <v>0</v>
      </c>
      <c r="V85" s="978">
        <v>0</v>
      </c>
      <c r="W85" s="978">
        <v>0</v>
      </c>
      <c r="X85" s="979">
        <v>0</v>
      </c>
      <c r="Y85" s="981">
        <v>0</v>
      </c>
    </row>
    <row r="86" spans="1:25" ht="14.25">
      <c r="A86" s="809" t="s">
        <v>858</v>
      </c>
      <c r="B86" s="811" t="s">
        <v>1376</v>
      </c>
      <c r="C86" s="810" t="s">
        <v>637</v>
      </c>
      <c r="D86" s="812" t="s">
        <v>1071</v>
      </c>
      <c r="E86" s="975" t="s">
        <v>858</v>
      </c>
      <c r="F86" s="976" t="s">
        <v>1376</v>
      </c>
      <c r="G86" t="b">
        <v>0</v>
      </c>
      <c r="H86" s="977"/>
      <c r="I86" s="978">
        <v>0</v>
      </c>
      <c r="J86" s="978">
        <v>0</v>
      </c>
      <c r="K86" s="978">
        <v>0</v>
      </c>
      <c r="L86" s="979">
        <v>0</v>
      </c>
      <c r="M86" s="980">
        <v>0</v>
      </c>
      <c r="N86" s="978"/>
      <c r="O86" s="978">
        <v>0</v>
      </c>
      <c r="P86" s="978">
        <v>0</v>
      </c>
      <c r="Q86" s="978">
        <v>0</v>
      </c>
      <c r="R86" s="979">
        <v>0</v>
      </c>
      <c r="S86" s="980">
        <v>0</v>
      </c>
      <c r="T86" s="978"/>
      <c r="U86" s="978">
        <v>0</v>
      </c>
      <c r="V86" s="978">
        <v>0</v>
      </c>
      <c r="W86" s="978">
        <v>0</v>
      </c>
      <c r="X86" s="979">
        <v>0</v>
      </c>
      <c r="Y86" s="981">
        <v>0</v>
      </c>
    </row>
    <row r="87" spans="1:25" ht="14.25">
      <c r="A87" s="809" t="s">
        <v>859</v>
      </c>
      <c r="B87" s="811" t="s">
        <v>1377</v>
      </c>
      <c r="C87" s="810" t="s">
        <v>638</v>
      </c>
      <c r="D87" s="812" t="s">
        <v>1072</v>
      </c>
      <c r="E87" s="975" t="s">
        <v>859</v>
      </c>
      <c r="F87" s="976" t="s">
        <v>1377</v>
      </c>
      <c r="G87" t="b">
        <v>0</v>
      </c>
      <c r="H87" s="977"/>
      <c r="I87" s="978">
        <v>0</v>
      </c>
      <c r="J87" s="978">
        <v>0</v>
      </c>
      <c r="K87" s="978">
        <v>0</v>
      </c>
      <c r="L87" s="979">
        <v>0</v>
      </c>
      <c r="M87" s="980">
        <v>0</v>
      </c>
      <c r="N87" s="978"/>
      <c r="O87" s="978">
        <v>0</v>
      </c>
      <c r="P87" s="978">
        <v>0</v>
      </c>
      <c r="Q87" s="978">
        <v>0</v>
      </c>
      <c r="R87" s="979">
        <v>0</v>
      </c>
      <c r="S87" s="980">
        <v>0</v>
      </c>
      <c r="T87" s="978"/>
      <c r="U87" s="978">
        <v>0</v>
      </c>
      <c r="V87" s="978">
        <v>0</v>
      </c>
      <c r="W87" s="978">
        <v>0</v>
      </c>
      <c r="X87" s="979">
        <v>0</v>
      </c>
      <c r="Y87" s="981">
        <v>0</v>
      </c>
    </row>
    <row r="88" spans="1:25" ht="14.25">
      <c r="A88" s="809" t="s">
        <v>999</v>
      </c>
      <c r="B88" s="645" t="s">
        <v>1378</v>
      </c>
      <c r="C88" s="810" t="s">
        <v>639</v>
      </c>
      <c r="D88" s="610" t="s">
        <v>1379</v>
      </c>
      <c r="E88" s="975" t="s">
        <v>1630</v>
      </c>
      <c r="F88" s="976" t="s">
        <v>1631</v>
      </c>
      <c r="G88" t="b">
        <v>1</v>
      </c>
      <c r="H88" s="977"/>
      <c r="I88" s="978">
        <v>2940</v>
      </c>
      <c r="J88" s="978">
        <v>1325.0938015820229</v>
      </c>
      <c r="K88" s="978">
        <v>14158.783683771628</v>
      </c>
      <c r="L88" s="979">
        <v>0.78018976406556118</v>
      </c>
      <c r="M88" s="980">
        <v>65.50975806844535</v>
      </c>
      <c r="N88" s="978"/>
      <c r="O88" s="978">
        <v>3600</v>
      </c>
      <c r="P88" s="978">
        <v>1986.8128636798344</v>
      </c>
      <c r="Q88" s="978">
        <v>17337.286143393831</v>
      </c>
      <c r="R88" s="979">
        <v>0.78018976406556118</v>
      </c>
      <c r="S88" s="980">
        <v>120.27393129379929</v>
      </c>
      <c r="T88" s="978"/>
      <c r="U88" s="978">
        <v>1719.3224300691654</v>
      </c>
      <c r="V88" s="978">
        <v>453.17570555912869</v>
      </c>
      <c r="W88" s="978">
        <v>8280.1069285734302</v>
      </c>
      <c r="X88" s="979">
        <v>0.78018976406556118</v>
      </c>
      <c r="Y88" s="981">
        <v>13.1</v>
      </c>
    </row>
    <row r="89" spans="1:25" ht="14.25">
      <c r="A89" s="809" t="s">
        <v>1000</v>
      </c>
      <c r="B89" s="645" t="s">
        <v>1380</v>
      </c>
      <c r="C89" s="810" t="s">
        <v>640</v>
      </c>
      <c r="D89" s="610" t="s">
        <v>1182</v>
      </c>
      <c r="E89" s="975" t="s">
        <v>1632</v>
      </c>
      <c r="F89" s="976" t="s">
        <v>1633</v>
      </c>
      <c r="G89" t="b">
        <v>1</v>
      </c>
      <c r="H89" s="977"/>
      <c r="I89" s="978">
        <v>3500</v>
      </c>
      <c r="J89" s="978">
        <v>1917.5878848949365</v>
      </c>
      <c r="K89" s="978">
        <v>13687.426081748496</v>
      </c>
      <c r="L89" s="979">
        <v>0.67028355731813827</v>
      </c>
      <c r="M89" s="980">
        <v>106.6724261273453</v>
      </c>
      <c r="N89" s="978"/>
      <c r="O89" s="978">
        <v>3600</v>
      </c>
      <c r="P89" s="978">
        <v>2028.7297133255813</v>
      </c>
      <c r="Q89" s="978">
        <v>14078.49539836988</v>
      </c>
      <c r="R89" s="979">
        <v>0.67028355731813827</v>
      </c>
      <c r="S89" s="980">
        <v>116.07950351947338</v>
      </c>
      <c r="T89" s="978"/>
      <c r="U89" s="978">
        <v>2046.8124167490064</v>
      </c>
      <c r="V89" s="978">
        <v>655.80583176179687</v>
      </c>
      <c r="W89" s="978">
        <v>8004.455330702006</v>
      </c>
      <c r="X89" s="979">
        <v>0.67028355731813827</v>
      </c>
      <c r="Y89" s="981">
        <v>21.3</v>
      </c>
    </row>
    <row r="90" spans="1:25" ht="14.25">
      <c r="A90" s="809" t="s">
        <v>1001</v>
      </c>
      <c r="B90" s="645" t="s">
        <v>1381</v>
      </c>
      <c r="C90" s="810" t="s">
        <v>641</v>
      </c>
      <c r="D90" s="610" t="s">
        <v>1382</v>
      </c>
      <c r="E90" s="975" t="s">
        <v>1634</v>
      </c>
      <c r="F90" s="976" t="s">
        <v>1635</v>
      </c>
      <c r="G90" t="b">
        <v>1</v>
      </c>
      <c r="H90" s="977"/>
      <c r="I90" s="978">
        <v>2880</v>
      </c>
      <c r="J90" s="978">
        <v>294.17804629809291</v>
      </c>
      <c r="K90" s="978">
        <v>5374.8719967735969</v>
      </c>
      <c r="L90" s="979">
        <v>0.85582204282909291</v>
      </c>
      <c r="M90" s="980">
        <v>5.0330192531911111</v>
      </c>
      <c r="N90" s="978"/>
      <c r="O90" s="978">
        <v>3600</v>
      </c>
      <c r="P90" s="978">
        <v>459.65319734077019</v>
      </c>
      <c r="Q90" s="978">
        <v>6718.589995966996</v>
      </c>
      <c r="R90" s="979">
        <v>0.85582204282909291</v>
      </c>
      <c r="S90" s="980">
        <v>9.8301157288888881</v>
      </c>
      <c r="T90" s="978"/>
      <c r="U90" s="978">
        <v>1684.234217210611</v>
      </c>
      <c r="V90" s="978">
        <v>100.60747664201654</v>
      </c>
      <c r="W90" s="978">
        <v>3143.2442118379213</v>
      </c>
      <c r="X90" s="979">
        <v>0.85582204282909291</v>
      </c>
      <c r="Y90" s="981">
        <v>1</v>
      </c>
    </row>
    <row r="91" spans="1:25" ht="14.25">
      <c r="A91" s="809" t="s">
        <v>1002</v>
      </c>
      <c r="B91" s="645" t="s">
        <v>1383</v>
      </c>
      <c r="C91" s="810" t="s">
        <v>642</v>
      </c>
      <c r="D91" s="610" t="s">
        <v>1384</v>
      </c>
      <c r="E91" s="975" t="s">
        <v>1636</v>
      </c>
      <c r="F91" s="976" t="s">
        <v>1637</v>
      </c>
      <c r="G91" t="b">
        <v>1</v>
      </c>
      <c r="H91" s="977"/>
      <c r="I91" s="978">
        <v>2960</v>
      </c>
      <c r="J91" s="978">
        <v>578.65319383313863</v>
      </c>
      <c r="K91" s="978">
        <v>12915.276229926216</v>
      </c>
      <c r="L91" s="979">
        <v>0.88153148401388925</v>
      </c>
      <c r="M91" s="980">
        <v>23.094996485251404</v>
      </c>
      <c r="N91" s="978"/>
      <c r="O91" s="978">
        <v>3600</v>
      </c>
      <c r="P91" s="978">
        <v>855.93332177655634</v>
      </c>
      <c r="Q91" s="978">
        <v>15707.768387748101</v>
      </c>
      <c r="R91" s="979">
        <v>0.88153148401388925</v>
      </c>
      <c r="S91" s="980">
        <v>41.548014031124197</v>
      </c>
      <c r="T91" s="978"/>
      <c r="U91" s="978">
        <v>1731.0185010220168</v>
      </c>
      <c r="V91" s="978">
        <v>197.89660858446314</v>
      </c>
      <c r="W91" s="978">
        <v>7552.8993580446495</v>
      </c>
      <c r="X91" s="979">
        <v>0.88153148401388925</v>
      </c>
      <c r="Y91" s="981">
        <v>4.5999999999999996</v>
      </c>
    </row>
    <row r="92" spans="1:25" ht="14.25">
      <c r="A92" s="809" t="s">
        <v>1003</v>
      </c>
      <c r="B92" s="645" t="s">
        <v>1385</v>
      </c>
      <c r="C92" s="810" t="s">
        <v>643</v>
      </c>
      <c r="D92" s="610" t="s">
        <v>1183</v>
      </c>
      <c r="E92" s="975" t="s">
        <v>1638</v>
      </c>
      <c r="F92" s="976" t="s">
        <v>1639</v>
      </c>
      <c r="G92" t="b">
        <v>1</v>
      </c>
      <c r="H92" s="977"/>
      <c r="I92" s="978">
        <v>3000</v>
      </c>
      <c r="J92" s="978">
        <v>1003.8472893304934</v>
      </c>
      <c r="K92" s="978">
        <v>9277.1892456515034</v>
      </c>
      <c r="L92" s="979">
        <v>0.7232937236055057</v>
      </c>
      <c r="M92" s="980">
        <v>35.075433281189142</v>
      </c>
      <c r="N92" s="978"/>
      <c r="O92" s="978">
        <v>3600</v>
      </c>
      <c r="P92" s="978">
        <v>1445.5400966359105</v>
      </c>
      <c r="Q92" s="978">
        <v>11132.627094781803</v>
      </c>
      <c r="R92" s="979">
        <v>0.7232937236055057</v>
      </c>
      <c r="S92" s="980">
        <v>60.610348709894829</v>
      </c>
      <c r="T92" s="978"/>
      <c r="U92" s="978">
        <v>1754.4106429277199</v>
      </c>
      <c r="V92" s="978">
        <v>343.31094377834938</v>
      </c>
      <c r="W92" s="978">
        <v>5425.3331830085272</v>
      </c>
      <c r="X92" s="979">
        <v>0.7232937236055057</v>
      </c>
      <c r="Y92" s="981">
        <v>7</v>
      </c>
    </row>
    <row r="93" spans="1:25" ht="14.25">
      <c r="A93" s="809" t="s">
        <v>1004</v>
      </c>
      <c r="B93" s="645" t="s">
        <v>1386</v>
      </c>
      <c r="C93" s="810" t="s">
        <v>644</v>
      </c>
      <c r="D93" s="610" t="s">
        <v>1387</v>
      </c>
      <c r="E93" s="975" t="s">
        <v>1640</v>
      </c>
      <c r="F93" s="976" t="s">
        <v>1641</v>
      </c>
      <c r="G93" t="b">
        <v>1</v>
      </c>
      <c r="H93" s="977"/>
      <c r="I93" s="978">
        <v>2980</v>
      </c>
      <c r="J93" s="978">
        <v>2030.9720903260422</v>
      </c>
      <c r="K93" s="978">
        <v>21093.587228512348</v>
      </c>
      <c r="L93" s="979">
        <v>0.85123181945182624</v>
      </c>
      <c r="M93" s="980">
        <v>137.10087411573187</v>
      </c>
      <c r="N93" s="978"/>
      <c r="O93" s="978">
        <v>3600</v>
      </c>
      <c r="P93" s="978">
        <v>2963.9879161552981</v>
      </c>
      <c r="Q93" s="978">
        <v>25482.185913639078</v>
      </c>
      <c r="R93" s="979">
        <v>0.85123181945182624</v>
      </c>
      <c r="S93" s="980">
        <v>241.71240180636045</v>
      </c>
      <c r="T93" s="978"/>
      <c r="U93" s="978">
        <v>1742.7145719748682</v>
      </c>
      <c r="V93" s="978">
        <v>694.58268456584494</v>
      </c>
      <c r="W93" s="978">
        <v>12335.604643742096</v>
      </c>
      <c r="X93" s="979">
        <v>0.85123181945182624</v>
      </c>
      <c r="Y93" s="981">
        <v>27.4</v>
      </c>
    </row>
    <row r="94" spans="1:25" ht="14.25">
      <c r="A94" s="809" t="s">
        <v>1005</v>
      </c>
      <c r="B94" s="645" t="s">
        <v>1388</v>
      </c>
      <c r="C94" s="810" t="s">
        <v>1173</v>
      </c>
      <c r="D94" s="610" t="s">
        <v>1389</v>
      </c>
      <c r="E94" s="975">
        <v>0</v>
      </c>
      <c r="F94" s="976">
        <v>0</v>
      </c>
      <c r="G94" t="b">
        <v>1</v>
      </c>
      <c r="H94" s="977"/>
      <c r="I94" s="978">
        <v>2930</v>
      </c>
      <c r="J94" s="978">
        <v>272.54607776021118</v>
      </c>
      <c r="K94" s="978">
        <v>8535.6702628414187</v>
      </c>
      <c r="L94" s="979">
        <v>0.85180941310023417</v>
      </c>
      <c r="M94" s="980">
        <v>7.4399292503977819</v>
      </c>
      <c r="N94" s="978"/>
      <c r="O94" s="978">
        <v>3600</v>
      </c>
      <c r="P94" s="978">
        <v>411.4430182963502</v>
      </c>
      <c r="Q94" s="978">
        <v>10487.512950931436</v>
      </c>
      <c r="R94" s="979">
        <v>0.85180941310023417</v>
      </c>
      <c r="S94" s="980">
        <v>13.799820802377909</v>
      </c>
      <c r="T94" s="978"/>
      <c r="U94" s="978">
        <v>1713.4743945927396</v>
      </c>
      <c r="V94" s="978">
        <v>93.209447466207564</v>
      </c>
      <c r="W94" s="978">
        <v>4991.6902512168772</v>
      </c>
      <c r="X94" s="979">
        <v>0.85180941310023417</v>
      </c>
      <c r="Y94" s="981">
        <v>1.5</v>
      </c>
    </row>
    <row r="95" spans="1:25" ht="14.25">
      <c r="A95" s="809" t="s">
        <v>1006</v>
      </c>
      <c r="B95" s="645" t="s">
        <v>1390</v>
      </c>
      <c r="C95" s="810" t="s">
        <v>1174</v>
      </c>
      <c r="D95" s="610" t="s">
        <v>1012</v>
      </c>
      <c r="E95" s="975">
        <v>0</v>
      </c>
      <c r="F95" s="976">
        <v>0</v>
      </c>
      <c r="G95" t="b">
        <v>1</v>
      </c>
      <c r="H95" s="977"/>
      <c r="I95" s="978">
        <v>3550</v>
      </c>
      <c r="J95" s="978">
        <v>1830.5726634031976</v>
      </c>
      <c r="K95" s="978">
        <v>2609.9659378966444</v>
      </c>
      <c r="L95" s="979">
        <v>0.3247833593100366</v>
      </c>
      <c r="M95" s="980">
        <v>40.073909873365736</v>
      </c>
      <c r="N95" s="978"/>
      <c r="O95" s="978">
        <v>3600</v>
      </c>
      <c r="P95" s="978">
        <v>1882.5012273521475</v>
      </c>
      <c r="Q95" s="978">
        <v>2646.7260215289916</v>
      </c>
      <c r="R95" s="979">
        <v>0.3247833593100366</v>
      </c>
      <c r="S95" s="980">
        <v>41.791134422842589</v>
      </c>
      <c r="T95" s="978"/>
      <c r="U95" s="978">
        <v>2076.0525941311353</v>
      </c>
      <c r="V95" s="978">
        <v>626.0470446126734</v>
      </c>
      <c r="W95" s="978">
        <v>1526.3173397082339</v>
      </c>
      <c r="X95" s="979">
        <v>0.3247833593100366</v>
      </c>
      <c r="Y95" s="981">
        <v>8</v>
      </c>
    </row>
    <row r="96" spans="1:25" ht="14.25">
      <c r="A96" s="809" t="s">
        <v>1007</v>
      </c>
      <c r="B96" s="645" t="s">
        <v>1391</v>
      </c>
      <c r="C96" s="810" t="s">
        <v>1175</v>
      </c>
      <c r="D96" s="610" t="s">
        <v>1392</v>
      </c>
      <c r="E96" s="975">
        <v>0</v>
      </c>
      <c r="F96" s="976">
        <v>0</v>
      </c>
      <c r="G96" t="b">
        <v>1</v>
      </c>
      <c r="H96" s="977"/>
      <c r="I96" s="978">
        <v>3600</v>
      </c>
      <c r="J96" s="978">
        <v>1773.1037319505754</v>
      </c>
      <c r="K96" s="978">
        <v>12415.241523657898</v>
      </c>
      <c r="L96" s="979">
        <v>0.74420226962169511</v>
      </c>
      <c r="M96" s="980">
        <v>80.580879076440141</v>
      </c>
      <c r="N96" s="978"/>
      <c r="O96" s="978">
        <v>3600</v>
      </c>
      <c r="P96" s="978">
        <v>1773.1037319505754</v>
      </c>
      <c r="Q96" s="978">
        <v>12415.241523657898</v>
      </c>
      <c r="R96" s="979">
        <v>0.74420226962169511</v>
      </c>
      <c r="S96" s="980">
        <v>80.580879076440141</v>
      </c>
      <c r="T96" s="978"/>
      <c r="U96" s="978">
        <v>2105.2927715132637</v>
      </c>
      <c r="V96" s="978">
        <v>606.39294651963405</v>
      </c>
      <c r="W96" s="978">
        <v>7260.4772878745252</v>
      </c>
      <c r="X96" s="979">
        <v>0.74420226962169511</v>
      </c>
      <c r="Y96" s="981">
        <v>16.100000000000001</v>
      </c>
    </row>
    <row r="97" spans="1:25" ht="14.25">
      <c r="A97" s="809" t="s">
        <v>1184</v>
      </c>
      <c r="B97" s="645" t="s">
        <v>1393</v>
      </c>
      <c r="C97" s="810" t="s">
        <v>1191</v>
      </c>
      <c r="D97" s="610" t="s">
        <v>1185</v>
      </c>
      <c r="E97" s="975">
        <v>0</v>
      </c>
      <c r="F97" s="976">
        <v>0</v>
      </c>
      <c r="G97" t="b">
        <v>1</v>
      </c>
      <c r="H97" s="977"/>
      <c r="I97" s="978">
        <v>3500</v>
      </c>
      <c r="J97" s="978">
        <v>2304.65536890882</v>
      </c>
      <c r="K97" s="978">
        <v>8425.6957957225168</v>
      </c>
      <c r="L97" s="979">
        <v>0.75083325231230091</v>
      </c>
      <c r="M97" s="980">
        <v>70.453397831474277</v>
      </c>
      <c r="N97" s="978"/>
      <c r="O97" s="978">
        <v>3600</v>
      </c>
      <c r="P97" s="978">
        <v>2438.2313127394532</v>
      </c>
      <c r="Q97" s="978">
        <v>8666.4299613145886</v>
      </c>
      <c r="R97" s="979">
        <v>0.75083325231230091</v>
      </c>
      <c r="S97" s="980">
        <v>76.666442664146075</v>
      </c>
      <c r="T97" s="978"/>
      <c r="U97" s="978">
        <v>2046.8124167490064</v>
      </c>
      <c r="V97" s="978">
        <v>788.18104924267845</v>
      </c>
      <c r="W97" s="978">
        <v>4927.3767926956425</v>
      </c>
      <c r="X97" s="979">
        <v>0.75083325231230091</v>
      </c>
      <c r="Y97" s="981">
        <v>14.1</v>
      </c>
    </row>
    <row r="98" spans="1:25" ht="14.25">
      <c r="A98" s="809" t="s">
        <v>1009</v>
      </c>
      <c r="B98" s="645" t="s">
        <v>1394</v>
      </c>
      <c r="C98" s="810">
        <v>0</v>
      </c>
      <c r="D98" s="610">
        <v>0</v>
      </c>
      <c r="E98" s="975">
        <v>0</v>
      </c>
      <c r="F98" s="976">
        <v>0</v>
      </c>
      <c r="G98" t="b">
        <v>0</v>
      </c>
      <c r="H98" s="977"/>
      <c r="I98" s="978">
        <v>0</v>
      </c>
      <c r="J98" s="978">
        <v>0</v>
      </c>
      <c r="K98" s="978">
        <v>0</v>
      </c>
      <c r="L98" s="979">
        <v>0</v>
      </c>
      <c r="M98" s="980">
        <v>0</v>
      </c>
      <c r="N98" s="978"/>
      <c r="O98" s="978">
        <v>0</v>
      </c>
      <c r="P98" s="978">
        <v>0</v>
      </c>
      <c r="Q98" s="978">
        <v>0</v>
      </c>
      <c r="R98" s="979">
        <v>0</v>
      </c>
      <c r="S98" s="980">
        <v>0</v>
      </c>
      <c r="T98" s="978"/>
      <c r="U98" s="978">
        <v>0</v>
      </c>
      <c r="V98" s="978">
        <v>0</v>
      </c>
      <c r="W98" s="978">
        <v>0</v>
      </c>
      <c r="X98" s="979">
        <v>0</v>
      </c>
      <c r="Y98" s="981">
        <v>0</v>
      </c>
    </row>
    <row r="99" spans="1:25" ht="14.25">
      <c r="A99" s="809" t="s">
        <v>1010</v>
      </c>
      <c r="B99" s="645" t="s">
        <v>1395</v>
      </c>
      <c r="C99" s="810" t="s">
        <v>1177</v>
      </c>
      <c r="D99" s="610" t="s">
        <v>1396</v>
      </c>
      <c r="E99" s="975">
        <v>0</v>
      </c>
      <c r="F99" s="976">
        <v>0</v>
      </c>
      <c r="G99" t="b">
        <v>1</v>
      </c>
      <c r="H99" s="977"/>
      <c r="I99" s="978">
        <v>1788</v>
      </c>
      <c r="J99" s="978">
        <v>620.14343891537931</v>
      </c>
      <c r="K99" s="978">
        <v>127161.64131463828</v>
      </c>
      <c r="L99" s="979">
        <v>0.92688070237706166</v>
      </c>
      <c r="M99" s="980">
        <v>231.77047582543494</v>
      </c>
      <c r="N99" s="978"/>
      <c r="O99" s="978">
        <v>2406.3804628874009</v>
      </c>
      <c r="P99" s="978">
        <v>1123.2740094687633</v>
      </c>
      <c r="Q99" s="978">
        <v>171140.54210751731</v>
      </c>
      <c r="R99" s="979">
        <v>0.92688070237706166</v>
      </c>
      <c r="S99" s="980">
        <v>565</v>
      </c>
      <c r="T99" s="978"/>
      <c r="U99" s="978">
        <v>1045.6287431849209</v>
      </c>
      <c r="V99" s="978">
        <v>212.08607280693366</v>
      </c>
      <c r="W99" s="978">
        <v>74364.578964852888</v>
      </c>
      <c r="X99" s="979">
        <v>0.92688070237706166</v>
      </c>
      <c r="Y99" s="981">
        <v>46.4</v>
      </c>
    </row>
    <row r="100" spans="1:25" ht="14.25">
      <c r="A100" s="809" t="s">
        <v>1011</v>
      </c>
      <c r="B100" s="645" t="s">
        <v>1397</v>
      </c>
      <c r="C100" s="810" t="s">
        <v>1178</v>
      </c>
      <c r="D100" s="610" t="s">
        <v>1398</v>
      </c>
      <c r="E100" s="975">
        <v>0</v>
      </c>
      <c r="F100" s="976">
        <v>0</v>
      </c>
      <c r="G100" t="b">
        <v>1</v>
      </c>
      <c r="H100" s="977"/>
      <c r="I100" s="978">
        <v>1492</v>
      </c>
      <c r="J100" s="978">
        <v>442.53646360694154</v>
      </c>
      <c r="K100" s="978">
        <v>223535.96819433427</v>
      </c>
      <c r="L100" s="979">
        <v>0.76674939390602292</v>
      </c>
      <c r="M100" s="980">
        <v>351.4606498385844</v>
      </c>
      <c r="N100" s="978"/>
      <c r="O100" s="978">
        <v>1747.8040305033451</v>
      </c>
      <c r="P100" s="978">
        <v>607.29105983411091</v>
      </c>
      <c r="Q100" s="978">
        <v>261861.30440517762</v>
      </c>
      <c r="R100" s="979">
        <v>0.76674939390602292</v>
      </c>
      <c r="S100" s="980">
        <v>564.99999999999989</v>
      </c>
      <c r="T100" s="978"/>
      <c r="U100" s="978">
        <v>872.52689308271931</v>
      </c>
      <c r="V100" s="978">
        <v>151.34534165904753</v>
      </c>
      <c r="W100" s="978">
        <v>130724.62722576411</v>
      </c>
      <c r="X100" s="979">
        <v>0.76674939390602292</v>
      </c>
      <c r="Y100" s="981">
        <v>70.3</v>
      </c>
    </row>
    <row r="101" spans="1:25" ht="14.25">
      <c r="A101" s="809" t="s">
        <v>1162</v>
      </c>
      <c r="B101" s="645" t="s">
        <v>1399</v>
      </c>
      <c r="C101" s="810" t="s">
        <v>1179</v>
      </c>
      <c r="D101" s="610" t="s">
        <v>1400</v>
      </c>
      <c r="E101" s="975">
        <v>0</v>
      </c>
      <c r="F101" s="976">
        <v>0</v>
      </c>
      <c r="G101" t="b">
        <v>1</v>
      </c>
      <c r="H101" s="977"/>
      <c r="I101" s="978">
        <v>1490</v>
      </c>
      <c r="J101" s="978">
        <v>493.17546280711042</v>
      </c>
      <c r="K101" s="978">
        <v>166500.61475551961</v>
      </c>
      <c r="L101" s="979">
        <v>0.75765796907997862</v>
      </c>
      <c r="M101" s="980">
        <v>295.2417569952496</v>
      </c>
      <c r="N101" s="978"/>
      <c r="O101" s="978">
        <v>1849.8782973066063</v>
      </c>
      <c r="P101" s="978">
        <v>760.17789823346288</v>
      </c>
      <c r="Q101" s="978">
        <v>206715.35149291533</v>
      </c>
      <c r="R101" s="979">
        <v>0.75765796907997862</v>
      </c>
      <c r="S101" s="980">
        <v>565.00000000000023</v>
      </c>
      <c r="T101" s="978"/>
      <c r="U101" s="978">
        <v>871.35728598743412</v>
      </c>
      <c r="V101" s="978">
        <v>168.66363577826138</v>
      </c>
      <c r="W101" s="978">
        <v>97370.150193697249</v>
      </c>
      <c r="X101" s="979">
        <v>0.75765796907997862</v>
      </c>
      <c r="Y101" s="981">
        <v>59</v>
      </c>
    </row>
    <row r="102" spans="1:25" ht="14.25">
      <c r="A102" s="809" t="s">
        <v>1186</v>
      </c>
      <c r="B102" s="645" t="s">
        <v>1401</v>
      </c>
      <c r="C102" s="810" t="s">
        <v>1192</v>
      </c>
      <c r="D102" s="610" t="s">
        <v>1187</v>
      </c>
      <c r="E102" s="975">
        <v>0</v>
      </c>
      <c r="F102" s="976">
        <v>0</v>
      </c>
      <c r="G102" t="b">
        <v>1</v>
      </c>
      <c r="H102" s="977"/>
      <c r="I102" s="978">
        <v>2000</v>
      </c>
      <c r="J102" s="978">
        <v>343.83798743284666</v>
      </c>
      <c r="K102" s="978">
        <v>2118.2036780686772</v>
      </c>
      <c r="L102" s="979">
        <v>0.55775579040544776</v>
      </c>
      <c r="M102" s="980">
        <v>3.55722356628277</v>
      </c>
      <c r="N102" s="978"/>
      <c r="O102" s="978">
        <v>3600</v>
      </c>
      <c r="P102" s="978">
        <v>1114.0350792824233</v>
      </c>
      <c r="Q102" s="978">
        <v>3812.7666205236192</v>
      </c>
      <c r="R102" s="979">
        <v>0.55775579040544776</v>
      </c>
      <c r="S102" s="980">
        <v>20.745727838561123</v>
      </c>
      <c r="T102" s="978"/>
      <c r="U102" s="978">
        <v>1169.6070952851464</v>
      </c>
      <c r="V102" s="978">
        <v>117.59093761277842</v>
      </c>
      <c r="W102" s="978">
        <v>1238.7330255641093</v>
      </c>
      <c r="X102" s="979">
        <v>0.55775579040544776</v>
      </c>
      <c r="Y102" s="981">
        <v>0.7</v>
      </c>
    </row>
    <row r="103" spans="1:25" ht="14.25">
      <c r="A103" s="809" t="s">
        <v>1193</v>
      </c>
      <c r="B103" s="645" t="s">
        <v>1402</v>
      </c>
      <c r="C103" s="810" t="s">
        <v>1195</v>
      </c>
      <c r="D103" s="610" t="s">
        <v>1403</v>
      </c>
      <c r="E103" s="975">
        <v>0</v>
      </c>
      <c r="F103" s="976">
        <v>0</v>
      </c>
      <c r="G103" t="b">
        <v>1</v>
      </c>
      <c r="H103" s="977"/>
      <c r="I103" s="978">
        <v>2960</v>
      </c>
      <c r="J103" s="978">
        <v>1205.5928907689158</v>
      </c>
      <c r="K103" s="978">
        <v>5572.5590599342131</v>
      </c>
      <c r="L103" s="979">
        <v>0.56201056003080641</v>
      </c>
      <c r="M103" s="980">
        <v>32.564510691137343</v>
      </c>
      <c r="N103" s="978"/>
      <c r="O103" s="978">
        <v>3600</v>
      </c>
      <c r="P103" s="978">
        <v>1783.2911642126037</v>
      </c>
      <c r="Q103" s="978">
        <v>6777.4366945145839</v>
      </c>
      <c r="R103" s="979">
        <v>0.56201056003080641</v>
      </c>
      <c r="S103" s="980">
        <v>58.583717385542613</v>
      </c>
      <c r="T103" s="978"/>
      <c r="U103" s="978">
        <v>1731.0185010220168</v>
      </c>
      <c r="V103" s="978">
        <v>412.30696893985458</v>
      </c>
      <c r="W103" s="978">
        <v>3258.8523076972911</v>
      </c>
      <c r="X103" s="979">
        <v>0.56201056003080641</v>
      </c>
      <c r="Y103" s="981">
        <v>6.5</v>
      </c>
    </row>
    <row r="104" spans="1:25" ht="14.25">
      <c r="A104" s="809" t="s">
        <v>1194</v>
      </c>
      <c r="B104" s="645" t="s">
        <v>1404</v>
      </c>
      <c r="C104" s="810" t="s">
        <v>1195</v>
      </c>
      <c r="D104" s="610" t="s">
        <v>1403</v>
      </c>
      <c r="E104" s="975">
        <v>0</v>
      </c>
      <c r="F104" s="976">
        <v>0</v>
      </c>
      <c r="G104" t="b">
        <v>1</v>
      </c>
      <c r="H104" s="977"/>
      <c r="I104" s="978">
        <v>3600</v>
      </c>
      <c r="J104" s="978">
        <v>1497.4126247657427</v>
      </c>
      <c r="K104" s="978">
        <v>60699.702631136621</v>
      </c>
      <c r="L104" s="979">
        <v>0.88524707482465714</v>
      </c>
      <c r="M104" s="980">
        <v>279.70306666137981</v>
      </c>
      <c r="N104" s="978"/>
      <c r="O104" s="978">
        <v>3600</v>
      </c>
      <c r="P104" s="978">
        <v>1497.4126247657427</v>
      </c>
      <c r="Q104" s="978">
        <v>60699.702631136621</v>
      </c>
      <c r="R104" s="979">
        <v>0.88524707482465714</v>
      </c>
      <c r="S104" s="980">
        <v>279.70306666137981</v>
      </c>
      <c r="T104" s="978"/>
      <c r="U104" s="978">
        <v>2105.2927715132637</v>
      </c>
      <c r="V104" s="978">
        <v>512.10791411988782</v>
      </c>
      <c r="W104" s="978">
        <v>35497.401439537934</v>
      </c>
      <c r="X104" s="979">
        <v>0.88524707482465714</v>
      </c>
      <c r="Y104" s="981">
        <v>55.9</v>
      </c>
    </row>
    <row r="105" spans="1:25" ht="14.25">
      <c r="A105" s="813" t="s">
        <v>1197</v>
      </c>
      <c r="B105" s="645" t="s">
        <v>1405</v>
      </c>
      <c r="C105" s="810" t="s">
        <v>1195</v>
      </c>
      <c r="D105" s="610" t="s">
        <v>1403</v>
      </c>
      <c r="E105" s="975">
        <v>0</v>
      </c>
      <c r="F105" s="976">
        <v>0</v>
      </c>
      <c r="G105" t="b">
        <v>1</v>
      </c>
      <c r="H105" s="977"/>
      <c r="I105" s="978">
        <v>2950</v>
      </c>
      <c r="J105" s="978">
        <v>445.21196872027565</v>
      </c>
      <c r="K105" s="978">
        <v>13739.028400565046</v>
      </c>
      <c r="L105" s="979">
        <v>0.841362912126419</v>
      </c>
      <c r="M105" s="980">
        <v>19.804923206304498</v>
      </c>
      <c r="N105" s="978"/>
      <c r="O105" s="978">
        <v>3600</v>
      </c>
      <c r="P105" s="978">
        <v>663.02178852223767</v>
      </c>
      <c r="Q105" s="978">
        <v>16766.27194645226</v>
      </c>
      <c r="R105" s="979">
        <v>0.841362912126419</v>
      </c>
      <c r="S105" s="980">
        <v>35.992715793273618</v>
      </c>
      <c r="T105" s="978"/>
      <c r="U105" s="978">
        <v>1725.1704655455912</v>
      </c>
      <c r="V105" s="978">
        <v>152.2603515368499</v>
      </c>
      <c r="W105" s="978">
        <v>8034.6325498125079</v>
      </c>
      <c r="X105" s="979">
        <v>0.841362912126419</v>
      </c>
      <c r="Y105" s="981">
        <v>4</v>
      </c>
    </row>
    <row r="106" spans="1:25" ht="14.25">
      <c r="A106" s="807" t="s">
        <v>860</v>
      </c>
      <c r="B106" s="645" t="s">
        <v>1406</v>
      </c>
      <c r="C106" s="808" t="s">
        <v>453</v>
      </c>
      <c r="D106" s="610" t="s">
        <v>1407</v>
      </c>
      <c r="E106" s="975" t="s">
        <v>860</v>
      </c>
      <c r="F106" s="976" t="s">
        <v>1406</v>
      </c>
      <c r="G106" t="b">
        <v>1</v>
      </c>
      <c r="H106" s="977"/>
      <c r="I106" s="978">
        <v>3000</v>
      </c>
      <c r="J106" s="978">
        <v>142</v>
      </c>
      <c r="K106" s="978">
        <v>300</v>
      </c>
      <c r="L106" s="979">
        <v>0.33642135922330102</v>
      </c>
      <c r="M106" s="980">
        <v>0.34495283018867917</v>
      </c>
      <c r="N106" s="978"/>
      <c r="O106" s="978">
        <v>3600</v>
      </c>
      <c r="P106" s="978">
        <v>204.48</v>
      </c>
      <c r="Q106" s="978">
        <v>360</v>
      </c>
      <c r="R106" s="979">
        <v>0.33642135922330102</v>
      </c>
      <c r="S106" s="980">
        <v>0.59607849056603779</v>
      </c>
      <c r="T106" s="978"/>
      <c r="U106" s="978">
        <v>1754.4106429277199</v>
      </c>
      <c r="V106" s="978">
        <v>48.5633168856182</v>
      </c>
      <c r="W106" s="978">
        <v>175.44106429277198</v>
      </c>
      <c r="X106" s="979">
        <v>0.33642135922330102</v>
      </c>
      <c r="Y106" s="981">
        <v>0.1</v>
      </c>
    </row>
    <row r="107" spans="1:25" ht="14.25">
      <c r="A107" s="807" t="s">
        <v>861</v>
      </c>
      <c r="B107" s="645" t="s">
        <v>1408</v>
      </c>
      <c r="C107" s="808" t="s">
        <v>454</v>
      </c>
      <c r="D107" s="610" t="s">
        <v>1409</v>
      </c>
      <c r="E107" s="975" t="s">
        <v>861</v>
      </c>
      <c r="F107" s="976" t="s">
        <v>1408</v>
      </c>
      <c r="G107" t="b">
        <v>1</v>
      </c>
      <c r="H107" s="977"/>
      <c r="I107" s="978">
        <v>3000</v>
      </c>
      <c r="J107" s="978">
        <v>215</v>
      </c>
      <c r="K107" s="978">
        <v>500</v>
      </c>
      <c r="L107" s="979">
        <v>0.33642135922330102</v>
      </c>
      <c r="M107" s="980">
        <v>0.8704795597484275</v>
      </c>
      <c r="N107" s="978"/>
      <c r="O107" s="978">
        <v>3600</v>
      </c>
      <c r="P107" s="978">
        <v>309.59999999999997</v>
      </c>
      <c r="Q107" s="978">
        <v>600</v>
      </c>
      <c r="R107" s="979">
        <v>0.33642135922330102</v>
      </c>
      <c r="S107" s="980">
        <v>1.5041886792452825</v>
      </c>
      <c r="T107" s="978"/>
      <c r="U107" s="978">
        <v>1754.4106429277199</v>
      </c>
      <c r="V107" s="978">
        <v>73.528965707097981</v>
      </c>
      <c r="W107" s="978">
        <v>292.40177382128661</v>
      </c>
      <c r="X107" s="979">
        <v>0.33642135922330102</v>
      </c>
      <c r="Y107" s="981">
        <v>0.2</v>
      </c>
    </row>
    <row r="108" spans="1:25" ht="14.25">
      <c r="A108" s="807" t="s">
        <v>862</v>
      </c>
      <c r="B108" s="645" t="s">
        <v>1410</v>
      </c>
      <c r="C108" s="808" t="s">
        <v>455</v>
      </c>
      <c r="D108" s="610" t="s">
        <v>1411</v>
      </c>
      <c r="E108" s="975" t="s">
        <v>862</v>
      </c>
      <c r="F108" s="976" t="s">
        <v>1410</v>
      </c>
      <c r="G108" t="b">
        <v>1</v>
      </c>
      <c r="H108" s="977"/>
      <c r="I108" s="978">
        <v>3000</v>
      </c>
      <c r="J108" s="978">
        <v>212</v>
      </c>
      <c r="K108" s="978">
        <v>600</v>
      </c>
      <c r="L108" s="979">
        <v>0.33642135922330102</v>
      </c>
      <c r="M108" s="980">
        <v>1.03</v>
      </c>
      <c r="N108" s="978"/>
      <c r="O108" s="978">
        <v>3600</v>
      </c>
      <c r="P108" s="978">
        <v>305.27999999999997</v>
      </c>
      <c r="Q108" s="978">
        <v>720</v>
      </c>
      <c r="R108" s="979">
        <v>0.33642135922330102</v>
      </c>
      <c r="S108" s="980">
        <v>1.7798399999999996</v>
      </c>
      <c r="T108" s="978"/>
      <c r="U108" s="978">
        <v>1754.4106429277199</v>
      </c>
      <c r="V108" s="978">
        <v>72.50298013909196</v>
      </c>
      <c r="W108" s="978">
        <v>350.88212858554397</v>
      </c>
      <c r="X108" s="979">
        <v>0.33642135922330102</v>
      </c>
      <c r="Y108" s="981">
        <v>0.2</v>
      </c>
    </row>
    <row r="109" spans="1:25" ht="14.25">
      <c r="A109" s="807" t="s">
        <v>863</v>
      </c>
      <c r="B109" s="645" t="s">
        <v>1412</v>
      </c>
      <c r="C109" s="808" t="s">
        <v>456</v>
      </c>
      <c r="D109" s="610" t="s">
        <v>1413</v>
      </c>
      <c r="E109" s="975" t="s">
        <v>863</v>
      </c>
      <c r="F109" s="976" t="s">
        <v>1412</v>
      </c>
      <c r="G109" t="b">
        <v>1</v>
      </c>
      <c r="H109" s="977"/>
      <c r="I109" s="978">
        <v>3000</v>
      </c>
      <c r="J109" s="978">
        <v>175</v>
      </c>
      <c r="K109" s="978">
        <v>975</v>
      </c>
      <c r="L109" s="979">
        <v>0.41500976562500003</v>
      </c>
      <c r="M109" s="980">
        <v>1.1200000000000001</v>
      </c>
      <c r="N109" s="978"/>
      <c r="O109" s="978">
        <v>3600</v>
      </c>
      <c r="P109" s="978">
        <v>252</v>
      </c>
      <c r="Q109" s="978">
        <v>1170</v>
      </c>
      <c r="R109" s="979">
        <v>0.41500976562500003</v>
      </c>
      <c r="S109" s="980">
        <v>1.9353599999999997</v>
      </c>
      <c r="T109" s="978"/>
      <c r="U109" s="978">
        <v>1754.4106429277199</v>
      </c>
      <c r="V109" s="978">
        <v>59.849158133684405</v>
      </c>
      <c r="W109" s="978">
        <v>570.1834589515089</v>
      </c>
      <c r="X109" s="979">
        <v>0.41500976562500003</v>
      </c>
      <c r="Y109" s="981">
        <v>0.2</v>
      </c>
    </row>
    <row r="110" spans="1:25" ht="14.25">
      <c r="A110" s="807" t="s">
        <v>864</v>
      </c>
      <c r="B110" s="645" t="s">
        <v>1414</v>
      </c>
      <c r="C110" s="808" t="s">
        <v>457</v>
      </c>
      <c r="D110" s="610" t="s">
        <v>1415</v>
      </c>
      <c r="E110" s="975" t="s">
        <v>864</v>
      </c>
      <c r="F110" s="976" t="s">
        <v>1414</v>
      </c>
      <c r="G110" t="b">
        <v>1</v>
      </c>
      <c r="H110" s="977"/>
      <c r="I110" s="978">
        <v>3000</v>
      </c>
      <c r="J110" s="978">
        <v>280</v>
      </c>
      <c r="K110" s="978">
        <v>600</v>
      </c>
      <c r="L110" s="979">
        <v>0.41500976562500003</v>
      </c>
      <c r="M110" s="980">
        <v>1.1027692307692307</v>
      </c>
      <c r="N110" s="978"/>
      <c r="O110" s="978">
        <v>3600</v>
      </c>
      <c r="P110" s="978">
        <v>403.2</v>
      </c>
      <c r="Q110" s="978">
        <v>720</v>
      </c>
      <c r="R110" s="979">
        <v>0.41500976562500003</v>
      </c>
      <c r="S110" s="980">
        <v>1.9055852307692305</v>
      </c>
      <c r="T110" s="978"/>
      <c r="U110" s="978">
        <v>1754.4106429277199</v>
      </c>
      <c r="V110" s="978">
        <v>95.758653013895042</v>
      </c>
      <c r="W110" s="978">
        <v>350.88212858554397</v>
      </c>
      <c r="X110" s="979">
        <v>0.41500976562500003</v>
      </c>
      <c r="Y110" s="981">
        <v>0.2</v>
      </c>
    </row>
    <row r="111" spans="1:25" ht="14.25">
      <c r="A111" s="807" t="s">
        <v>865</v>
      </c>
      <c r="B111" s="645" t="s">
        <v>1416</v>
      </c>
      <c r="C111" s="808" t="s">
        <v>458</v>
      </c>
      <c r="D111" s="610" t="s">
        <v>1417</v>
      </c>
      <c r="E111" s="975" t="s">
        <v>865</v>
      </c>
      <c r="F111" s="976" t="s">
        <v>1416</v>
      </c>
      <c r="G111" t="b">
        <v>1</v>
      </c>
      <c r="H111" s="977"/>
      <c r="I111" s="978">
        <v>3000</v>
      </c>
      <c r="J111" s="978">
        <v>260</v>
      </c>
      <c r="K111" s="978">
        <v>1820</v>
      </c>
      <c r="L111" s="979">
        <v>0.47743543209876499</v>
      </c>
      <c r="M111" s="980">
        <v>2.7000000000000028</v>
      </c>
      <c r="N111" s="978"/>
      <c r="O111" s="978">
        <v>3600</v>
      </c>
      <c r="P111" s="978">
        <v>374.4</v>
      </c>
      <c r="Q111" s="978">
        <v>2184</v>
      </c>
      <c r="R111" s="979">
        <v>0.47743543209876499</v>
      </c>
      <c r="S111" s="980">
        <v>4.665600000000004</v>
      </c>
      <c r="T111" s="978"/>
      <c r="U111" s="978">
        <v>1754.4106429277199</v>
      </c>
      <c r="V111" s="978">
        <v>88.918749227188258</v>
      </c>
      <c r="W111" s="978">
        <v>1064.3424567094833</v>
      </c>
      <c r="X111" s="979">
        <v>0.47743543209876499</v>
      </c>
      <c r="Y111" s="981">
        <v>0.5</v>
      </c>
    </row>
    <row r="112" spans="1:25" ht="14.25">
      <c r="A112" s="807" t="s">
        <v>866</v>
      </c>
      <c r="B112" s="645" t="s">
        <v>1418</v>
      </c>
      <c r="C112" s="808" t="s">
        <v>459</v>
      </c>
      <c r="D112" s="610" t="s">
        <v>1419</v>
      </c>
      <c r="E112" s="975" t="s">
        <v>866</v>
      </c>
      <c r="F112" s="976" t="s">
        <v>1418</v>
      </c>
      <c r="G112" t="b">
        <v>1</v>
      </c>
      <c r="H112" s="977"/>
      <c r="I112" s="978">
        <v>3000</v>
      </c>
      <c r="J112" s="978">
        <v>220</v>
      </c>
      <c r="K112" s="978">
        <v>3250</v>
      </c>
      <c r="L112" s="979">
        <v>0.55650833333333305</v>
      </c>
      <c r="M112" s="980">
        <v>3.5000000000000022</v>
      </c>
      <c r="N112" s="978"/>
      <c r="O112" s="978">
        <v>3600</v>
      </c>
      <c r="P112" s="978">
        <v>316.8</v>
      </c>
      <c r="Q112" s="978">
        <v>3900</v>
      </c>
      <c r="R112" s="979">
        <v>0.55650833333333305</v>
      </c>
      <c r="S112" s="980">
        <v>6.0480000000000027</v>
      </c>
      <c r="T112" s="978"/>
      <c r="U112" s="978">
        <v>1754.4106429277199</v>
      </c>
      <c r="V112" s="978">
        <v>75.238941653774674</v>
      </c>
      <c r="W112" s="978">
        <v>1900.6115298383631</v>
      </c>
      <c r="X112" s="979">
        <v>0.55650833333333305</v>
      </c>
      <c r="Y112" s="981">
        <v>0.7</v>
      </c>
    </row>
    <row r="113" spans="1:25" ht="14.25">
      <c r="A113" s="807" t="s">
        <v>867</v>
      </c>
      <c r="B113" s="645" t="s">
        <v>1420</v>
      </c>
      <c r="C113" s="808" t="s">
        <v>460</v>
      </c>
      <c r="D113" s="610" t="s">
        <v>1421</v>
      </c>
      <c r="E113" s="975" t="s">
        <v>867</v>
      </c>
      <c r="F113" s="976" t="s">
        <v>1420</v>
      </c>
      <c r="G113" t="b">
        <v>1</v>
      </c>
      <c r="H113" s="977"/>
      <c r="I113" s="978">
        <v>3000</v>
      </c>
      <c r="J113" s="978">
        <v>240</v>
      </c>
      <c r="K113" s="978">
        <v>4167</v>
      </c>
      <c r="L113" s="979">
        <v>0.50639118959107798</v>
      </c>
      <c r="M113" s="980">
        <v>5.3800000000000008</v>
      </c>
      <c r="N113" s="978"/>
      <c r="O113" s="978">
        <v>3600</v>
      </c>
      <c r="P113" s="978">
        <v>345.59999999999997</v>
      </c>
      <c r="Q113" s="978">
        <v>5000.3999999999996</v>
      </c>
      <c r="R113" s="979">
        <v>0.50639118959107798</v>
      </c>
      <c r="S113" s="980">
        <v>9.29664</v>
      </c>
      <c r="T113" s="978"/>
      <c r="U113" s="978">
        <v>1754.4106429277199</v>
      </c>
      <c r="V113" s="978">
        <v>82.078845440481473</v>
      </c>
      <c r="W113" s="978">
        <v>2436.876383026603</v>
      </c>
      <c r="X113" s="979">
        <v>0.50639118959107798</v>
      </c>
      <c r="Y113" s="981">
        <v>1.1000000000000001</v>
      </c>
    </row>
    <row r="114" spans="1:25" ht="14.25">
      <c r="A114" s="807" t="s">
        <v>868</v>
      </c>
      <c r="B114" s="645" t="s">
        <v>1422</v>
      </c>
      <c r="C114" s="808" t="s">
        <v>461</v>
      </c>
      <c r="D114" s="610" t="s">
        <v>1423</v>
      </c>
      <c r="E114" s="975" t="s">
        <v>868</v>
      </c>
      <c r="F114" s="976" t="s">
        <v>1422</v>
      </c>
      <c r="G114" t="b">
        <v>1</v>
      </c>
      <c r="H114" s="977"/>
      <c r="I114" s="978">
        <v>3000</v>
      </c>
      <c r="J114" s="978">
        <v>383.625</v>
      </c>
      <c r="K114" s="978">
        <v>4218.7467333320701</v>
      </c>
      <c r="L114" s="979">
        <v>0.55110460866803002</v>
      </c>
      <c r="M114" s="980">
        <v>8.0000000000000053</v>
      </c>
      <c r="N114" s="978"/>
      <c r="O114" s="978">
        <v>3600</v>
      </c>
      <c r="P114" s="978">
        <v>552.41999999999996</v>
      </c>
      <c r="Q114" s="978">
        <v>5062.4960799984838</v>
      </c>
      <c r="R114" s="979">
        <v>0.55110460866803002</v>
      </c>
      <c r="S114" s="980">
        <v>13.824000000000005</v>
      </c>
      <c r="T114" s="978"/>
      <c r="U114" s="978">
        <v>1754.4106429277199</v>
      </c>
      <c r="V114" s="978">
        <v>131.1979045087696</v>
      </c>
      <c r="W114" s="978">
        <v>2467.1380562581116</v>
      </c>
      <c r="X114" s="979">
        <v>0.55110460866803002</v>
      </c>
      <c r="Y114" s="981">
        <v>1.6</v>
      </c>
    </row>
    <row r="115" spans="1:25" ht="14.25">
      <c r="A115" s="807" t="s">
        <v>869</v>
      </c>
      <c r="B115" s="645" t="s">
        <v>1424</v>
      </c>
      <c r="C115" s="808" t="s">
        <v>462</v>
      </c>
      <c r="D115" s="610" t="s">
        <v>1425</v>
      </c>
      <c r="E115" s="975" t="s">
        <v>869</v>
      </c>
      <c r="F115" s="976" t="s">
        <v>1424</v>
      </c>
      <c r="G115" t="b">
        <v>1</v>
      </c>
      <c r="H115" s="977"/>
      <c r="I115" s="978">
        <v>2930</v>
      </c>
      <c r="J115" s="978">
        <v>383.95678886364823</v>
      </c>
      <c r="K115" s="978">
        <v>4556.6771856396972</v>
      </c>
      <c r="L115" s="979">
        <v>0.638961208069597</v>
      </c>
      <c r="M115" s="980">
        <v>7.4591578079020735</v>
      </c>
      <c r="N115" s="978"/>
      <c r="O115" s="978">
        <v>3600</v>
      </c>
      <c r="P115" s="978">
        <v>579.6316769761886</v>
      </c>
      <c r="Q115" s="978">
        <v>5598.6477366221543</v>
      </c>
      <c r="R115" s="979">
        <v>0.638961208069597</v>
      </c>
      <c r="S115" s="980">
        <v>13.835486551193098</v>
      </c>
      <c r="T115" s="978"/>
      <c r="U115" s="978">
        <v>1713.4743945927396</v>
      </c>
      <c r="V115" s="978">
        <v>131.31137470401234</v>
      </c>
      <c r="W115" s="978">
        <v>2664.7609836240713</v>
      </c>
      <c r="X115" s="979">
        <v>0.638961208069597</v>
      </c>
      <c r="Y115" s="981">
        <v>1.5</v>
      </c>
    </row>
    <row r="116" spans="1:25" ht="14.25">
      <c r="A116" s="807" t="s">
        <v>870</v>
      </c>
      <c r="B116" s="645" t="s">
        <v>1426</v>
      </c>
      <c r="C116" s="808" t="s">
        <v>463</v>
      </c>
      <c r="D116" s="610" t="s">
        <v>1427</v>
      </c>
      <c r="E116" s="975" t="s">
        <v>870</v>
      </c>
      <c r="F116" s="976" t="s">
        <v>1426</v>
      </c>
      <c r="G116" t="b">
        <v>1</v>
      </c>
      <c r="H116" s="977"/>
      <c r="I116" s="978">
        <v>3000</v>
      </c>
      <c r="J116" s="978">
        <v>357</v>
      </c>
      <c r="K116" s="978">
        <v>6800</v>
      </c>
      <c r="L116" s="979">
        <v>0.61805485981308395</v>
      </c>
      <c r="M116" s="980">
        <v>10.700000000000003</v>
      </c>
      <c r="N116" s="978"/>
      <c r="O116" s="978">
        <v>3600</v>
      </c>
      <c r="P116" s="978">
        <v>514.07999999999993</v>
      </c>
      <c r="Q116" s="978">
        <v>8160</v>
      </c>
      <c r="R116" s="979">
        <v>0.61805485981308395</v>
      </c>
      <c r="S116" s="980">
        <v>18.489600000000006</v>
      </c>
      <c r="T116" s="978"/>
      <c r="U116" s="978">
        <v>1754.4106429277199</v>
      </c>
      <c r="V116" s="978">
        <v>122.09228259271619</v>
      </c>
      <c r="W116" s="978">
        <v>3976.6641239694982</v>
      </c>
      <c r="X116" s="979">
        <v>0.61805485981308395</v>
      </c>
      <c r="Y116" s="981">
        <v>2.1</v>
      </c>
    </row>
    <row r="117" spans="1:25" ht="14.25">
      <c r="A117" s="807" t="s">
        <v>871</v>
      </c>
      <c r="B117" s="645" t="s">
        <v>1428</v>
      </c>
      <c r="C117" s="808" t="s">
        <v>464</v>
      </c>
      <c r="D117" s="610" t="s">
        <v>1429</v>
      </c>
      <c r="E117" s="975" t="s">
        <v>871</v>
      </c>
      <c r="F117" s="976" t="s">
        <v>1428</v>
      </c>
      <c r="G117" t="b">
        <v>1</v>
      </c>
      <c r="H117" s="977"/>
      <c r="I117" s="978">
        <v>3000</v>
      </c>
      <c r="J117" s="978">
        <v>575</v>
      </c>
      <c r="K117" s="978">
        <v>4100</v>
      </c>
      <c r="L117" s="979">
        <v>0.56833831120944001</v>
      </c>
      <c r="M117" s="980">
        <v>11.299999999999988</v>
      </c>
      <c r="N117" s="978"/>
      <c r="O117" s="978">
        <v>3600</v>
      </c>
      <c r="P117" s="978">
        <v>828</v>
      </c>
      <c r="Q117" s="978">
        <v>4920</v>
      </c>
      <c r="R117" s="979">
        <v>0.56833831120944001</v>
      </c>
      <c r="S117" s="980">
        <v>19.526399999999985</v>
      </c>
      <c r="T117" s="978"/>
      <c r="U117" s="978">
        <v>1754.4106429277199</v>
      </c>
      <c r="V117" s="978">
        <v>196.64723386782018</v>
      </c>
      <c r="W117" s="978">
        <v>2397.6945453345502</v>
      </c>
      <c r="X117" s="979">
        <v>0.56833831120944001</v>
      </c>
      <c r="Y117" s="981">
        <v>2.2999999999999998</v>
      </c>
    </row>
    <row r="118" spans="1:25" ht="14.25">
      <c r="A118" s="807" t="s">
        <v>872</v>
      </c>
      <c r="B118" s="645" t="s">
        <v>1430</v>
      </c>
      <c r="C118" s="808" t="s">
        <v>465</v>
      </c>
      <c r="D118" s="610" t="s">
        <v>1083</v>
      </c>
      <c r="E118" s="975" t="s">
        <v>872</v>
      </c>
      <c r="F118" s="976" t="s">
        <v>1430</v>
      </c>
      <c r="G118" t="b">
        <v>1</v>
      </c>
      <c r="H118" s="977"/>
      <c r="I118" s="978">
        <v>3000</v>
      </c>
      <c r="J118" s="978">
        <v>666</v>
      </c>
      <c r="K118" s="978">
        <v>6333</v>
      </c>
      <c r="L118" s="979">
        <v>0.63832945750000003</v>
      </c>
      <c r="M118" s="980">
        <v>18</v>
      </c>
      <c r="N118" s="978"/>
      <c r="O118" s="978">
        <v>3600</v>
      </c>
      <c r="P118" s="978">
        <v>959.04</v>
      </c>
      <c r="Q118" s="978">
        <v>7599.5999999999995</v>
      </c>
      <c r="R118" s="979">
        <v>0.63832945750000003</v>
      </c>
      <c r="S118" s="980">
        <v>31.103999999999999</v>
      </c>
      <c r="T118" s="978"/>
      <c r="U118" s="978">
        <v>1754.4106429277199</v>
      </c>
      <c r="V118" s="978">
        <v>227.76879609733606</v>
      </c>
      <c r="W118" s="978">
        <v>3703.5608672204166</v>
      </c>
      <c r="X118" s="979">
        <v>0.63832945750000003</v>
      </c>
      <c r="Y118" s="981">
        <v>3.6</v>
      </c>
    </row>
    <row r="119" spans="1:25" ht="14.25">
      <c r="A119" s="807" t="s">
        <v>873</v>
      </c>
      <c r="B119" s="645" t="s">
        <v>1431</v>
      </c>
      <c r="C119" s="808" t="s">
        <v>466</v>
      </c>
      <c r="D119" s="610" t="s">
        <v>1432</v>
      </c>
      <c r="E119" s="975" t="s">
        <v>873</v>
      </c>
      <c r="F119" s="976" t="s">
        <v>1431</v>
      </c>
      <c r="G119" t="b">
        <v>1</v>
      </c>
      <c r="H119" s="977"/>
      <c r="I119" s="978">
        <v>3000</v>
      </c>
      <c r="J119" s="978">
        <v>666</v>
      </c>
      <c r="K119" s="978">
        <v>6333</v>
      </c>
      <c r="L119" s="979">
        <v>0.63832945750000003</v>
      </c>
      <c r="M119" s="980">
        <v>18</v>
      </c>
      <c r="N119" s="978"/>
      <c r="O119" s="978">
        <v>3600</v>
      </c>
      <c r="P119" s="978">
        <v>959.04</v>
      </c>
      <c r="Q119" s="978">
        <v>7599.5999999999995</v>
      </c>
      <c r="R119" s="979">
        <v>0.63832945750000003</v>
      </c>
      <c r="S119" s="980">
        <v>31.103999999999999</v>
      </c>
      <c r="T119" s="978"/>
      <c r="U119" s="978">
        <v>1754.4106429277199</v>
      </c>
      <c r="V119" s="978">
        <v>227.76879609733606</v>
      </c>
      <c r="W119" s="978">
        <v>3703.5608672204166</v>
      </c>
      <c r="X119" s="979">
        <v>0.63832945750000003</v>
      </c>
      <c r="Y119" s="981">
        <v>3.6</v>
      </c>
    </row>
    <row r="120" spans="1:25" ht="14.25">
      <c r="A120" s="807" t="s">
        <v>874</v>
      </c>
      <c r="B120" s="645" t="s">
        <v>1433</v>
      </c>
      <c r="C120" s="808" t="s">
        <v>467</v>
      </c>
      <c r="D120" s="610" t="s">
        <v>1434</v>
      </c>
      <c r="E120" s="975" t="s">
        <v>874</v>
      </c>
      <c r="F120" s="976" t="s">
        <v>1433</v>
      </c>
      <c r="G120" t="b">
        <v>1</v>
      </c>
      <c r="H120" s="977"/>
      <c r="I120" s="978">
        <v>3000</v>
      </c>
      <c r="J120" s="978">
        <v>666</v>
      </c>
      <c r="K120" s="978">
        <v>6333</v>
      </c>
      <c r="L120" s="979">
        <v>0.63832945750000003</v>
      </c>
      <c r="M120" s="980">
        <v>18</v>
      </c>
      <c r="N120" s="978"/>
      <c r="O120" s="978">
        <v>3600</v>
      </c>
      <c r="P120" s="978">
        <v>959.04</v>
      </c>
      <c r="Q120" s="978">
        <v>7599.5999999999995</v>
      </c>
      <c r="R120" s="979">
        <v>0.63832945750000003</v>
      </c>
      <c r="S120" s="980">
        <v>31.103999999999999</v>
      </c>
      <c r="T120" s="978"/>
      <c r="U120" s="978">
        <v>1754.4106429277199</v>
      </c>
      <c r="V120" s="978">
        <v>227.76879609733606</v>
      </c>
      <c r="W120" s="978">
        <v>3703.5608672204166</v>
      </c>
      <c r="X120" s="979">
        <v>0.63832945750000003</v>
      </c>
      <c r="Y120" s="981">
        <v>3.6</v>
      </c>
    </row>
    <row r="121" spans="1:25" ht="14.25">
      <c r="A121" s="807" t="s">
        <v>875</v>
      </c>
      <c r="B121" s="645" t="s">
        <v>1435</v>
      </c>
      <c r="C121" s="808" t="s">
        <v>468</v>
      </c>
      <c r="D121" s="610" t="s">
        <v>1084</v>
      </c>
      <c r="E121" s="975" t="s">
        <v>875</v>
      </c>
      <c r="F121" s="976" t="s">
        <v>1435</v>
      </c>
      <c r="G121" t="b">
        <v>1</v>
      </c>
      <c r="H121" s="977"/>
      <c r="I121" s="978">
        <v>3000</v>
      </c>
      <c r="J121" s="978">
        <v>559.35</v>
      </c>
      <c r="K121" s="978">
        <v>10497.1174614748</v>
      </c>
      <c r="L121" s="979">
        <v>0.61757201768456504</v>
      </c>
      <c r="M121" s="980">
        <v>25.89999999999991</v>
      </c>
      <c r="N121" s="978"/>
      <c r="O121" s="978">
        <v>3600</v>
      </c>
      <c r="P121" s="978">
        <v>805.46400000000006</v>
      </c>
      <c r="Q121" s="978">
        <v>12596.54095376976</v>
      </c>
      <c r="R121" s="979">
        <v>0.61757201768456504</v>
      </c>
      <c r="S121" s="980">
        <v>44.755199999999846</v>
      </c>
      <c r="T121" s="978"/>
      <c r="U121" s="978">
        <v>1754.4106429277199</v>
      </c>
      <c r="V121" s="978">
        <v>191.29500915472212</v>
      </c>
      <c r="W121" s="978">
        <v>6138.7515314912662</v>
      </c>
      <c r="X121" s="979">
        <v>0.61757201768456504</v>
      </c>
      <c r="Y121" s="981">
        <v>5.2</v>
      </c>
    </row>
    <row r="122" spans="1:25" ht="14.25">
      <c r="A122" s="807" t="s">
        <v>876</v>
      </c>
      <c r="B122" s="645" t="s">
        <v>1436</v>
      </c>
      <c r="C122" s="808" t="s">
        <v>469</v>
      </c>
      <c r="D122" s="610" t="s">
        <v>1437</v>
      </c>
      <c r="E122" s="975" t="s">
        <v>876</v>
      </c>
      <c r="F122" s="976" t="s">
        <v>1436</v>
      </c>
      <c r="G122" t="b">
        <v>1</v>
      </c>
      <c r="H122" s="977"/>
      <c r="I122" s="978">
        <v>3000</v>
      </c>
      <c r="J122" s="978">
        <v>559.35</v>
      </c>
      <c r="K122" s="978">
        <v>10497.1174614748</v>
      </c>
      <c r="L122" s="979">
        <v>0.61757201768456504</v>
      </c>
      <c r="M122" s="980">
        <v>25.89999999999991</v>
      </c>
      <c r="N122" s="978"/>
      <c r="O122" s="978">
        <v>3600</v>
      </c>
      <c r="P122" s="978">
        <v>805.46400000000006</v>
      </c>
      <c r="Q122" s="978">
        <v>12596.54095376976</v>
      </c>
      <c r="R122" s="979">
        <v>0.61757201768456504</v>
      </c>
      <c r="S122" s="980">
        <v>44.755199999999846</v>
      </c>
      <c r="T122" s="978"/>
      <c r="U122" s="978">
        <v>1754.4106429277199</v>
      </c>
      <c r="V122" s="978">
        <v>191.29500915472212</v>
      </c>
      <c r="W122" s="978">
        <v>6138.7515314912662</v>
      </c>
      <c r="X122" s="979">
        <v>0.61757201768456504</v>
      </c>
      <c r="Y122" s="981">
        <v>5.2</v>
      </c>
    </row>
    <row r="123" spans="1:25" ht="14.25">
      <c r="A123" s="809" t="s">
        <v>877</v>
      </c>
      <c r="B123" s="645" t="s">
        <v>1438</v>
      </c>
      <c r="C123" s="808" t="s">
        <v>470</v>
      </c>
      <c r="D123" s="610" t="s">
        <v>1439</v>
      </c>
      <c r="E123" s="975" t="s">
        <v>877</v>
      </c>
      <c r="F123" s="976" t="s">
        <v>1438</v>
      </c>
      <c r="G123" t="b">
        <v>1</v>
      </c>
      <c r="H123" s="977"/>
      <c r="I123" s="978">
        <v>3000</v>
      </c>
      <c r="J123" s="978">
        <v>559.35</v>
      </c>
      <c r="K123" s="978">
        <v>10497.1174614748</v>
      </c>
      <c r="L123" s="979">
        <v>0.61757201768456504</v>
      </c>
      <c r="M123" s="980">
        <v>25.89999999999991</v>
      </c>
      <c r="N123" s="978"/>
      <c r="O123" s="978">
        <v>3600</v>
      </c>
      <c r="P123" s="978">
        <v>805.46400000000006</v>
      </c>
      <c r="Q123" s="978">
        <v>12596.54095376976</v>
      </c>
      <c r="R123" s="979">
        <v>0.61757201768456504</v>
      </c>
      <c r="S123" s="980">
        <v>44.755199999999846</v>
      </c>
      <c r="T123" s="978"/>
      <c r="U123" s="978">
        <v>1754.4106429277199</v>
      </c>
      <c r="V123" s="978">
        <v>191.29500915472212</v>
      </c>
      <c r="W123" s="978">
        <v>6138.7515314912662</v>
      </c>
      <c r="X123" s="979">
        <v>0.61757201768456504</v>
      </c>
      <c r="Y123" s="981">
        <v>5.2</v>
      </c>
    </row>
    <row r="124" spans="1:25" ht="14.25">
      <c r="A124" s="807" t="s">
        <v>878</v>
      </c>
      <c r="B124" s="645" t="s">
        <v>1440</v>
      </c>
      <c r="C124" s="808" t="s">
        <v>471</v>
      </c>
      <c r="D124" s="610" t="s">
        <v>1085</v>
      </c>
      <c r="E124" s="975" t="s">
        <v>878</v>
      </c>
      <c r="F124" s="976" t="s">
        <v>1440</v>
      </c>
      <c r="G124" t="b">
        <v>1</v>
      </c>
      <c r="H124" s="977"/>
      <c r="I124" s="978">
        <v>3000</v>
      </c>
      <c r="J124" s="978">
        <v>560</v>
      </c>
      <c r="K124" s="978">
        <v>12700</v>
      </c>
      <c r="L124" s="979">
        <v>0.66350251141552496</v>
      </c>
      <c r="M124" s="980">
        <v>29.200000000000006</v>
      </c>
      <c r="N124" s="978"/>
      <c r="O124" s="978">
        <v>3600</v>
      </c>
      <c r="P124" s="978">
        <v>806.4</v>
      </c>
      <c r="Q124" s="978">
        <v>15240</v>
      </c>
      <c r="R124" s="979">
        <v>0.66350251141552496</v>
      </c>
      <c r="S124" s="980">
        <v>50.457600000000014</v>
      </c>
      <c r="T124" s="978"/>
      <c r="U124" s="978">
        <v>1754.4106429277199</v>
      </c>
      <c r="V124" s="978">
        <v>191.51730602779008</v>
      </c>
      <c r="W124" s="978">
        <v>7427.0050550606802</v>
      </c>
      <c r="X124" s="979">
        <v>0.66350251141552496</v>
      </c>
      <c r="Y124" s="981">
        <v>5.8</v>
      </c>
    </row>
    <row r="125" spans="1:25" ht="14.25">
      <c r="A125" s="807" t="s">
        <v>879</v>
      </c>
      <c r="B125" s="645" t="s">
        <v>1441</v>
      </c>
      <c r="C125" s="808" t="s">
        <v>472</v>
      </c>
      <c r="D125" s="610" t="s">
        <v>1442</v>
      </c>
      <c r="E125" s="975" t="s">
        <v>879</v>
      </c>
      <c r="F125" s="976" t="s">
        <v>1441</v>
      </c>
      <c r="G125" t="b">
        <v>1</v>
      </c>
      <c r="H125" s="977"/>
      <c r="I125" s="978">
        <v>3000</v>
      </c>
      <c r="J125" s="978">
        <v>560</v>
      </c>
      <c r="K125" s="978">
        <v>12700</v>
      </c>
      <c r="L125" s="979">
        <v>0.66350251141552496</v>
      </c>
      <c r="M125" s="980">
        <v>29.200000000000006</v>
      </c>
      <c r="N125" s="978"/>
      <c r="O125" s="978">
        <v>3600</v>
      </c>
      <c r="P125" s="978">
        <v>806.4</v>
      </c>
      <c r="Q125" s="978">
        <v>15240</v>
      </c>
      <c r="R125" s="979">
        <v>0.66350251141552496</v>
      </c>
      <c r="S125" s="980">
        <v>50.457600000000014</v>
      </c>
      <c r="T125" s="978"/>
      <c r="U125" s="978">
        <v>1754.4106429277199</v>
      </c>
      <c r="V125" s="978">
        <v>191.51730602779008</v>
      </c>
      <c r="W125" s="978">
        <v>7427.0050550606802</v>
      </c>
      <c r="X125" s="979">
        <v>0.66350251141552496</v>
      </c>
      <c r="Y125" s="981">
        <v>5.8</v>
      </c>
    </row>
    <row r="126" spans="1:25" ht="14.25">
      <c r="A126" s="807" t="s">
        <v>880</v>
      </c>
      <c r="B126" s="645" t="s">
        <v>1443</v>
      </c>
      <c r="C126" s="808" t="s">
        <v>473</v>
      </c>
      <c r="D126" s="610" t="s">
        <v>1444</v>
      </c>
      <c r="E126" s="975" t="s">
        <v>880</v>
      </c>
      <c r="F126" s="976" t="s">
        <v>1443</v>
      </c>
      <c r="G126" t="b">
        <v>1</v>
      </c>
      <c r="H126" s="977"/>
      <c r="I126" s="978">
        <v>3000</v>
      </c>
      <c r="J126" s="978">
        <v>560</v>
      </c>
      <c r="K126" s="978">
        <v>12700</v>
      </c>
      <c r="L126" s="979">
        <v>0.66350251141552496</v>
      </c>
      <c r="M126" s="980">
        <v>29.200000000000006</v>
      </c>
      <c r="N126" s="978"/>
      <c r="O126" s="978">
        <v>3600</v>
      </c>
      <c r="P126" s="978">
        <v>806.4</v>
      </c>
      <c r="Q126" s="978">
        <v>15240</v>
      </c>
      <c r="R126" s="979">
        <v>0.66350251141552496</v>
      </c>
      <c r="S126" s="980">
        <v>50.457600000000014</v>
      </c>
      <c r="T126" s="978"/>
      <c r="U126" s="978">
        <v>1754.4106429277199</v>
      </c>
      <c r="V126" s="978">
        <v>191.51730602779008</v>
      </c>
      <c r="W126" s="978">
        <v>7427.0050550606802</v>
      </c>
      <c r="X126" s="979">
        <v>0.66350251141552496</v>
      </c>
      <c r="Y126" s="981">
        <v>5.8</v>
      </c>
    </row>
    <row r="127" spans="1:25" ht="14.25">
      <c r="A127" s="807" t="s">
        <v>881</v>
      </c>
      <c r="B127" s="645" t="s">
        <v>1445</v>
      </c>
      <c r="C127" s="808" t="s">
        <v>474</v>
      </c>
      <c r="D127" s="610" t="s">
        <v>1446</v>
      </c>
      <c r="E127" s="975" t="s">
        <v>881</v>
      </c>
      <c r="F127" s="976" t="s">
        <v>1445</v>
      </c>
      <c r="G127" t="b">
        <v>1</v>
      </c>
      <c r="H127" s="977"/>
      <c r="I127" s="978">
        <v>3000</v>
      </c>
      <c r="J127" s="978">
        <v>680</v>
      </c>
      <c r="K127" s="978">
        <v>5000</v>
      </c>
      <c r="L127" s="979">
        <v>0.56476626016260201</v>
      </c>
      <c r="M127" s="980">
        <v>16.399999999999988</v>
      </c>
      <c r="N127" s="978"/>
      <c r="O127" s="978">
        <v>3600</v>
      </c>
      <c r="P127" s="978">
        <v>979.19999999999993</v>
      </c>
      <c r="Q127" s="978">
        <v>6000</v>
      </c>
      <c r="R127" s="979">
        <v>0.56476626016260201</v>
      </c>
      <c r="S127" s="980">
        <v>28.339199999999984</v>
      </c>
      <c r="T127" s="978"/>
      <c r="U127" s="978">
        <v>1754.4106429277199</v>
      </c>
      <c r="V127" s="978">
        <v>232.55672874803082</v>
      </c>
      <c r="W127" s="978">
        <v>2924.0177382128663</v>
      </c>
      <c r="X127" s="979">
        <v>0.56476626016260201</v>
      </c>
      <c r="Y127" s="981">
        <v>3.3</v>
      </c>
    </row>
    <row r="128" spans="1:25" ht="14.25">
      <c r="A128" s="807" t="s">
        <v>882</v>
      </c>
      <c r="B128" s="645" t="s">
        <v>1447</v>
      </c>
      <c r="C128" s="808" t="s">
        <v>475</v>
      </c>
      <c r="D128" s="610" t="s">
        <v>1448</v>
      </c>
      <c r="E128" s="975" t="s">
        <v>882</v>
      </c>
      <c r="F128" s="976" t="s">
        <v>1447</v>
      </c>
      <c r="G128" t="b">
        <v>1</v>
      </c>
      <c r="H128" s="977"/>
      <c r="I128" s="978">
        <v>3000</v>
      </c>
      <c r="J128" s="978">
        <v>790</v>
      </c>
      <c r="K128" s="978">
        <v>8125</v>
      </c>
      <c r="L128" s="979">
        <v>0.70792489035087702</v>
      </c>
      <c r="M128" s="980">
        <v>24.700000000000003</v>
      </c>
      <c r="N128" s="978"/>
      <c r="O128" s="978">
        <v>3600</v>
      </c>
      <c r="P128" s="978">
        <v>1137.5999999999999</v>
      </c>
      <c r="Q128" s="978">
        <v>9750</v>
      </c>
      <c r="R128" s="979">
        <v>0.70792489035087702</v>
      </c>
      <c r="S128" s="980">
        <v>42.68160000000001</v>
      </c>
      <c r="T128" s="978"/>
      <c r="U128" s="978">
        <v>1754.4106429277199</v>
      </c>
      <c r="V128" s="978">
        <v>270.17619957491814</v>
      </c>
      <c r="W128" s="978">
        <v>4751.5288245959082</v>
      </c>
      <c r="X128" s="979">
        <v>0.70792489035087702</v>
      </c>
      <c r="Y128" s="981">
        <v>4.9000000000000004</v>
      </c>
    </row>
    <row r="129" spans="1:25" ht="14.25">
      <c r="A129" s="807" t="s">
        <v>883</v>
      </c>
      <c r="B129" s="645" t="s">
        <v>1449</v>
      </c>
      <c r="C129" s="808" t="s">
        <v>476</v>
      </c>
      <c r="D129" s="610" t="s">
        <v>1450</v>
      </c>
      <c r="E129" s="975" t="s">
        <v>883</v>
      </c>
      <c r="F129" s="976" t="s">
        <v>1449</v>
      </c>
      <c r="G129" t="b">
        <v>1</v>
      </c>
      <c r="H129" s="977"/>
      <c r="I129" s="978">
        <v>3000</v>
      </c>
      <c r="J129" s="978">
        <v>691</v>
      </c>
      <c r="K129" s="978">
        <v>12750</v>
      </c>
      <c r="L129" s="979">
        <v>0.64001571666666701</v>
      </c>
      <c r="M129" s="980">
        <v>37.499999999999986</v>
      </c>
      <c r="N129" s="978"/>
      <c r="O129" s="978">
        <v>3600</v>
      </c>
      <c r="P129" s="978">
        <v>995.04</v>
      </c>
      <c r="Q129" s="978">
        <v>15300</v>
      </c>
      <c r="R129" s="979">
        <v>0.64001571666666701</v>
      </c>
      <c r="S129" s="980">
        <v>64.799999999999969</v>
      </c>
      <c r="T129" s="978"/>
      <c r="U129" s="978">
        <v>1754.4106429277199</v>
      </c>
      <c r="V129" s="978">
        <v>236.31867583071957</v>
      </c>
      <c r="W129" s="978">
        <v>7456.2452324428095</v>
      </c>
      <c r="X129" s="979">
        <v>0.64001571666666701</v>
      </c>
      <c r="Y129" s="981">
        <v>7.5</v>
      </c>
    </row>
    <row r="130" spans="1:25" ht="14.25">
      <c r="A130" s="807" t="s">
        <v>884</v>
      </c>
      <c r="B130" s="645" t="s">
        <v>1451</v>
      </c>
      <c r="C130" s="808" t="s">
        <v>477</v>
      </c>
      <c r="D130" s="610" t="s">
        <v>1452</v>
      </c>
      <c r="E130" s="975" t="s">
        <v>884</v>
      </c>
      <c r="F130" s="976" t="s">
        <v>1451</v>
      </c>
      <c r="G130" t="b">
        <v>1</v>
      </c>
      <c r="H130" s="977"/>
      <c r="I130" s="978">
        <v>3000</v>
      </c>
      <c r="J130" s="978">
        <v>735</v>
      </c>
      <c r="K130" s="978">
        <v>14600</v>
      </c>
      <c r="L130" s="979">
        <v>0.642484230769231</v>
      </c>
      <c r="M130" s="980">
        <v>45.499999999999986</v>
      </c>
      <c r="N130" s="978"/>
      <c r="O130" s="978">
        <v>3600</v>
      </c>
      <c r="P130" s="978">
        <v>1058.3999999999999</v>
      </c>
      <c r="Q130" s="978">
        <v>17520</v>
      </c>
      <c r="R130" s="979">
        <v>0.642484230769231</v>
      </c>
      <c r="S130" s="980">
        <v>78.623999999999967</v>
      </c>
      <c r="T130" s="978"/>
      <c r="U130" s="978">
        <v>1754.4106429277199</v>
      </c>
      <c r="V130" s="978">
        <v>251.36646416147451</v>
      </c>
      <c r="W130" s="978">
        <v>8538.1317955815703</v>
      </c>
      <c r="X130" s="979">
        <v>0.642484230769231</v>
      </c>
      <c r="Y130" s="981">
        <v>9.1</v>
      </c>
    </row>
    <row r="131" spans="1:25" ht="14.25">
      <c r="A131" s="807" t="s">
        <v>885</v>
      </c>
      <c r="B131" s="645" t="s">
        <v>1453</v>
      </c>
      <c r="C131" s="808" t="s">
        <v>478</v>
      </c>
      <c r="D131" s="610" t="s">
        <v>1454</v>
      </c>
      <c r="E131" s="975" t="s">
        <v>885</v>
      </c>
      <c r="F131" s="976" t="s">
        <v>1453</v>
      </c>
      <c r="G131" t="b">
        <v>1</v>
      </c>
      <c r="H131" s="977"/>
      <c r="I131" s="978">
        <v>3000</v>
      </c>
      <c r="J131" s="978">
        <v>670</v>
      </c>
      <c r="K131" s="978">
        <v>16000</v>
      </c>
      <c r="L131" s="979">
        <v>0.68713098039215703</v>
      </c>
      <c r="M131" s="980">
        <v>42.499999999999993</v>
      </c>
      <c r="N131" s="978"/>
      <c r="O131" s="978">
        <v>3600</v>
      </c>
      <c r="P131" s="978">
        <v>964.8</v>
      </c>
      <c r="Q131" s="978">
        <v>19200</v>
      </c>
      <c r="R131" s="979">
        <v>0.68713098039215703</v>
      </c>
      <c r="S131" s="980">
        <v>73.439999999999984</v>
      </c>
      <c r="T131" s="978"/>
      <c r="U131" s="978">
        <v>1754.4106429277199</v>
      </c>
      <c r="V131" s="978">
        <v>229.13677685467744</v>
      </c>
      <c r="W131" s="978">
        <v>9356.8567622811715</v>
      </c>
      <c r="X131" s="979">
        <v>0.68713098039215703</v>
      </c>
      <c r="Y131" s="981">
        <v>8.5</v>
      </c>
    </row>
    <row r="132" spans="1:25" ht="14.25">
      <c r="A132" s="807" t="s">
        <v>789</v>
      </c>
      <c r="B132" s="645" t="s">
        <v>1455</v>
      </c>
      <c r="C132" s="808" t="s">
        <v>479</v>
      </c>
      <c r="D132" s="610" t="s">
        <v>1456</v>
      </c>
      <c r="E132" s="975" t="s">
        <v>789</v>
      </c>
      <c r="F132" s="976" t="s">
        <v>1455</v>
      </c>
      <c r="G132" t="b">
        <v>1</v>
      </c>
      <c r="H132" s="977"/>
      <c r="I132" s="978">
        <v>3000</v>
      </c>
      <c r="J132" s="978">
        <v>675</v>
      </c>
      <c r="K132" s="978">
        <v>25000</v>
      </c>
      <c r="L132" s="979">
        <v>0.70506614263803702</v>
      </c>
      <c r="M132" s="980">
        <v>65.199999999999989</v>
      </c>
      <c r="N132" s="978"/>
      <c r="O132" s="978">
        <v>3600</v>
      </c>
      <c r="P132" s="978">
        <v>972</v>
      </c>
      <c r="Q132" s="978">
        <v>30000</v>
      </c>
      <c r="R132" s="979">
        <v>0.70506614263803702</v>
      </c>
      <c r="S132" s="980">
        <v>112.66559999999996</v>
      </c>
      <c r="T132" s="978"/>
      <c r="U132" s="978">
        <v>1754.4106429277199</v>
      </c>
      <c r="V132" s="978">
        <v>230.84675280135414</v>
      </c>
      <c r="W132" s="978">
        <v>14620.088691064331</v>
      </c>
      <c r="X132" s="979">
        <v>0.70506614263803702</v>
      </c>
      <c r="Y132" s="981">
        <v>13</v>
      </c>
    </row>
    <row r="133" spans="1:25" ht="14.25">
      <c r="A133" s="807" t="s">
        <v>886</v>
      </c>
      <c r="B133" s="645" t="s">
        <v>1457</v>
      </c>
      <c r="C133" s="808" t="s">
        <v>480</v>
      </c>
      <c r="D133" s="610" t="s">
        <v>1458</v>
      </c>
      <c r="E133" s="975" t="s">
        <v>886</v>
      </c>
      <c r="F133" s="976" t="s">
        <v>1457</v>
      </c>
      <c r="G133" t="b">
        <v>1</v>
      </c>
      <c r="H133" s="977"/>
      <c r="I133" s="978">
        <v>3000</v>
      </c>
      <c r="J133" s="978">
        <v>1030</v>
      </c>
      <c r="K133" s="978">
        <v>4400</v>
      </c>
      <c r="L133" s="979">
        <v>0.41709200450450501</v>
      </c>
      <c r="M133" s="980">
        <v>29.599999999999966</v>
      </c>
      <c r="N133" s="978"/>
      <c r="O133" s="978">
        <v>3600</v>
      </c>
      <c r="P133" s="978">
        <v>1483.2</v>
      </c>
      <c r="Q133" s="978">
        <v>5280</v>
      </c>
      <c r="R133" s="979">
        <v>0.41709200450450501</v>
      </c>
      <c r="S133" s="980">
        <v>51.14879999999993</v>
      </c>
      <c r="T133" s="978"/>
      <c r="U133" s="978">
        <v>1754.4106429277199</v>
      </c>
      <c r="V133" s="978">
        <v>352.25504501539962</v>
      </c>
      <c r="W133" s="978">
        <v>2573.1356096273225</v>
      </c>
      <c r="X133" s="979">
        <v>0.41709200450450501</v>
      </c>
      <c r="Y133" s="981">
        <v>5.9</v>
      </c>
    </row>
    <row r="134" spans="1:25" ht="14.25">
      <c r="A134" s="807" t="s">
        <v>887</v>
      </c>
      <c r="B134" s="645" t="s">
        <v>1459</v>
      </c>
      <c r="C134" s="808" t="s">
        <v>481</v>
      </c>
      <c r="D134" s="610" t="s">
        <v>1460</v>
      </c>
      <c r="E134" s="975" t="s">
        <v>887</v>
      </c>
      <c r="F134" s="976" t="s">
        <v>1459</v>
      </c>
      <c r="G134" t="b">
        <v>1</v>
      </c>
      <c r="H134" s="977"/>
      <c r="I134" s="978">
        <v>3000</v>
      </c>
      <c r="J134" s="978">
        <v>1040</v>
      </c>
      <c r="K134" s="978">
        <v>8250</v>
      </c>
      <c r="L134" s="979">
        <v>0.62663136729222502</v>
      </c>
      <c r="M134" s="980">
        <v>37.300000000000004</v>
      </c>
      <c r="N134" s="978"/>
      <c r="O134" s="978">
        <v>3600</v>
      </c>
      <c r="P134" s="978">
        <v>1497.6</v>
      </c>
      <c r="Q134" s="978">
        <v>9900</v>
      </c>
      <c r="R134" s="979">
        <v>0.62663136729222502</v>
      </c>
      <c r="S134" s="980">
        <v>64.454400000000021</v>
      </c>
      <c r="T134" s="978"/>
      <c r="U134" s="978">
        <v>1754.4106429277199</v>
      </c>
      <c r="V134" s="978">
        <v>355.67499690875303</v>
      </c>
      <c r="W134" s="978">
        <v>4824.6292680512297</v>
      </c>
      <c r="X134" s="979">
        <v>0.62663136729222502</v>
      </c>
      <c r="Y134" s="981">
        <v>7.5</v>
      </c>
    </row>
    <row r="135" spans="1:25" ht="14.25">
      <c r="A135" s="807" t="s">
        <v>888</v>
      </c>
      <c r="B135" s="645" t="s">
        <v>1461</v>
      </c>
      <c r="C135" s="808" t="s">
        <v>482</v>
      </c>
      <c r="D135" s="610" t="s">
        <v>1462</v>
      </c>
      <c r="E135" s="975" t="s">
        <v>888</v>
      </c>
      <c r="F135" s="976" t="s">
        <v>1461</v>
      </c>
      <c r="G135" t="b">
        <v>1</v>
      </c>
      <c r="H135" s="977"/>
      <c r="I135" s="978">
        <v>3000</v>
      </c>
      <c r="J135" s="978">
        <v>980</v>
      </c>
      <c r="K135" s="978">
        <v>16000</v>
      </c>
      <c r="L135" s="979">
        <v>0.58513607305936099</v>
      </c>
      <c r="M135" s="980">
        <v>72.999999999999972</v>
      </c>
      <c r="N135" s="978"/>
      <c r="O135" s="978">
        <v>3600</v>
      </c>
      <c r="P135" s="978">
        <v>1411.2</v>
      </c>
      <c r="Q135" s="978">
        <v>19200</v>
      </c>
      <c r="R135" s="979">
        <v>0.58513607305936099</v>
      </c>
      <c r="S135" s="980">
        <v>126.14399999999992</v>
      </c>
      <c r="T135" s="978"/>
      <c r="U135" s="978">
        <v>1754.4106429277199</v>
      </c>
      <c r="V135" s="978">
        <v>335.15528554863266</v>
      </c>
      <c r="W135" s="978">
        <v>9356.8567622811715</v>
      </c>
      <c r="X135" s="979">
        <v>0.58513607305936099</v>
      </c>
      <c r="Y135" s="981">
        <v>14.6</v>
      </c>
    </row>
    <row r="136" spans="1:25" ht="14.25">
      <c r="A136" s="807" t="s">
        <v>790</v>
      </c>
      <c r="B136" s="645" t="s">
        <v>1463</v>
      </c>
      <c r="C136" s="808" t="s">
        <v>483</v>
      </c>
      <c r="D136" s="610" t="s">
        <v>1263</v>
      </c>
      <c r="E136" s="975" t="s">
        <v>790</v>
      </c>
      <c r="F136" s="976" t="s">
        <v>1463</v>
      </c>
      <c r="G136" t="b">
        <v>1</v>
      </c>
      <c r="H136" s="977"/>
      <c r="I136" s="978">
        <v>3000</v>
      </c>
      <c r="J136" s="978">
        <v>1050</v>
      </c>
      <c r="K136" s="978">
        <v>21000</v>
      </c>
      <c r="L136" s="979">
        <v>0.63229342105263198</v>
      </c>
      <c r="M136" s="980">
        <v>94.999999999999929</v>
      </c>
      <c r="N136" s="978"/>
      <c r="O136" s="978">
        <v>3600</v>
      </c>
      <c r="P136" s="978">
        <v>1512</v>
      </c>
      <c r="Q136" s="978">
        <v>25200</v>
      </c>
      <c r="R136" s="979">
        <v>0.63229342105263198</v>
      </c>
      <c r="S136" s="980">
        <v>164.15999999999991</v>
      </c>
      <c r="T136" s="978"/>
      <c r="U136" s="978">
        <v>1754.4106429277199</v>
      </c>
      <c r="V136" s="978">
        <v>359.09494880210644</v>
      </c>
      <c r="W136" s="978">
        <v>12280.874500494039</v>
      </c>
      <c r="X136" s="979">
        <v>0.63229342105263198</v>
      </c>
      <c r="Y136" s="981">
        <v>19</v>
      </c>
    </row>
    <row r="137" spans="1:25" ht="14.25">
      <c r="A137" s="807" t="s">
        <v>889</v>
      </c>
      <c r="B137" s="645" t="s">
        <v>1464</v>
      </c>
      <c r="C137" s="808" t="s">
        <v>484</v>
      </c>
      <c r="D137" s="610" t="s">
        <v>1265</v>
      </c>
      <c r="E137" s="975" t="s">
        <v>889</v>
      </c>
      <c r="F137" s="976" t="s">
        <v>1464</v>
      </c>
      <c r="G137" t="b">
        <v>1</v>
      </c>
      <c r="H137" s="977"/>
      <c r="I137" s="978">
        <v>1500</v>
      </c>
      <c r="J137" s="978">
        <v>255</v>
      </c>
      <c r="K137" s="978">
        <v>11300</v>
      </c>
      <c r="L137" s="979">
        <v>0.69466249999999996</v>
      </c>
      <c r="M137" s="980">
        <v>11.3</v>
      </c>
      <c r="N137" s="978"/>
      <c r="O137" s="978">
        <v>3600</v>
      </c>
      <c r="P137" s="978">
        <v>1468.8</v>
      </c>
      <c r="Q137" s="978">
        <v>27120</v>
      </c>
      <c r="R137" s="979">
        <v>0.69466249999999996</v>
      </c>
      <c r="S137" s="980">
        <v>156.21120000000002</v>
      </c>
      <c r="T137" s="978"/>
      <c r="U137" s="978">
        <v>877.20532146385995</v>
      </c>
      <c r="V137" s="978">
        <v>87.208773280511565</v>
      </c>
      <c r="W137" s="978">
        <v>6608.280088361078</v>
      </c>
      <c r="X137" s="979">
        <v>0.69466249999999996</v>
      </c>
      <c r="Y137" s="981">
        <v>2.2999999999999998</v>
      </c>
    </row>
    <row r="138" spans="1:25" ht="14.25">
      <c r="A138" s="807" t="s">
        <v>791</v>
      </c>
      <c r="B138" s="645" t="s">
        <v>1465</v>
      </c>
      <c r="C138" s="808" t="s">
        <v>485</v>
      </c>
      <c r="D138" s="610" t="s">
        <v>1018</v>
      </c>
      <c r="E138" s="975" t="s">
        <v>791</v>
      </c>
      <c r="F138" s="976" t="s">
        <v>1465</v>
      </c>
      <c r="G138" t="b">
        <v>1</v>
      </c>
      <c r="H138" s="977"/>
      <c r="I138" s="978">
        <v>1500</v>
      </c>
      <c r="J138" s="978">
        <v>210</v>
      </c>
      <c r="K138" s="978">
        <v>17000</v>
      </c>
      <c r="L138" s="979">
        <v>0.68973581560283703</v>
      </c>
      <c r="M138" s="980">
        <v>14.099999999999998</v>
      </c>
      <c r="N138" s="978"/>
      <c r="O138" s="978">
        <v>3600</v>
      </c>
      <c r="P138" s="978">
        <v>1209.5999999999999</v>
      </c>
      <c r="Q138" s="978">
        <v>40800</v>
      </c>
      <c r="R138" s="979">
        <v>0.68973581560283703</v>
      </c>
      <c r="S138" s="980">
        <v>194.91839999999993</v>
      </c>
      <c r="T138" s="978"/>
      <c r="U138" s="978">
        <v>877.20532146385995</v>
      </c>
      <c r="V138" s="978">
        <v>71.818989760421289</v>
      </c>
      <c r="W138" s="978">
        <v>9941.6603099237454</v>
      </c>
      <c r="X138" s="979">
        <v>0.68973581560283703</v>
      </c>
      <c r="Y138" s="981">
        <v>2.8</v>
      </c>
    </row>
    <row r="139" spans="1:25" ht="14.25">
      <c r="A139" s="813" t="s">
        <v>792</v>
      </c>
      <c r="B139" s="645" t="s">
        <v>1466</v>
      </c>
      <c r="C139" s="808" t="s">
        <v>486</v>
      </c>
      <c r="D139" s="610" t="s">
        <v>1021</v>
      </c>
      <c r="E139" s="975" t="s">
        <v>792</v>
      </c>
      <c r="F139" s="976" t="s">
        <v>1466</v>
      </c>
      <c r="G139" t="b">
        <v>1</v>
      </c>
      <c r="H139" s="977"/>
      <c r="I139" s="978">
        <v>1500</v>
      </c>
      <c r="J139" s="978">
        <v>300</v>
      </c>
      <c r="K139" s="978">
        <v>24500</v>
      </c>
      <c r="L139" s="979">
        <v>0.66742083333333302</v>
      </c>
      <c r="M139" s="980">
        <v>30.000000000000018</v>
      </c>
      <c r="N139" s="978"/>
      <c r="O139" s="978">
        <v>3600</v>
      </c>
      <c r="P139" s="978">
        <v>1728</v>
      </c>
      <c r="Q139" s="978">
        <v>58800</v>
      </c>
      <c r="R139" s="979">
        <v>0.66742083333333302</v>
      </c>
      <c r="S139" s="980">
        <v>414.7200000000002</v>
      </c>
      <c r="T139" s="978"/>
      <c r="U139" s="978">
        <v>877.20532146385995</v>
      </c>
      <c r="V139" s="978">
        <v>102.59855680060184</v>
      </c>
      <c r="W139" s="978">
        <v>14327.686917243045</v>
      </c>
      <c r="X139" s="979">
        <v>0.66742083333333302</v>
      </c>
      <c r="Y139" s="981">
        <v>6</v>
      </c>
    </row>
    <row r="140" spans="1:25" ht="14.25">
      <c r="A140" s="809" t="s">
        <v>793</v>
      </c>
      <c r="B140" s="645" t="s">
        <v>1467</v>
      </c>
      <c r="C140" s="808" t="s">
        <v>487</v>
      </c>
      <c r="D140" s="610" t="s">
        <v>1086</v>
      </c>
      <c r="E140" s="975" t="s">
        <v>793</v>
      </c>
      <c r="F140" s="976" t="s">
        <v>1467</v>
      </c>
      <c r="G140" t="b">
        <v>1</v>
      </c>
      <c r="H140" s="977"/>
      <c r="I140" s="978">
        <v>1500</v>
      </c>
      <c r="J140" s="978">
        <v>310</v>
      </c>
      <c r="K140" s="978">
        <v>28400</v>
      </c>
      <c r="L140" s="979">
        <v>0.70333030303030297</v>
      </c>
      <c r="M140" s="980">
        <v>34.100000000000009</v>
      </c>
      <c r="N140" s="978"/>
      <c r="O140" s="978">
        <v>3550</v>
      </c>
      <c r="P140" s="978">
        <v>1736.3444444444444</v>
      </c>
      <c r="Q140" s="978">
        <v>67213.333333333328</v>
      </c>
      <c r="R140" s="979">
        <v>0.70333030303030297</v>
      </c>
      <c r="S140" s="980">
        <v>452.02833703703703</v>
      </c>
      <c r="T140" s="978"/>
      <c r="U140" s="978">
        <v>877.20532146385995</v>
      </c>
      <c r="V140" s="978">
        <v>106.01850869395523</v>
      </c>
      <c r="W140" s="978">
        <v>16608.420753049082</v>
      </c>
      <c r="X140" s="979">
        <v>0.70333030303030297</v>
      </c>
      <c r="Y140" s="981">
        <v>6.8</v>
      </c>
    </row>
    <row r="141" spans="1:25" ht="14.25">
      <c r="A141" s="809" t="s">
        <v>890</v>
      </c>
      <c r="B141" s="645" t="s">
        <v>1468</v>
      </c>
      <c r="C141" s="808" t="s">
        <v>488</v>
      </c>
      <c r="D141" s="610" t="s">
        <v>1087</v>
      </c>
      <c r="E141" s="975" t="s">
        <v>890</v>
      </c>
      <c r="F141" s="976" t="s">
        <v>1468</v>
      </c>
      <c r="G141" t="b">
        <v>1</v>
      </c>
      <c r="H141" s="977"/>
      <c r="I141" s="978">
        <v>1800</v>
      </c>
      <c r="J141" s="978">
        <v>590</v>
      </c>
      <c r="K141" s="978">
        <v>55000</v>
      </c>
      <c r="L141" s="979">
        <v>0.72458367486338804</v>
      </c>
      <c r="M141" s="980">
        <v>122</v>
      </c>
      <c r="N141" s="978"/>
      <c r="O141" s="978">
        <v>2850</v>
      </c>
      <c r="P141" s="978">
        <v>1479.0972222222222</v>
      </c>
      <c r="Q141" s="978">
        <v>87083.333333333328</v>
      </c>
      <c r="R141" s="979">
        <v>0.72458367486338804</v>
      </c>
      <c r="S141" s="980">
        <v>484.25810185185179</v>
      </c>
      <c r="T141" s="978"/>
      <c r="U141" s="978">
        <v>1052.6463857566318</v>
      </c>
      <c r="V141" s="978">
        <v>201.77716170785027</v>
      </c>
      <c r="W141" s="978">
        <v>32164.19512034153</v>
      </c>
      <c r="X141" s="979">
        <v>0.72458367486338804</v>
      </c>
      <c r="Y141" s="981">
        <v>24.4</v>
      </c>
    </row>
    <row r="142" spans="1:25" ht="14.25">
      <c r="A142" s="809" t="s">
        <v>891</v>
      </c>
      <c r="B142" s="645" t="s">
        <v>1469</v>
      </c>
      <c r="C142" s="808" t="s">
        <v>489</v>
      </c>
      <c r="D142" s="610" t="s">
        <v>1316</v>
      </c>
      <c r="E142" s="975" t="s">
        <v>891</v>
      </c>
      <c r="F142" s="976" t="s">
        <v>1469</v>
      </c>
      <c r="G142" t="b">
        <v>1</v>
      </c>
      <c r="H142" s="977"/>
      <c r="I142" s="978">
        <v>1600</v>
      </c>
      <c r="J142" s="978">
        <v>577</v>
      </c>
      <c r="K142" s="978">
        <v>70000</v>
      </c>
      <c r="L142" s="979">
        <v>0.73352727777777804</v>
      </c>
      <c r="M142" s="980">
        <v>149.99999999999994</v>
      </c>
      <c r="N142" s="978"/>
      <c r="O142" s="978">
        <v>2489.4632083555739</v>
      </c>
      <c r="P142" s="978">
        <v>1396.8419597426671</v>
      </c>
      <c r="Q142" s="978">
        <v>108914.01536555635</v>
      </c>
      <c r="R142" s="979">
        <v>0.73352727777777804</v>
      </c>
      <c r="S142" s="980">
        <v>564.99999999999989</v>
      </c>
      <c r="T142" s="978"/>
      <c r="U142" s="978">
        <v>935.68567622811725</v>
      </c>
      <c r="V142" s="978">
        <v>197.33122424649088</v>
      </c>
      <c r="W142" s="978">
        <v>40936.248334980126</v>
      </c>
      <c r="X142" s="979">
        <v>0.73352727777777804</v>
      </c>
      <c r="Y142" s="981">
        <v>30</v>
      </c>
    </row>
    <row r="143" spans="1:25" ht="14.25">
      <c r="A143" s="814" t="s">
        <v>892</v>
      </c>
      <c r="B143" s="645" t="s">
        <v>1470</v>
      </c>
      <c r="C143" s="808" t="s">
        <v>490</v>
      </c>
      <c r="D143" s="610" t="s">
        <v>1471</v>
      </c>
      <c r="E143" s="975" t="s">
        <v>892</v>
      </c>
      <c r="F143" s="976" t="s">
        <v>1470</v>
      </c>
      <c r="G143" t="b">
        <v>0</v>
      </c>
      <c r="H143" s="977"/>
      <c r="I143" s="978">
        <v>0</v>
      </c>
      <c r="J143" s="978">
        <v>0</v>
      </c>
      <c r="K143" s="978">
        <v>0</v>
      </c>
      <c r="L143" s="979">
        <v>0</v>
      </c>
      <c r="M143" s="980">
        <v>0</v>
      </c>
      <c r="N143" s="978"/>
      <c r="O143" s="978">
        <v>0</v>
      </c>
      <c r="P143" s="978">
        <v>0</v>
      </c>
      <c r="Q143" s="978">
        <v>0</v>
      </c>
      <c r="R143" s="979">
        <v>0</v>
      </c>
      <c r="S143" s="980">
        <v>0</v>
      </c>
      <c r="T143" s="978"/>
      <c r="U143" s="978">
        <v>0</v>
      </c>
      <c r="V143" s="978">
        <v>0</v>
      </c>
      <c r="W143" s="978">
        <v>0</v>
      </c>
      <c r="X143" s="979">
        <v>0</v>
      </c>
      <c r="Y143" s="981">
        <v>0</v>
      </c>
    </row>
    <row r="144" spans="1:25" ht="14.25">
      <c r="A144" s="814" t="s">
        <v>893</v>
      </c>
      <c r="B144" s="645" t="s">
        <v>1472</v>
      </c>
      <c r="C144" s="808" t="s">
        <v>491</v>
      </c>
      <c r="D144" s="610" t="s">
        <v>1473</v>
      </c>
      <c r="E144" s="975" t="s">
        <v>893</v>
      </c>
      <c r="F144" s="976" t="s">
        <v>1472</v>
      </c>
      <c r="G144" t="b">
        <v>0</v>
      </c>
      <c r="H144" s="977"/>
      <c r="I144" s="978">
        <v>0</v>
      </c>
      <c r="J144" s="978">
        <v>0</v>
      </c>
      <c r="K144" s="978">
        <v>0</v>
      </c>
      <c r="L144" s="979">
        <v>0</v>
      </c>
      <c r="M144" s="980">
        <v>0</v>
      </c>
      <c r="N144" s="978"/>
      <c r="O144" s="978">
        <v>0</v>
      </c>
      <c r="P144" s="978">
        <v>0</v>
      </c>
      <c r="Q144" s="978">
        <v>0</v>
      </c>
      <c r="R144" s="979">
        <v>0</v>
      </c>
      <c r="S144" s="980">
        <v>0</v>
      </c>
      <c r="T144" s="978"/>
      <c r="U144" s="978">
        <v>0</v>
      </c>
      <c r="V144" s="978">
        <v>0</v>
      </c>
      <c r="W144" s="978">
        <v>0</v>
      </c>
      <c r="X144" s="979">
        <v>0</v>
      </c>
      <c r="Y144" s="981">
        <v>0</v>
      </c>
    </row>
    <row r="145" spans="1:25" ht="14.25">
      <c r="A145" s="807" t="s">
        <v>894</v>
      </c>
      <c r="B145" s="645" t="s">
        <v>1474</v>
      </c>
      <c r="C145" s="808" t="s">
        <v>492</v>
      </c>
      <c r="D145" s="610" t="s">
        <v>1417</v>
      </c>
      <c r="E145" s="975" t="s">
        <v>894</v>
      </c>
      <c r="F145" s="976" t="s">
        <v>1474</v>
      </c>
      <c r="G145" t="b">
        <v>0</v>
      </c>
      <c r="H145" s="977"/>
      <c r="I145" s="978">
        <v>0</v>
      </c>
      <c r="J145" s="978">
        <v>0</v>
      </c>
      <c r="K145" s="978">
        <v>0</v>
      </c>
      <c r="L145" s="979">
        <v>0</v>
      </c>
      <c r="M145" s="980">
        <v>0</v>
      </c>
      <c r="N145" s="978"/>
      <c r="O145" s="978">
        <v>0</v>
      </c>
      <c r="P145" s="978">
        <v>0</v>
      </c>
      <c r="Q145" s="978">
        <v>0</v>
      </c>
      <c r="R145" s="979">
        <v>0</v>
      </c>
      <c r="S145" s="980">
        <v>0</v>
      </c>
      <c r="T145" s="978"/>
      <c r="U145" s="978">
        <v>0</v>
      </c>
      <c r="V145" s="978">
        <v>0</v>
      </c>
      <c r="W145" s="978">
        <v>0</v>
      </c>
      <c r="X145" s="979">
        <v>0</v>
      </c>
      <c r="Y145" s="981">
        <v>0</v>
      </c>
    </row>
    <row r="146" spans="1:25" ht="14.25">
      <c r="A146" s="807" t="s">
        <v>895</v>
      </c>
      <c r="B146" s="645" t="s">
        <v>1475</v>
      </c>
      <c r="C146" s="808" t="s">
        <v>493</v>
      </c>
      <c r="D146" s="610" t="s">
        <v>1419</v>
      </c>
      <c r="E146" s="975" t="s">
        <v>895</v>
      </c>
      <c r="F146" s="976" t="s">
        <v>1475</v>
      </c>
      <c r="G146" t="b">
        <v>0</v>
      </c>
      <c r="H146" s="977"/>
      <c r="I146" s="978">
        <v>0</v>
      </c>
      <c r="J146" s="978">
        <v>0</v>
      </c>
      <c r="K146" s="978">
        <v>0</v>
      </c>
      <c r="L146" s="979">
        <v>0</v>
      </c>
      <c r="M146" s="980">
        <v>0</v>
      </c>
      <c r="N146" s="978"/>
      <c r="O146" s="978">
        <v>0</v>
      </c>
      <c r="P146" s="978">
        <v>0</v>
      </c>
      <c r="Q146" s="978">
        <v>0</v>
      </c>
      <c r="R146" s="979">
        <v>0</v>
      </c>
      <c r="S146" s="980">
        <v>0</v>
      </c>
      <c r="T146" s="978"/>
      <c r="U146" s="978">
        <v>0</v>
      </c>
      <c r="V146" s="978">
        <v>0</v>
      </c>
      <c r="W146" s="978">
        <v>0</v>
      </c>
      <c r="X146" s="979">
        <v>0</v>
      </c>
      <c r="Y146" s="981">
        <v>0</v>
      </c>
    </row>
    <row r="147" spans="1:25" ht="14.25">
      <c r="A147" s="807" t="s">
        <v>896</v>
      </c>
      <c r="B147" s="645" t="s">
        <v>1476</v>
      </c>
      <c r="C147" s="808" t="s">
        <v>494</v>
      </c>
      <c r="D147" s="610" t="s">
        <v>1421</v>
      </c>
      <c r="E147" s="975" t="s">
        <v>896</v>
      </c>
      <c r="F147" s="976" t="s">
        <v>1476</v>
      </c>
      <c r="G147" t="b">
        <v>0</v>
      </c>
      <c r="H147" s="977"/>
      <c r="I147" s="978">
        <v>0</v>
      </c>
      <c r="J147" s="978">
        <v>0</v>
      </c>
      <c r="K147" s="978">
        <v>0</v>
      </c>
      <c r="L147" s="979">
        <v>0</v>
      </c>
      <c r="M147" s="980">
        <v>0</v>
      </c>
      <c r="N147" s="978"/>
      <c r="O147" s="978">
        <v>0</v>
      </c>
      <c r="P147" s="978">
        <v>0</v>
      </c>
      <c r="Q147" s="978">
        <v>0</v>
      </c>
      <c r="R147" s="979">
        <v>0</v>
      </c>
      <c r="S147" s="980">
        <v>0</v>
      </c>
      <c r="T147" s="978"/>
      <c r="U147" s="978">
        <v>0</v>
      </c>
      <c r="V147" s="978">
        <v>0</v>
      </c>
      <c r="W147" s="978">
        <v>0</v>
      </c>
      <c r="X147" s="979">
        <v>0</v>
      </c>
      <c r="Y147" s="981">
        <v>0</v>
      </c>
    </row>
    <row r="148" spans="1:25" ht="14.25">
      <c r="A148" s="807" t="s">
        <v>897</v>
      </c>
      <c r="B148" s="645" t="s">
        <v>1424</v>
      </c>
      <c r="C148" s="808" t="s">
        <v>495</v>
      </c>
      <c r="D148" s="610" t="s">
        <v>1425</v>
      </c>
      <c r="E148" s="975" t="s">
        <v>897</v>
      </c>
      <c r="F148" s="976" t="s">
        <v>1424</v>
      </c>
      <c r="G148" t="b">
        <v>0</v>
      </c>
      <c r="H148" s="977"/>
      <c r="I148" s="978">
        <v>0</v>
      </c>
      <c r="J148" s="978">
        <v>0</v>
      </c>
      <c r="K148" s="978">
        <v>0</v>
      </c>
      <c r="L148" s="979">
        <v>0</v>
      </c>
      <c r="M148" s="980">
        <v>0</v>
      </c>
      <c r="N148" s="978"/>
      <c r="O148" s="978">
        <v>0</v>
      </c>
      <c r="P148" s="978">
        <v>0</v>
      </c>
      <c r="Q148" s="978">
        <v>0</v>
      </c>
      <c r="R148" s="979">
        <v>0</v>
      </c>
      <c r="S148" s="980">
        <v>0</v>
      </c>
      <c r="T148" s="978"/>
      <c r="U148" s="978">
        <v>0</v>
      </c>
      <c r="V148" s="978">
        <v>0</v>
      </c>
      <c r="W148" s="978">
        <v>0</v>
      </c>
      <c r="X148" s="979">
        <v>0</v>
      </c>
      <c r="Y148" s="981">
        <v>0</v>
      </c>
    </row>
    <row r="149" spans="1:25" ht="14.25">
      <c r="A149" s="807" t="s">
        <v>898</v>
      </c>
      <c r="B149" s="645" t="s">
        <v>1426</v>
      </c>
      <c r="C149" s="808" t="s">
        <v>496</v>
      </c>
      <c r="D149" s="610" t="s">
        <v>1427</v>
      </c>
      <c r="E149" s="975" t="s">
        <v>898</v>
      </c>
      <c r="F149" s="976" t="s">
        <v>1426</v>
      </c>
      <c r="G149" t="b">
        <v>0</v>
      </c>
      <c r="H149" s="977"/>
      <c r="I149" s="978">
        <v>0</v>
      </c>
      <c r="J149" s="978">
        <v>0</v>
      </c>
      <c r="K149" s="978">
        <v>0</v>
      </c>
      <c r="L149" s="979">
        <v>0</v>
      </c>
      <c r="M149" s="980">
        <v>0</v>
      </c>
      <c r="N149" s="978"/>
      <c r="O149" s="978">
        <v>0</v>
      </c>
      <c r="P149" s="978">
        <v>0</v>
      </c>
      <c r="Q149" s="978">
        <v>0</v>
      </c>
      <c r="R149" s="979">
        <v>0</v>
      </c>
      <c r="S149" s="980">
        <v>0</v>
      </c>
      <c r="T149" s="978"/>
      <c r="U149" s="978">
        <v>0</v>
      </c>
      <c r="V149" s="978">
        <v>0</v>
      </c>
      <c r="W149" s="978">
        <v>0</v>
      </c>
      <c r="X149" s="979">
        <v>0</v>
      </c>
      <c r="Y149" s="981">
        <v>0</v>
      </c>
    </row>
    <row r="150" spans="1:25" ht="14.25">
      <c r="A150" s="807" t="s">
        <v>899</v>
      </c>
      <c r="B150" s="645" t="s">
        <v>1430</v>
      </c>
      <c r="C150" s="808" t="s">
        <v>497</v>
      </c>
      <c r="D150" s="610" t="s">
        <v>1083</v>
      </c>
      <c r="E150" s="975" t="s">
        <v>899</v>
      </c>
      <c r="F150" s="976" t="s">
        <v>1430</v>
      </c>
      <c r="G150" t="b">
        <v>0</v>
      </c>
      <c r="H150" s="977"/>
      <c r="I150" s="978">
        <v>0</v>
      </c>
      <c r="J150" s="978">
        <v>0</v>
      </c>
      <c r="K150" s="978">
        <v>0</v>
      </c>
      <c r="L150" s="979">
        <v>0</v>
      </c>
      <c r="M150" s="980">
        <v>0</v>
      </c>
      <c r="N150" s="978"/>
      <c r="O150" s="978">
        <v>0</v>
      </c>
      <c r="P150" s="978">
        <v>0</v>
      </c>
      <c r="Q150" s="978">
        <v>0</v>
      </c>
      <c r="R150" s="979">
        <v>0</v>
      </c>
      <c r="S150" s="980">
        <v>0</v>
      </c>
      <c r="T150" s="978"/>
      <c r="U150" s="978">
        <v>0</v>
      </c>
      <c r="V150" s="978">
        <v>0</v>
      </c>
      <c r="W150" s="978">
        <v>0</v>
      </c>
      <c r="X150" s="979">
        <v>0</v>
      </c>
      <c r="Y150" s="981">
        <v>0</v>
      </c>
    </row>
    <row r="151" spans="1:25" ht="14.25">
      <c r="A151" s="807" t="s">
        <v>900</v>
      </c>
      <c r="B151" s="645" t="s">
        <v>1440</v>
      </c>
      <c r="C151" s="808" t="s">
        <v>498</v>
      </c>
      <c r="D151" s="610" t="s">
        <v>1085</v>
      </c>
      <c r="E151" s="975" t="s">
        <v>900</v>
      </c>
      <c r="F151" s="976" t="s">
        <v>1440</v>
      </c>
      <c r="G151" t="b">
        <v>0</v>
      </c>
      <c r="H151" s="977"/>
      <c r="I151" s="978">
        <v>0</v>
      </c>
      <c r="J151" s="978">
        <v>0</v>
      </c>
      <c r="K151" s="978">
        <v>0</v>
      </c>
      <c r="L151" s="979">
        <v>0</v>
      </c>
      <c r="M151" s="980">
        <v>0</v>
      </c>
      <c r="N151" s="978"/>
      <c r="O151" s="978">
        <v>0</v>
      </c>
      <c r="P151" s="978">
        <v>0</v>
      </c>
      <c r="Q151" s="978">
        <v>0</v>
      </c>
      <c r="R151" s="979">
        <v>0</v>
      </c>
      <c r="S151" s="980">
        <v>0</v>
      </c>
      <c r="T151" s="978"/>
      <c r="U151" s="978">
        <v>0</v>
      </c>
      <c r="V151" s="978">
        <v>0</v>
      </c>
      <c r="W151" s="978">
        <v>0</v>
      </c>
      <c r="X151" s="979">
        <v>0</v>
      </c>
      <c r="Y151" s="981">
        <v>0</v>
      </c>
    </row>
    <row r="152" spans="1:25" ht="14.25">
      <c r="A152" s="807" t="s">
        <v>901</v>
      </c>
      <c r="B152" s="645" t="s">
        <v>1451</v>
      </c>
      <c r="C152" s="808" t="s">
        <v>499</v>
      </c>
      <c r="D152" s="610" t="s">
        <v>1452</v>
      </c>
      <c r="E152" s="975" t="s">
        <v>901</v>
      </c>
      <c r="F152" s="976" t="s">
        <v>1451</v>
      </c>
      <c r="G152" t="b">
        <v>0</v>
      </c>
      <c r="H152" s="977"/>
      <c r="I152" s="978">
        <v>0</v>
      </c>
      <c r="J152" s="978">
        <v>0</v>
      </c>
      <c r="K152" s="978">
        <v>0</v>
      </c>
      <c r="L152" s="979">
        <v>0</v>
      </c>
      <c r="M152" s="980">
        <v>0</v>
      </c>
      <c r="N152" s="978"/>
      <c r="O152" s="978">
        <v>0</v>
      </c>
      <c r="P152" s="978">
        <v>0</v>
      </c>
      <c r="Q152" s="978">
        <v>0</v>
      </c>
      <c r="R152" s="979">
        <v>0</v>
      </c>
      <c r="S152" s="980">
        <v>0</v>
      </c>
      <c r="T152" s="978"/>
      <c r="U152" s="978">
        <v>0</v>
      </c>
      <c r="V152" s="978">
        <v>0</v>
      </c>
      <c r="W152" s="978">
        <v>0</v>
      </c>
      <c r="X152" s="979">
        <v>0</v>
      </c>
      <c r="Y152" s="981">
        <v>0</v>
      </c>
    </row>
    <row r="153" spans="1:25" ht="14.25">
      <c r="A153" s="807" t="s">
        <v>902</v>
      </c>
      <c r="B153" s="645" t="s">
        <v>1453</v>
      </c>
      <c r="C153" s="808" t="s">
        <v>500</v>
      </c>
      <c r="D153" s="610" t="s">
        <v>1454</v>
      </c>
      <c r="E153" s="975" t="s">
        <v>902</v>
      </c>
      <c r="F153" s="976" t="s">
        <v>1453</v>
      </c>
      <c r="G153" t="b">
        <v>0</v>
      </c>
      <c r="H153" s="977"/>
      <c r="I153" s="978">
        <v>0</v>
      </c>
      <c r="J153" s="978">
        <v>0</v>
      </c>
      <c r="K153" s="978">
        <v>0</v>
      </c>
      <c r="L153" s="979">
        <v>0</v>
      </c>
      <c r="M153" s="980">
        <v>0</v>
      </c>
      <c r="N153" s="978"/>
      <c r="O153" s="978">
        <v>0</v>
      </c>
      <c r="P153" s="978">
        <v>0</v>
      </c>
      <c r="Q153" s="978">
        <v>0</v>
      </c>
      <c r="R153" s="979">
        <v>0</v>
      </c>
      <c r="S153" s="980">
        <v>0</v>
      </c>
      <c r="T153" s="978"/>
      <c r="U153" s="978">
        <v>0</v>
      </c>
      <c r="V153" s="978">
        <v>0</v>
      </c>
      <c r="W153" s="978">
        <v>0</v>
      </c>
      <c r="X153" s="979">
        <v>0</v>
      </c>
      <c r="Y153" s="981">
        <v>0</v>
      </c>
    </row>
    <row r="154" spans="1:25" ht="14.25">
      <c r="A154" s="807" t="s">
        <v>903</v>
      </c>
      <c r="B154" s="645" t="s">
        <v>1477</v>
      </c>
      <c r="C154" s="808" t="s">
        <v>501</v>
      </c>
      <c r="D154" s="610" t="s">
        <v>1456</v>
      </c>
      <c r="E154" s="975" t="s">
        <v>903</v>
      </c>
      <c r="F154" s="976" t="s">
        <v>1477</v>
      </c>
      <c r="G154" t="b">
        <v>0</v>
      </c>
      <c r="H154" s="977"/>
      <c r="I154" s="978">
        <v>0</v>
      </c>
      <c r="J154" s="978">
        <v>0</v>
      </c>
      <c r="K154" s="978">
        <v>0</v>
      </c>
      <c r="L154" s="979">
        <v>0</v>
      </c>
      <c r="M154" s="980">
        <v>0</v>
      </c>
      <c r="N154" s="978"/>
      <c r="O154" s="978">
        <v>0</v>
      </c>
      <c r="P154" s="978">
        <v>0</v>
      </c>
      <c r="Q154" s="978">
        <v>0</v>
      </c>
      <c r="R154" s="979">
        <v>0</v>
      </c>
      <c r="S154" s="980">
        <v>0</v>
      </c>
      <c r="T154" s="978"/>
      <c r="U154" s="978">
        <v>0</v>
      </c>
      <c r="V154" s="978">
        <v>0</v>
      </c>
      <c r="W154" s="978">
        <v>0</v>
      </c>
      <c r="X154" s="979">
        <v>0</v>
      </c>
      <c r="Y154" s="981">
        <v>0</v>
      </c>
    </row>
    <row r="155" spans="1:25" ht="14.25">
      <c r="A155" s="807" t="s">
        <v>904</v>
      </c>
      <c r="B155" s="645" t="s">
        <v>1464</v>
      </c>
      <c r="C155" s="808" t="s">
        <v>502</v>
      </c>
      <c r="D155" s="610" t="s">
        <v>1265</v>
      </c>
      <c r="E155" s="975" t="s">
        <v>904</v>
      </c>
      <c r="F155" s="976" t="s">
        <v>1464</v>
      </c>
      <c r="G155" t="b">
        <v>0</v>
      </c>
      <c r="H155" s="977"/>
      <c r="I155" s="978">
        <v>0</v>
      </c>
      <c r="J155" s="978">
        <v>0</v>
      </c>
      <c r="K155" s="978">
        <v>0</v>
      </c>
      <c r="L155" s="979">
        <v>0</v>
      </c>
      <c r="M155" s="980">
        <v>0</v>
      </c>
      <c r="N155" s="978"/>
      <c r="O155" s="978">
        <v>0</v>
      </c>
      <c r="P155" s="978">
        <v>0</v>
      </c>
      <c r="Q155" s="978">
        <v>0</v>
      </c>
      <c r="R155" s="979">
        <v>0</v>
      </c>
      <c r="S155" s="980">
        <v>0</v>
      </c>
      <c r="T155" s="978"/>
      <c r="U155" s="978">
        <v>0</v>
      </c>
      <c r="V155" s="978">
        <v>0</v>
      </c>
      <c r="W155" s="978">
        <v>0</v>
      </c>
      <c r="X155" s="979">
        <v>0</v>
      </c>
      <c r="Y155" s="981">
        <v>0</v>
      </c>
    </row>
    <row r="156" spans="1:25" ht="14.25">
      <c r="A156" s="807" t="s">
        <v>905</v>
      </c>
      <c r="B156" s="645" t="s">
        <v>1465</v>
      </c>
      <c r="C156" s="808" t="s">
        <v>503</v>
      </c>
      <c r="D156" s="610" t="s">
        <v>1018</v>
      </c>
      <c r="E156" s="975" t="s">
        <v>905</v>
      </c>
      <c r="F156" s="976" t="s">
        <v>1465</v>
      </c>
      <c r="G156" t="b">
        <v>0</v>
      </c>
      <c r="H156" s="977"/>
      <c r="I156" s="978">
        <v>0</v>
      </c>
      <c r="J156" s="978">
        <v>0</v>
      </c>
      <c r="K156" s="978">
        <v>0</v>
      </c>
      <c r="L156" s="979">
        <v>0</v>
      </c>
      <c r="M156" s="980">
        <v>0</v>
      </c>
      <c r="N156" s="978"/>
      <c r="O156" s="978">
        <v>0</v>
      </c>
      <c r="P156" s="978">
        <v>0</v>
      </c>
      <c r="Q156" s="978">
        <v>0</v>
      </c>
      <c r="R156" s="979">
        <v>0</v>
      </c>
      <c r="S156" s="980">
        <v>0</v>
      </c>
      <c r="T156" s="978"/>
      <c r="U156" s="978">
        <v>0</v>
      </c>
      <c r="V156" s="978">
        <v>0</v>
      </c>
      <c r="W156" s="978">
        <v>0</v>
      </c>
      <c r="X156" s="979">
        <v>0</v>
      </c>
      <c r="Y156" s="981">
        <v>0</v>
      </c>
    </row>
    <row r="157" spans="1:25" ht="14.25">
      <c r="A157" s="807" t="s">
        <v>906</v>
      </c>
      <c r="B157" s="645" t="s">
        <v>1466</v>
      </c>
      <c r="C157" s="808" t="s">
        <v>504</v>
      </c>
      <c r="D157" s="562" t="s">
        <v>1021</v>
      </c>
      <c r="E157" s="975" t="s">
        <v>906</v>
      </c>
      <c r="F157" s="976" t="s">
        <v>1466</v>
      </c>
      <c r="G157" t="b">
        <v>0</v>
      </c>
      <c r="H157" s="977"/>
      <c r="I157" s="978">
        <v>0</v>
      </c>
      <c r="J157" s="978">
        <v>0</v>
      </c>
      <c r="K157" s="978">
        <v>0</v>
      </c>
      <c r="L157" s="979">
        <v>0</v>
      </c>
      <c r="M157" s="980">
        <v>0</v>
      </c>
      <c r="N157" s="978"/>
      <c r="O157" s="978">
        <v>0</v>
      </c>
      <c r="P157" s="978">
        <v>0</v>
      </c>
      <c r="Q157" s="978">
        <v>0</v>
      </c>
      <c r="R157" s="979">
        <v>0</v>
      </c>
      <c r="S157" s="980">
        <v>0</v>
      </c>
      <c r="T157" s="978"/>
      <c r="U157" s="978">
        <v>0</v>
      </c>
      <c r="V157" s="978">
        <v>0</v>
      </c>
      <c r="W157" s="978">
        <v>0</v>
      </c>
      <c r="X157" s="979">
        <v>0</v>
      </c>
      <c r="Y157" s="981">
        <v>0</v>
      </c>
    </row>
    <row r="158" spans="1:25" ht="14.25">
      <c r="A158" s="807" t="s">
        <v>907</v>
      </c>
      <c r="B158" s="645" t="s">
        <v>1467</v>
      </c>
      <c r="C158" s="808" t="s">
        <v>505</v>
      </c>
      <c r="D158" s="562" t="s">
        <v>1086</v>
      </c>
      <c r="E158" s="975" t="s">
        <v>907</v>
      </c>
      <c r="F158" s="976" t="s">
        <v>1467</v>
      </c>
      <c r="G158" t="b">
        <v>0</v>
      </c>
      <c r="H158" s="977"/>
      <c r="I158" s="978">
        <v>0</v>
      </c>
      <c r="J158" s="978">
        <v>0</v>
      </c>
      <c r="K158" s="978">
        <v>0</v>
      </c>
      <c r="L158" s="979">
        <v>0</v>
      </c>
      <c r="M158" s="980">
        <v>0</v>
      </c>
      <c r="N158" s="978"/>
      <c r="O158" s="978">
        <v>0</v>
      </c>
      <c r="P158" s="978">
        <v>0</v>
      </c>
      <c r="Q158" s="978">
        <v>0</v>
      </c>
      <c r="R158" s="979">
        <v>0</v>
      </c>
      <c r="S158" s="980">
        <v>0</v>
      </c>
      <c r="T158" s="978"/>
      <c r="U158" s="978">
        <v>0</v>
      </c>
      <c r="V158" s="978">
        <v>0</v>
      </c>
      <c r="W158" s="978">
        <v>0</v>
      </c>
      <c r="X158" s="979">
        <v>0</v>
      </c>
      <c r="Y158" s="981">
        <v>0</v>
      </c>
    </row>
    <row r="159" spans="1:25" ht="14.25">
      <c r="A159" s="807" t="s">
        <v>908</v>
      </c>
      <c r="B159" s="645" t="s">
        <v>1468</v>
      </c>
      <c r="C159" s="808" t="s">
        <v>506</v>
      </c>
      <c r="D159" s="610" t="s">
        <v>1087</v>
      </c>
      <c r="E159" s="975" t="s">
        <v>908</v>
      </c>
      <c r="F159" s="976" t="s">
        <v>1468</v>
      </c>
      <c r="G159" t="b">
        <v>0</v>
      </c>
      <c r="H159" s="977"/>
      <c r="I159" s="978">
        <v>0</v>
      </c>
      <c r="J159" s="978">
        <v>0</v>
      </c>
      <c r="K159" s="978">
        <v>0</v>
      </c>
      <c r="L159" s="979">
        <v>0</v>
      </c>
      <c r="M159" s="980">
        <v>0</v>
      </c>
      <c r="N159" s="978"/>
      <c r="O159" s="978">
        <v>0</v>
      </c>
      <c r="P159" s="978">
        <v>0</v>
      </c>
      <c r="Q159" s="978">
        <v>0</v>
      </c>
      <c r="R159" s="979">
        <v>0</v>
      </c>
      <c r="S159" s="980">
        <v>0</v>
      </c>
      <c r="T159" s="978"/>
      <c r="U159" s="978">
        <v>0</v>
      </c>
      <c r="V159" s="978">
        <v>0</v>
      </c>
      <c r="W159" s="978">
        <v>0</v>
      </c>
      <c r="X159" s="979">
        <v>0</v>
      </c>
      <c r="Y159" s="981">
        <v>0</v>
      </c>
    </row>
    <row r="160" spans="1:25" ht="14.25">
      <c r="A160" s="814" t="s">
        <v>909</v>
      </c>
      <c r="B160" s="645" t="s">
        <v>1469</v>
      </c>
      <c r="C160" s="808" t="s">
        <v>507</v>
      </c>
      <c r="D160" s="610" t="s">
        <v>1316</v>
      </c>
      <c r="E160" s="975" t="s">
        <v>909</v>
      </c>
      <c r="F160" s="976" t="s">
        <v>1469</v>
      </c>
      <c r="G160" t="b">
        <v>0</v>
      </c>
      <c r="H160" s="977"/>
      <c r="I160" s="978">
        <v>0</v>
      </c>
      <c r="J160" s="978">
        <v>0</v>
      </c>
      <c r="K160" s="978">
        <v>0</v>
      </c>
      <c r="L160" s="979">
        <v>0</v>
      </c>
      <c r="M160" s="980">
        <v>0</v>
      </c>
      <c r="N160" s="978"/>
      <c r="O160" s="978">
        <v>0</v>
      </c>
      <c r="P160" s="978">
        <v>0</v>
      </c>
      <c r="Q160" s="978">
        <v>0</v>
      </c>
      <c r="R160" s="979">
        <v>0</v>
      </c>
      <c r="S160" s="980">
        <v>0</v>
      </c>
      <c r="T160" s="978"/>
      <c r="U160" s="978">
        <v>0</v>
      </c>
      <c r="V160" s="978">
        <v>0</v>
      </c>
      <c r="W160" s="978">
        <v>0</v>
      </c>
      <c r="X160" s="979">
        <v>0</v>
      </c>
      <c r="Y160" s="981">
        <v>0</v>
      </c>
    </row>
    <row r="161" spans="1:25" ht="14.25">
      <c r="A161" s="807" t="s">
        <v>910</v>
      </c>
      <c r="B161" s="645" t="s">
        <v>1478</v>
      </c>
      <c r="C161" s="808" t="s">
        <v>508</v>
      </c>
      <c r="D161" s="610" t="s">
        <v>1479</v>
      </c>
      <c r="E161" s="975" t="s">
        <v>910</v>
      </c>
      <c r="F161" s="976" t="s">
        <v>1478</v>
      </c>
      <c r="G161" t="b">
        <v>1</v>
      </c>
      <c r="H161" s="977"/>
      <c r="I161" s="978">
        <v>3000</v>
      </c>
      <c r="J161" s="978">
        <v>330</v>
      </c>
      <c r="K161" s="978">
        <v>695</v>
      </c>
      <c r="L161" s="979">
        <v>0.29751791666666699</v>
      </c>
      <c r="M161" s="980">
        <v>2.0999999999999979</v>
      </c>
      <c r="N161" s="978"/>
      <c r="O161" s="978">
        <v>3600</v>
      </c>
      <c r="P161" s="978">
        <v>475.2</v>
      </c>
      <c r="Q161" s="978">
        <v>834</v>
      </c>
      <c r="R161" s="979">
        <v>0.29751791666666699</v>
      </c>
      <c r="S161" s="980">
        <v>3.6287999999999956</v>
      </c>
      <c r="T161" s="978"/>
      <c r="U161" s="978">
        <v>1754.4106429277199</v>
      </c>
      <c r="V161" s="978">
        <v>112.85841248066203</v>
      </c>
      <c r="W161" s="978">
        <v>406.43846561158841</v>
      </c>
      <c r="X161" s="979">
        <v>0.29751791666666699</v>
      </c>
      <c r="Y161" s="981">
        <v>0.4</v>
      </c>
    </row>
    <row r="162" spans="1:25" ht="14.25">
      <c r="A162" s="807" t="s">
        <v>911</v>
      </c>
      <c r="B162" s="645" t="s">
        <v>1480</v>
      </c>
      <c r="C162" s="808" t="s">
        <v>508</v>
      </c>
      <c r="D162" s="610" t="s">
        <v>1479</v>
      </c>
      <c r="E162" s="975" t="s">
        <v>911</v>
      </c>
      <c r="F162" s="976" t="s">
        <v>1480</v>
      </c>
      <c r="G162" t="b">
        <v>0</v>
      </c>
      <c r="H162" s="977"/>
      <c r="I162" s="978">
        <v>0</v>
      </c>
      <c r="J162" s="978">
        <v>0</v>
      </c>
      <c r="K162" s="978">
        <v>0</v>
      </c>
      <c r="L162" s="979">
        <v>0</v>
      </c>
      <c r="M162" s="980">
        <v>0</v>
      </c>
      <c r="N162" s="978"/>
      <c r="O162" s="978">
        <v>0</v>
      </c>
      <c r="P162" s="978">
        <v>0</v>
      </c>
      <c r="Q162" s="978">
        <v>0</v>
      </c>
      <c r="R162" s="979">
        <v>0</v>
      </c>
      <c r="S162" s="980">
        <v>0</v>
      </c>
      <c r="T162" s="978"/>
      <c r="U162" s="978">
        <v>0</v>
      </c>
      <c r="V162" s="978">
        <v>0</v>
      </c>
      <c r="W162" s="978">
        <v>0</v>
      </c>
      <c r="X162" s="979">
        <v>0</v>
      </c>
      <c r="Y162" s="981">
        <v>0</v>
      </c>
    </row>
    <row r="163" spans="1:25" ht="14.25">
      <c r="A163" s="807" t="s">
        <v>912</v>
      </c>
      <c r="B163" s="645" t="s">
        <v>1481</v>
      </c>
      <c r="C163" s="808" t="s">
        <v>509</v>
      </c>
      <c r="D163" s="610" t="s">
        <v>1482</v>
      </c>
      <c r="E163" s="975" t="s">
        <v>912</v>
      </c>
      <c r="F163" s="976" t="s">
        <v>1481</v>
      </c>
      <c r="G163" t="b">
        <v>1</v>
      </c>
      <c r="H163" s="977"/>
      <c r="I163" s="978">
        <v>3000</v>
      </c>
      <c r="J163" s="978">
        <v>362</v>
      </c>
      <c r="K163" s="978">
        <v>917</v>
      </c>
      <c r="L163" s="979">
        <v>0.64592715833333303</v>
      </c>
      <c r="M163" s="980">
        <v>1.4000000000000006</v>
      </c>
      <c r="N163" s="978"/>
      <c r="O163" s="978">
        <v>3600</v>
      </c>
      <c r="P163" s="978">
        <v>521.28</v>
      </c>
      <c r="Q163" s="978">
        <v>1100.3999999999999</v>
      </c>
      <c r="R163" s="979">
        <v>0.64592715833333303</v>
      </c>
      <c r="S163" s="980">
        <v>2.4192000000000013</v>
      </c>
      <c r="T163" s="978"/>
      <c r="U163" s="978">
        <v>1754.4106429277199</v>
      </c>
      <c r="V163" s="978">
        <v>123.80225853939288</v>
      </c>
      <c r="W163" s="978">
        <v>536.26485318823973</v>
      </c>
      <c r="X163" s="979">
        <v>0.64592715833333303</v>
      </c>
      <c r="Y163" s="981">
        <v>0.3</v>
      </c>
    </row>
    <row r="164" spans="1:25" ht="14.25">
      <c r="A164" s="807" t="s">
        <v>913</v>
      </c>
      <c r="B164" s="645" t="s">
        <v>1483</v>
      </c>
      <c r="C164" s="808" t="s">
        <v>509</v>
      </c>
      <c r="D164" s="610" t="s">
        <v>1482</v>
      </c>
      <c r="E164" s="975" t="s">
        <v>913</v>
      </c>
      <c r="F164" s="976" t="s">
        <v>1483</v>
      </c>
      <c r="G164" t="b">
        <v>0</v>
      </c>
      <c r="H164" s="977"/>
      <c r="I164" s="978">
        <v>0</v>
      </c>
      <c r="J164" s="978">
        <v>0</v>
      </c>
      <c r="K164" s="978">
        <v>0</v>
      </c>
      <c r="L164" s="979">
        <v>0</v>
      </c>
      <c r="M164" s="980">
        <v>0</v>
      </c>
      <c r="N164" s="978"/>
      <c r="O164" s="978">
        <v>0</v>
      </c>
      <c r="P164" s="978">
        <v>0</v>
      </c>
      <c r="Q164" s="978">
        <v>0</v>
      </c>
      <c r="R164" s="979">
        <v>0</v>
      </c>
      <c r="S164" s="980">
        <v>0</v>
      </c>
      <c r="T164" s="978"/>
      <c r="U164" s="978">
        <v>0</v>
      </c>
      <c r="V164" s="978">
        <v>0</v>
      </c>
      <c r="W164" s="978">
        <v>0</v>
      </c>
      <c r="X164" s="979">
        <v>0</v>
      </c>
      <c r="Y164" s="981">
        <v>0</v>
      </c>
    </row>
    <row r="165" spans="1:25" ht="14.25">
      <c r="A165" s="807" t="s">
        <v>914</v>
      </c>
      <c r="B165" s="645" t="s">
        <v>1484</v>
      </c>
      <c r="C165" s="808" t="s">
        <v>510</v>
      </c>
      <c r="D165" s="610" t="s">
        <v>1485</v>
      </c>
      <c r="E165" s="975" t="s">
        <v>914</v>
      </c>
      <c r="F165" s="976" t="s">
        <v>1484</v>
      </c>
      <c r="G165" t="b">
        <v>0</v>
      </c>
      <c r="H165" s="977"/>
      <c r="I165" s="978">
        <v>0</v>
      </c>
      <c r="J165" s="978">
        <v>0</v>
      </c>
      <c r="K165" s="978">
        <v>0</v>
      </c>
      <c r="L165" s="979">
        <v>0</v>
      </c>
      <c r="M165" s="980">
        <v>0</v>
      </c>
      <c r="N165" s="978"/>
      <c r="O165" s="978">
        <v>0</v>
      </c>
      <c r="P165" s="978">
        <v>0</v>
      </c>
      <c r="Q165" s="978">
        <v>0</v>
      </c>
      <c r="R165" s="979">
        <v>0</v>
      </c>
      <c r="S165" s="980">
        <v>0</v>
      </c>
      <c r="T165" s="978"/>
      <c r="U165" s="978">
        <v>0</v>
      </c>
      <c r="V165" s="978">
        <v>0</v>
      </c>
      <c r="W165" s="978">
        <v>0</v>
      </c>
      <c r="X165" s="979">
        <v>0</v>
      </c>
      <c r="Y165" s="981">
        <v>0</v>
      </c>
    </row>
    <row r="166" spans="1:25" ht="14.25">
      <c r="A166" s="807" t="s">
        <v>915</v>
      </c>
      <c r="B166" s="645" t="s">
        <v>1486</v>
      </c>
      <c r="C166" s="808" t="s">
        <v>510</v>
      </c>
      <c r="D166" s="610" t="s">
        <v>1485</v>
      </c>
      <c r="E166" s="975" t="s">
        <v>915</v>
      </c>
      <c r="F166" s="976" t="s">
        <v>1486</v>
      </c>
      <c r="G166" t="b">
        <v>1</v>
      </c>
      <c r="H166" s="977"/>
      <c r="I166" s="978">
        <v>3000</v>
      </c>
      <c r="J166" s="978">
        <v>379</v>
      </c>
      <c r="K166" s="978">
        <v>1245</v>
      </c>
      <c r="L166" s="979">
        <v>0.59786588953488395</v>
      </c>
      <c r="M166" s="980">
        <v>2.1499999999999995</v>
      </c>
      <c r="N166" s="978"/>
      <c r="O166" s="978">
        <v>3600</v>
      </c>
      <c r="P166" s="978">
        <v>545.76</v>
      </c>
      <c r="Q166" s="978">
        <v>1494</v>
      </c>
      <c r="R166" s="979">
        <v>0.59786588953488395</v>
      </c>
      <c r="S166" s="980">
        <v>3.7151999999999985</v>
      </c>
      <c r="T166" s="978"/>
      <c r="U166" s="978">
        <v>1754.4106429277199</v>
      </c>
      <c r="V166" s="978">
        <v>129.61617675809364</v>
      </c>
      <c r="W166" s="978">
        <v>728.08041681500367</v>
      </c>
      <c r="X166" s="979">
        <v>0.59786588953488395</v>
      </c>
      <c r="Y166" s="981">
        <v>0.4</v>
      </c>
    </row>
    <row r="167" spans="1:25" ht="14.25">
      <c r="A167" s="807" t="s">
        <v>916</v>
      </c>
      <c r="B167" s="645" t="s">
        <v>1487</v>
      </c>
      <c r="C167" s="808" t="s">
        <v>511</v>
      </c>
      <c r="D167" s="610" t="s">
        <v>1488</v>
      </c>
      <c r="E167" s="975" t="s">
        <v>916</v>
      </c>
      <c r="F167" s="976" t="s">
        <v>1487</v>
      </c>
      <c r="G167" t="b">
        <v>1</v>
      </c>
      <c r="H167" s="977"/>
      <c r="I167" s="978">
        <v>3000</v>
      </c>
      <c r="J167" s="978">
        <v>340</v>
      </c>
      <c r="K167" s="978">
        <v>2365</v>
      </c>
      <c r="L167" s="979">
        <v>0.576448004385965</v>
      </c>
      <c r="M167" s="980">
        <v>3.7999999999999994</v>
      </c>
      <c r="N167" s="978"/>
      <c r="O167" s="978">
        <v>3600</v>
      </c>
      <c r="P167" s="978">
        <v>489.59999999999997</v>
      </c>
      <c r="Q167" s="978">
        <v>2838</v>
      </c>
      <c r="R167" s="979">
        <v>0.576448004385965</v>
      </c>
      <c r="S167" s="980">
        <v>6.566399999999998</v>
      </c>
      <c r="T167" s="978"/>
      <c r="U167" s="978">
        <v>1754.4106429277199</v>
      </c>
      <c r="V167" s="978">
        <v>116.27836437401541</v>
      </c>
      <c r="W167" s="978">
        <v>1383.0603901746858</v>
      </c>
      <c r="X167" s="979">
        <v>0.576448004385965</v>
      </c>
      <c r="Y167" s="981">
        <v>0.8</v>
      </c>
    </row>
    <row r="168" spans="1:25" ht="14.25">
      <c r="A168" s="807" t="s">
        <v>917</v>
      </c>
      <c r="B168" s="645" t="s">
        <v>1489</v>
      </c>
      <c r="C168" s="808" t="s">
        <v>512</v>
      </c>
      <c r="D168" s="610" t="s">
        <v>1490</v>
      </c>
      <c r="E168" s="975" t="s">
        <v>917</v>
      </c>
      <c r="F168" s="976" t="s">
        <v>1489</v>
      </c>
      <c r="G168" t="b">
        <v>1</v>
      </c>
      <c r="H168" s="977"/>
      <c r="I168" s="978">
        <v>3000</v>
      </c>
      <c r="J168" s="978">
        <v>385</v>
      </c>
      <c r="K168" s="978">
        <v>2900</v>
      </c>
      <c r="L168" s="979">
        <v>0.64713448581560296</v>
      </c>
      <c r="M168" s="980">
        <v>4.6999999999999993</v>
      </c>
      <c r="N168" s="978"/>
      <c r="O168" s="978">
        <v>3600</v>
      </c>
      <c r="P168" s="978">
        <v>554.4</v>
      </c>
      <c r="Q168" s="978">
        <v>3480</v>
      </c>
      <c r="R168" s="979">
        <v>0.64713448581560296</v>
      </c>
      <c r="S168" s="980">
        <v>8.1215999999999973</v>
      </c>
      <c r="T168" s="978"/>
      <c r="U168" s="978">
        <v>1754.4106429277199</v>
      </c>
      <c r="V168" s="978">
        <v>131.66814789410569</v>
      </c>
      <c r="W168" s="978">
        <v>1695.9302881634624</v>
      </c>
      <c r="X168" s="979">
        <v>0.64713448581560296</v>
      </c>
      <c r="Y168" s="981">
        <v>0.9</v>
      </c>
    </row>
    <row r="169" spans="1:25" ht="14.25">
      <c r="A169" s="807" t="s">
        <v>918</v>
      </c>
      <c r="B169" s="645" t="s">
        <v>1491</v>
      </c>
      <c r="C169" s="808" t="s">
        <v>513</v>
      </c>
      <c r="D169" s="610" t="s">
        <v>1492</v>
      </c>
      <c r="E169" s="975" t="s">
        <v>918</v>
      </c>
      <c r="F169" s="976" t="s">
        <v>1491</v>
      </c>
      <c r="G169" t="b">
        <v>1</v>
      </c>
      <c r="H169" s="977"/>
      <c r="I169" s="978">
        <v>3000</v>
      </c>
      <c r="J169" s="978">
        <v>385</v>
      </c>
      <c r="K169" s="978">
        <v>2900</v>
      </c>
      <c r="L169" s="979">
        <v>0.64713448581560296</v>
      </c>
      <c r="M169" s="980">
        <v>4.6999999999999993</v>
      </c>
      <c r="N169" s="978"/>
      <c r="O169" s="978">
        <v>3600</v>
      </c>
      <c r="P169" s="978">
        <v>554.4</v>
      </c>
      <c r="Q169" s="978">
        <v>3480</v>
      </c>
      <c r="R169" s="979">
        <v>0.64713448581560296</v>
      </c>
      <c r="S169" s="980">
        <v>8.1215999999999973</v>
      </c>
      <c r="T169" s="978"/>
      <c r="U169" s="978">
        <v>1754.4106429277199</v>
      </c>
      <c r="V169" s="978">
        <v>131.66814789410569</v>
      </c>
      <c r="W169" s="978">
        <v>1695.9302881634624</v>
      </c>
      <c r="X169" s="979">
        <v>0.64713448581560296</v>
      </c>
      <c r="Y169" s="981">
        <v>0.9</v>
      </c>
    </row>
    <row r="170" spans="1:25" ht="14.25">
      <c r="A170" s="807" t="s">
        <v>919</v>
      </c>
      <c r="B170" s="645" t="s">
        <v>1493</v>
      </c>
      <c r="C170" s="808" t="s">
        <v>514</v>
      </c>
      <c r="D170" s="610" t="s">
        <v>1494</v>
      </c>
      <c r="E170" s="975" t="s">
        <v>919</v>
      </c>
      <c r="F170" s="976" t="s">
        <v>1493</v>
      </c>
      <c r="G170" t="b">
        <v>1</v>
      </c>
      <c r="H170" s="977"/>
      <c r="I170" s="978">
        <v>3000</v>
      </c>
      <c r="J170" s="978">
        <v>385</v>
      </c>
      <c r="K170" s="978">
        <v>2900</v>
      </c>
      <c r="L170" s="979">
        <v>0.64713448581560296</v>
      </c>
      <c r="M170" s="980">
        <v>4.6999999999999993</v>
      </c>
      <c r="N170" s="978"/>
      <c r="O170" s="978">
        <v>3600</v>
      </c>
      <c r="P170" s="978">
        <v>554.4</v>
      </c>
      <c r="Q170" s="978">
        <v>3480</v>
      </c>
      <c r="R170" s="979">
        <v>0.64713448581560296</v>
      </c>
      <c r="S170" s="980">
        <v>8.1215999999999973</v>
      </c>
      <c r="T170" s="978"/>
      <c r="U170" s="978">
        <v>1754.4106429277199</v>
      </c>
      <c r="V170" s="978">
        <v>131.66814789410569</v>
      </c>
      <c r="W170" s="978">
        <v>1695.9302881634624</v>
      </c>
      <c r="X170" s="979">
        <v>0.64713448581560296</v>
      </c>
      <c r="Y170" s="981">
        <v>0.9</v>
      </c>
    </row>
    <row r="171" spans="1:25" ht="14.25">
      <c r="A171" s="807" t="s">
        <v>920</v>
      </c>
      <c r="B171" s="645" t="s">
        <v>1495</v>
      </c>
      <c r="C171" s="808" t="s">
        <v>515</v>
      </c>
      <c r="D171" s="610" t="s">
        <v>1496</v>
      </c>
      <c r="E171" s="975" t="s">
        <v>920</v>
      </c>
      <c r="F171" s="976" t="s">
        <v>1495</v>
      </c>
      <c r="G171" t="b">
        <v>1</v>
      </c>
      <c r="H171" s="977"/>
      <c r="I171" s="978">
        <v>3000</v>
      </c>
      <c r="J171" s="978">
        <v>450</v>
      </c>
      <c r="K171" s="978">
        <v>750</v>
      </c>
      <c r="L171" s="979">
        <v>0.39123670212765999</v>
      </c>
      <c r="M171" s="980">
        <v>2.3499999999999979</v>
      </c>
      <c r="N171" s="978"/>
      <c r="O171" s="978">
        <v>3600</v>
      </c>
      <c r="P171" s="978">
        <v>648</v>
      </c>
      <c r="Q171" s="978">
        <v>900</v>
      </c>
      <c r="R171" s="979">
        <v>0.39123670212765999</v>
      </c>
      <c r="S171" s="980">
        <v>4.060799999999996</v>
      </c>
      <c r="T171" s="978"/>
      <c r="U171" s="978">
        <v>1754.4106429277199</v>
      </c>
      <c r="V171" s="978">
        <v>153.89783520090276</v>
      </c>
      <c r="W171" s="978">
        <v>438.60266073192997</v>
      </c>
      <c r="X171" s="979">
        <v>0.39123670212765999</v>
      </c>
      <c r="Y171" s="981">
        <v>0.5</v>
      </c>
    </row>
    <row r="172" spans="1:25" ht="14.25">
      <c r="A172" s="807" t="s">
        <v>921</v>
      </c>
      <c r="B172" s="645" t="s">
        <v>1497</v>
      </c>
      <c r="C172" s="808" t="s">
        <v>515</v>
      </c>
      <c r="D172" s="610" t="s">
        <v>1496</v>
      </c>
      <c r="E172" s="975" t="s">
        <v>921</v>
      </c>
      <c r="F172" s="976" t="s">
        <v>1497</v>
      </c>
      <c r="G172" t="b">
        <v>0</v>
      </c>
      <c r="H172" s="977"/>
      <c r="I172" s="978">
        <v>0</v>
      </c>
      <c r="J172" s="978">
        <v>0</v>
      </c>
      <c r="K172" s="978">
        <v>0</v>
      </c>
      <c r="L172" s="979">
        <v>0</v>
      </c>
      <c r="M172" s="980">
        <v>0</v>
      </c>
      <c r="N172" s="978"/>
      <c r="O172" s="978">
        <v>0</v>
      </c>
      <c r="P172" s="978">
        <v>0</v>
      </c>
      <c r="Q172" s="978">
        <v>0</v>
      </c>
      <c r="R172" s="979">
        <v>0</v>
      </c>
      <c r="S172" s="980">
        <v>0</v>
      </c>
      <c r="T172" s="978"/>
      <c r="U172" s="978">
        <v>0</v>
      </c>
      <c r="V172" s="978">
        <v>0</v>
      </c>
      <c r="W172" s="978">
        <v>0</v>
      </c>
      <c r="X172" s="979">
        <v>0</v>
      </c>
      <c r="Y172" s="981">
        <v>0</v>
      </c>
    </row>
    <row r="173" spans="1:25" ht="14.25">
      <c r="A173" s="807" t="s">
        <v>922</v>
      </c>
      <c r="B173" s="645" t="s">
        <v>1498</v>
      </c>
      <c r="C173" s="808" t="s">
        <v>77</v>
      </c>
      <c r="D173" s="610" t="s">
        <v>1499</v>
      </c>
      <c r="E173" s="975" t="s">
        <v>922</v>
      </c>
      <c r="F173" s="976" t="s">
        <v>1498</v>
      </c>
      <c r="G173" t="b">
        <v>1</v>
      </c>
      <c r="H173" s="977"/>
      <c r="I173" s="978">
        <v>3000</v>
      </c>
      <c r="J173" s="978">
        <v>475</v>
      </c>
      <c r="K173" s="978">
        <v>1100</v>
      </c>
      <c r="L173" s="979">
        <v>0.43132638888888902</v>
      </c>
      <c r="M173" s="980">
        <v>3.2999999999999989</v>
      </c>
      <c r="N173" s="978"/>
      <c r="O173" s="978">
        <v>3600</v>
      </c>
      <c r="P173" s="978">
        <v>684</v>
      </c>
      <c r="Q173" s="978">
        <v>1320</v>
      </c>
      <c r="R173" s="979">
        <v>0.43132638888888902</v>
      </c>
      <c r="S173" s="980">
        <v>5.7023999999999981</v>
      </c>
      <c r="T173" s="978"/>
      <c r="U173" s="978">
        <v>1754.4106429277199</v>
      </c>
      <c r="V173" s="978">
        <v>162.44771493428624</v>
      </c>
      <c r="W173" s="978">
        <v>643.28390240683063</v>
      </c>
      <c r="X173" s="979">
        <v>0.43132638888888902</v>
      </c>
      <c r="Y173" s="981">
        <v>0.7</v>
      </c>
    </row>
    <row r="174" spans="1:25" ht="14.25">
      <c r="A174" s="807" t="s">
        <v>923</v>
      </c>
      <c r="B174" s="645" t="s">
        <v>1500</v>
      </c>
      <c r="C174" s="808" t="s">
        <v>77</v>
      </c>
      <c r="D174" s="610" t="s">
        <v>1499</v>
      </c>
      <c r="E174" s="975" t="s">
        <v>923</v>
      </c>
      <c r="F174" s="976" t="s">
        <v>1500</v>
      </c>
      <c r="G174" t="b">
        <v>0</v>
      </c>
      <c r="H174" s="977"/>
      <c r="I174" s="978">
        <v>0</v>
      </c>
      <c r="J174" s="978">
        <v>0</v>
      </c>
      <c r="K174" s="978">
        <v>0</v>
      </c>
      <c r="L174" s="979">
        <v>0</v>
      </c>
      <c r="M174" s="980">
        <v>0</v>
      </c>
      <c r="N174" s="978"/>
      <c r="O174" s="978">
        <v>0</v>
      </c>
      <c r="P174" s="978">
        <v>0</v>
      </c>
      <c r="Q174" s="978">
        <v>0</v>
      </c>
      <c r="R174" s="979">
        <v>0</v>
      </c>
      <c r="S174" s="980">
        <v>0</v>
      </c>
      <c r="T174" s="978"/>
      <c r="U174" s="978">
        <v>0</v>
      </c>
      <c r="V174" s="978">
        <v>0</v>
      </c>
      <c r="W174" s="978">
        <v>0</v>
      </c>
      <c r="X174" s="979">
        <v>0</v>
      </c>
      <c r="Y174" s="981">
        <v>0</v>
      </c>
    </row>
    <row r="175" spans="1:25" ht="14.25">
      <c r="A175" s="807" t="s">
        <v>924</v>
      </c>
      <c r="B175" s="645" t="s">
        <v>1501</v>
      </c>
      <c r="C175" s="808" t="s">
        <v>78</v>
      </c>
      <c r="D175" s="610" t="s">
        <v>1502</v>
      </c>
      <c r="E175" s="975" t="s">
        <v>924</v>
      </c>
      <c r="F175" s="976" t="s">
        <v>1501</v>
      </c>
      <c r="G175" t="b">
        <v>0</v>
      </c>
      <c r="H175" s="977"/>
      <c r="I175" s="978">
        <v>0</v>
      </c>
      <c r="J175" s="978">
        <v>0</v>
      </c>
      <c r="K175" s="978">
        <v>0</v>
      </c>
      <c r="L175" s="979">
        <v>0</v>
      </c>
      <c r="M175" s="980">
        <v>0</v>
      </c>
      <c r="N175" s="978"/>
      <c r="O175" s="978">
        <v>0</v>
      </c>
      <c r="P175" s="978">
        <v>0</v>
      </c>
      <c r="Q175" s="978">
        <v>0</v>
      </c>
      <c r="R175" s="979">
        <v>0</v>
      </c>
      <c r="S175" s="980">
        <v>0</v>
      </c>
      <c r="T175" s="978"/>
      <c r="U175" s="978">
        <v>0</v>
      </c>
      <c r="V175" s="978">
        <v>0</v>
      </c>
      <c r="W175" s="978">
        <v>0</v>
      </c>
      <c r="X175" s="979">
        <v>0</v>
      </c>
      <c r="Y175" s="981">
        <v>0</v>
      </c>
    </row>
    <row r="176" spans="1:25" ht="14.25">
      <c r="A176" s="807" t="s">
        <v>925</v>
      </c>
      <c r="B176" s="645" t="s">
        <v>1503</v>
      </c>
      <c r="C176" s="808" t="s">
        <v>78</v>
      </c>
      <c r="D176" s="610" t="s">
        <v>1502</v>
      </c>
      <c r="E176" s="975" t="s">
        <v>925</v>
      </c>
      <c r="F176" s="976" t="s">
        <v>1503</v>
      </c>
      <c r="G176" t="b">
        <v>1</v>
      </c>
      <c r="H176" s="977"/>
      <c r="I176" s="978">
        <v>3000</v>
      </c>
      <c r="J176" s="978">
        <v>540</v>
      </c>
      <c r="K176" s="978">
        <v>2325</v>
      </c>
      <c r="L176" s="979">
        <v>0.67062573529411795</v>
      </c>
      <c r="M176" s="980">
        <v>5.0999999999999979</v>
      </c>
      <c r="N176" s="978"/>
      <c r="O176" s="978">
        <v>3600</v>
      </c>
      <c r="P176" s="978">
        <v>777.6</v>
      </c>
      <c r="Q176" s="978">
        <v>2790</v>
      </c>
      <c r="R176" s="979">
        <v>0.67062573529411795</v>
      </c>
      <c r="S176" s="980">
        <v>8.8127999999999975</v>
      </c>
      <c r="T176" s="978"/>
      <c r="U176" s="978">
        <v>1754.4106429277199</v>
      </c>
      <c r="V176" s="978">
        <v>184.67740224108331</v>
      </c>
      <c r="W176" s="978">
        <v>1359.6682482689828</v>
      </c>
      <c r="X176" s="979">
        <v>0.67062573529411795</v>
      </c>
      <c r="Y176" s="981">
        <v>1</v>
      </c>
    </row>
    <row r="177" spans="1:25" ht="14.25">
      <c r="A177" s="807" t="s">
        <v>926</v>
      </c>
      <c r="B177" s="645" t="s">
        <v>1504</v>
      </c>
      <c r="C177" s="808" t="s">
        <v>79</v>
      </c>
      <c r="D177" s="610" t="s">
        <v>1505</v>
      </c>
      <c r="E177" s="975" t="s">
        <v>926</v>
      </c>
      <c r="F177" s="976" t="s">
        <v>1504</v>
      </c>
      <c r="G177" t="b">
        <v>1</v>
      </c>
      <c r="H177" s="977"/>
      <c r="I177" s="978">
        <v>3000</v>
      </c>
      <c r="J177" s="978">
        <v>487</v>
      </c>
      <c r="K177" s="978">
        <v>2300</v>
      </c>
      <c r="L177" s="979">
        <v>0.52609294540229901</v>
      </c>
      <c r="M177" s="980">
        <v>5.799999999999998</v>
      </c>
      <c r="N177" s="978"/>
      <c r="O177" s="978">
        <v>3600</v>
      </c>
      <c r="P177" s="978">
        <v>701.28</v>
      </c>
      <c r="Q177" s="978">
        <v>2760</v>
      </c>
      <c r="R177" s="979">
        <v>0.52609294540229901</v>
      </c>
      <c r="S177" s="980">
        <v>10.022399999999996</v>
      </c>
      <c r="T177" s="978"/>
      <c r="U177" s="978">
        <v>1754.4106429277199</v>
      </c>
      <c r="V177" s="978">
        <v>166.55165720631032</v>
      </c>
      <c r="W177" s="978">
        <v>1345.0481595779186</v>
      </c>
      <c r="X177" s="979">
        <v>0.52609294540229901</v>
      </c>
      <c r="Y177" s="981">
        <v>1.2</v>
      </c>
    </row>
    <row r="178" spans="1:25" ht="14.25">
      <c r="A178" s="807" t="s">
        <v>927</v>
      </c>
      <c r="B178" s="645" t="s">
        <v>1506</v>
      </c>
      <c r="C178" s="808" t="s">
        <v>80</v>
      </c>
      <c r="D178" s="610" t="s">
        <v>1507</v>
      </c>
      <c r="E178" s="975" t="s">
        <v>927</v>
      </c>
      <c r="F178" s="976" t="s">
        <v>1506</v>
      </c>
      <c r="G178" t="b">
        <v>1</v>
      </c>
      <c r="H178" s="977"/>
      <c r="I178" s="978">
        <v>3000</v>
      </c>
      <c r="J178" s="978">
        <v>470</v>
      </c>
      <c r="K178" s="978">
        <v>4135</v>
      </c>
      <c r="L178" s="979">
        <v>0.60162292140151497</v>
      </c>
      <c r="M178" s="980">
        <v>8.8000000000000025</v>
      </c>
      <c r="N178" s="978"/>
      <c r="O178" s="978">
        <v>3600</v>
      </c>
      <c r="P178" s="978">
        <v>676.8</v>
      </c>
      <c r="Q178" s="978">
        <v>4962</v>
      </c>
      <c r="R178" s="979">
        <v>0.60162292140151497</v>
      </c>
      <c r="S178" s="980">
        <v>15.206400000000004</v>
      </c>
      <c r="T178" s="978"/>
      <c r="U178" s="978">
        <v>1754.4106429277199</v>
      </c>
      <c r="V178" s="978">
        <v>160.73773898760953</v>
      </c>
      <c r="W178" s="978">
        <v>2418.1626695020404</v>
      </c>
      <c r="X178" s="979">
        <v>0.60162292140151497</v>
      </c>
      <c r="Y178" s="981">
        <v>1.8</v>
      </c>
    </row>
    <row r="179" spans="1:25" ht="14.25">
      <c r="A179" s="807" t="s">
        <v>928</v>
      </c>
      <c r="B179" s="645" t="s">
        <v>1508</v>
      </c>
      <c r="C179" s="808" t="s">
        <v>81</v>
      </c>
      <c r="D179" s="610" t="s">
        <v>1509</v>
      </c>
      <c r="E179" s="975" t="s">
        <v>928</v>
      </c>
      <c r="F179" s="976" t="s">
        <v>1508</v>
      </c>
      <c r="G179" t="b">
        <v>1</v>
      </c>
      <c r="H179" s="977"/>
      <c r="I179" s="978">
        <v>3000</v>
      </c>
      <c r="J179" s="978">
        <v>620</v>
      </c>
      <c r="K179" s="978">
        <v>1300</v>
      </c>
      <c r="L179" s="979">
        <v>0.54891958333333302</v>
      </c>
      <c r="M179" s="980">
        <v>4.0000000000000027</v>
      </c>
      <c r="N179" s="978"/>
      <c r="O179" s="978">
        <v>3600</v>
      </c>
      <c r="P179" s="978">
        <v>892.8</v>
      </c>
      <c r="Q179" s="978">
        <v>1560</v>
      </c>
      <c r="R179" s="979">
        <v>0.54891958333333302</v>
      </c>
      <c r="S179" s="980">
        <v>6.9120000000000053</v>
      </c>
      <c r="T179" s="978"/>
      <c r="U179" s="978">
        <v>1754.4106429277199</v>
      </c>
      <c r="V179" s="978">
        <v>212.03701738791045</v>
      </c>
      <c r="W179" s="978">
        <v>760.24461193534523</v>
      </c>
      <c r="X179" s="979">
        <v>0.54891958333333302</v>
      </c>
      <c r="Y179" s="981">
        <v>0.8</v>
      </c>
    </row>
    <row r="180" spans="1:25" ht="14.25">
      <c r="A180" s="807" t="s">
        <v>929</v>
      </c>
      <c r="B180" s="645" t="s">
        <v>1510</v>
      </c>
      <c r="C180" s="808" t="s">
        <v>81</v>
      </c>
      <c r="D180" s="610" t="s">
        <v>1509</v>
      </c>
      <c r="E180" s="975" t="s">
        <v>929</v>
      </c>
      <c r="F180" s="976" t="s">
        <v>1510</v>
      </c>
      <c r="G180" t="b">
        <v>0</v>
      </c>
      <c r="H180" s="977"/>
      <c r="I180" s="978">
        <v>0</v>
      </c>
      <c r="J180" s="978">
        <v>0</v>
      </c>
      <c r="K180" s="978">
        <v>0</v>
      </c>
      <c r="L180" s="979">
        <v>0</v>
      </c>
      <c r="M180" s="980">
        <v>0</v>
      </c>
      <c r="N180" s="978"/>
      <c r="O180" s="978">
        <v>0</v>
      </c>
      <c r="P180" s="978">
        <v>0</v>
      </c>
      <c r="Q180" s="978">
        <v>0</v>
      </c>
      <c r="R180" s="979">
        <v>0</v>
      </c>
      <c r="S180" s="980">
        <v>0</v>
      </c>
      <c r="T180" s="978"/>
      <c r="U180" s="978">
        <v>0</v>
      </c>
      <c r="V180" s="978">
        <v>0</v>
      </c>
      <c r="W180" s="978">
        <v>0</v>
      </c>
      <c r="X180" s="979">
        <v>0</v>
      </c>
      <c r="Y180" s="981">
        <v>0</v>
      </c>
    </row>
    <row r="181" spans="1:25" ht="14.25">
      <c r="A181" s="807" t="s">
        <v>930</v>
      </c>
      <c r="B181" s="645" t="s">
        <v>1511</v>
      </c>
      <c r="C181" s="808" t="s">
        <v>82</v>
      </c>
      <c r="D181" s="610" t="s">
        <v>1512</v>
      </c>
      <c r="E181" s="975" t="s">
        <v>930</v>
      </c>
      <c r="F181" s="976" t="s">
        <v>1511</v>
      </c>
      <c r="G181" t="b">
        <v>0</v>
      </c>
      <c r="H181" s="977"/>
      <c r="I181" s="978">
        <v>0</v>
      </c>
      <c r="J181" s="978">
        <v>0</v>
      </c>
      <c r="K181" s="978">
        <v>0</v>
      </c>
      <c r="L181" s="979">
        <v>0</v>
      </c>
      <c r="M181" s="980">
        <v>0</v>
      </c>
      <c r="N181" s="978"/>
      <c r="O181" s="978">
        <v>0</v>
      </c>
      <c r="P181" s="978">
        <v>0</v>
      </c>
      <c r="Q181" s="978">
        <v>0</v>
      </c>
      <c r="R181" s="979">
        <v>0</v>
      </c>
      <c r="S181" s="980">
        <v>0</v>
      </c>
      <c r="T181" s="978"/>
      <c r="U181" s="978">
        <v>0</v>
      </c>
      <c r="V181" s="978">
        <v>0</v>
      </c>
      <c r="W181" s="978">
        <v>0</v>
      </c>
      <c r="X181" s="979">
        <v>0</v>
      </c>
      <c r="Y181" s="981">
        <v>0</v>
      </c>
    </row>
    <row r="182" spans="1:25" ht="14.25">
      <c r="A182" s="807" t="s">
        <v>931</v>
      </c>
      <c r="B182" s="645" t="s">
        <v>1513</v>
      </c>
      <c r="C182" s="808" t="s">
        <v>82</v>
      </c>
      <c r="D182" s="610" t="s">
        <v>1512</v>
      </c>
      <c r="E182" s="975" t="s">
        <v>931</v>
      </c>
      <c r="F182" s="976" t="s">
        <v>1513</v>
      </c>
      <c r="G182" t="b">
        <v>1</v>
      </c>
      <c r="H182" s="977"/>
      <c r="I182" s="978">
        <v>3000</v>
      </c>
      <c r="J182" s="978">
        <v>540</v>
      </c>
      <c r="K182" s="978">
        <v>1976</v>
      </c>
      <c r="L182" s="979">
        <v>0.62511716129032302</v>
      </c>
      <c r="M182" s="980">
        <v>4.6499999999999977</v>
      </c>
      <c r="N182" s="978"/>
      <c r="O182" s="978">
        <v>3600</v>
      </c>
      <c r="P182" s="978">
        <v>777.6</v>
      </c>
      <c r="Q182" s="978">
        <v>2371.1999999999998</v>
      </c>
      <c r="R182" s="979">
        <v>0.62511716129032302</v>
      </c>
      <c r="S182" s="980">
        <v>8.0351999999999961</v>
      </c>
      <c r="T182" s="978"/>
      <c r="U182" s="978">
        <v>1754.4106429277199</v>
      </c>
      <c r="V182" s="978">
        <v>184.67740224108331</v>
      </c>
      <c r="W182" s="978">
        <v>1155.5718101417249</v>
      </c>
      <c r="X182" s="979">
        <v>0.62511716129032302</v>
      </c>
      <c r="Y182" s="981">
        <v>0.9</v>
      </c>
    </row>
    <row r="183" spans="1:25" ht="14.25">
      <c r="A183" s="807" t="s">
        <v>932</v>
      </c>
      <c r="B183" s="645" t="s">
        <v>1514</v>
      </c>
      <c r="C183" s="808" t="s">
        <v>83</v>
      </c>
      <c r="D183" s="610" t="s">
        <v>1515</v>
      </c>
      <c r="E183" s="975" t="s">
        <v>932</v>
      </c>
      <c r="F183" s="976" t="s">
        <v>1514</v>
      </c>
      <c r="G183" t="b">
        <v>1</v>
      </c>
      <c r="H183" s="977"/>
      <c r="I183" s="978">
        <v>3000</v>
      </c>
      <c r="J183" s="978">
        <v>550</v>
      </c>
      <c r="K183" s="978">
        <v>2165</v>
      </c>
      <c r="L183" s="979">
        <v>0.70517423007246405</v>
      </c>
      <c r="M183" s="980">
        <v>4.5999999999999979</v>
      </c>
      <c r="N183" s="978"/>
      <c r="O183" s="978">
        <v>3600</v>
      </c>
      <c r="P183" s="978">
        <v>792</v>
      </c>
      <c r="Q183" s="978">
        <v>2598</v>
      </c>
      <c r="R183" s="979">
        <v>0.70517423007246405</v>
      </c>
      <c r="S183" s="980">
        <v>7.9487999999999968</v>
      </c>
      <c r="T183" s="978"/>
      <c r="U183" s="978">
        <v>1754.4106429277199</v>
      </c>
      <c r="V183" s="978">
        <v>188.0973541344367</v>
      </c>
      <c r="W183" s="978">
        <v>1266.099680646171</v>
      </c>
      <c r="X183" s="979">
        <v>0.70517423007246405</v>
      </c>
      <c r="Y183" s="981">
        <v>0.9</v>
      </c>
    </row>
    <row r="184" spans="1:25" ht="14.25">
      <c r="A184" s="807" t="s">
        <v>933</v>
      </c>
      <c r="B184" s="645" t="s">
        <v>1516</v>
      </c>
      <c r="C184" s="808" t="s">
        <v>84</v>
      </c>
      <c r="D184" s="610" t="s">
        <v>1517</v>
      </c>
      <c r="E184" s="975" t="s">
        <v>933</v>
      </c>
      <c r="F184" s="976" t="s">
        <v>1516</v>
      </c>
      <c r="G184" t="b">
        <v>1</v>
      </c>
      <c r="H184" s="977"/>
      <c r="I184" s="978">
        <v>3000</v>
      </c>
      <c r="J184" s="978">
        <v>580</v>
      </c>
      <c r="K184" s="978">
        <v>2550</v>
      </c>
      <c r="L184" s="979">
        <v>0.63953055555555605</v>
      </c>
      <c r="M184" s="980">
        <v>6.2999999999999954</v>
      </c>
      <c r="N184" s="978"/>
      <c r="O184" s="978">
        <v>3600</v>
      </c>
      <c r="P184" s="978">
        <v>835.19999999999993</v>
      </c>
      <c r="Q184" s="978">
        <v>3060</v>
      </c>
      <c r="R184" s="979">
        <v>0.63953055555555605</v>
      </c>
      <c r="S184" s="980">
        <v>10.886399999999993</v>
      </c>
      <c r="T184" s="978"/>
      <c r="U184" s="978">
        <v>1754.4106429277199</v>
      </c>
      <c r="V184" s="978">
        <v>198.35720981449688</v>
      </c>
      <c r="W184" s="978">
        <v>1491.2490464885618</v>
      </c>
      <c r="X184" s="979">
        <v>0.63953055555555605</v>
      </c>
      <c r="Y184" s="981">
        <v>1.3</v>
      </c>
    </row>
    <row r="185" spans="1:25" ht="14.25">
      <c r="A185" s="807" t="s">
        <v>934</v>
      </c>
      <c r="B185" s="645" t="s">
        <v>1518</v>
      </c>
      <c r="C185" s="808" t="s">
        <v>85</v>
      </c>
      <c r="D185" s="610" t="s">
        <v>1519</v>
      </c>
      <c r="E185" s="975" t="s">
        <v>934</v>
      </c>
      <c r="F185" s="976" t="s">
        <v>1518</v>
      </c>
      <c r="G185" t="b">
        <v>1</v>
      </c>
      <c r="H185" s="977"/>
      <c r="I185" s="978">
        <v>3000</v>
      </c>
      <c r="J185" s="978">
        <v>550</v>
      </c>
      <c r="K185" s="978">
        <v>3250</v>
      </c>
      <c r="L185" s="979">
        <v>0.64071683114035105</v>
      </c>
      <c r="M185" s="980">
        <v>7.5999999999999979</v>
      </c>
      <c r="N185" s="978"/>
      <c r="O185" s="978">
        <v>3600</v>
      </c>
      <c r="P185" s="978">
        <v>792</v>
      </c>
      <c r="Q185" s="978">
        <v>3900</v>
      </c>
      <c r="R185" s="979">
        <v>0.64071683114035105</v>
      </c>
      <c r="S185" s="980">
        <v>13.132799999999996</v>
      </c>
      <c r="T185" s="978"/>
      <c r="U185" s="978">
        <v>1754.4106429277199</v>
      </c>
      <c r="V185" s="978">
        <v>188.0973541344367</v>
      </c>
      <c r="W185" s="978">
        <v>1900.6115298383631</v>
      </c>
      <c r="X185" s="979">
        <v>0.64071683114035105</v>
      </c>
      <c r="Y185" s="981">
        <v>1.5</v>
      </c>
    </row>
    <row r="186" spans="1:25" ht="14.25">
      <c r="A186" s="807" t="s">
        <v>935</v>
      </c>
      <c r="B186" s="645" t="s">
        <v>1520</v>
      </c>
      <c r="C186" s="808" t="s">
        <v>86</v>
      </c>
      <c r="D186" s="610" t="s">
        <v>1521</v>
      </c>
      <c r="E186" s="975" t="s">
        <v>935</v>
      </c>
      <c r="F186" s="976" t="s">
        <v>1520</v>
      </c>
      <c r="G186" t="b">
        <v>0</v>
      </c>
      <c r="H186" s="977"/>
      <c r="I186" s="978">
        <v>0</v>
      </c>
      <c r="J186" s="978">
        <v>0</v>
      </c>
      <c r="K186" s="978">
        <v>0</v>
      </c>
      <c r="L186" s="979">
        <v>0</v>
      </c>
      <c r="M186" s="980">
        <v>0</v>
      </c>
      <c r="N186" s="978"/>
      <c r="O186" s="978">
        <v>0</v>
      </c>
      <c r="P186" s="978">
        <v>0</v>
      </c>
      <c r="Q186" s="978">
        <v>0</v>
      </c>
      <c r="R186" s="979">
        <v>0</v>
      </c>
      <c r="S186" s="980">
        <v>0</v>
      </c>
      <c r="T186" s="978"/>
      <c r="U186" s="978">
        <v>0</v>
      </c>
      <c r="V186" s="978">
        <v>0</v>
      </c>
      <c r="W186" s="978">
        <v>0</v>
      </c>
      <c r="X186" s="979">
        <v>0</v>
      </c>
      <c r="Y186" s="981">
        <v>0</v>
      </c>
    </row>
    <row r="187" spans="1:25" ht="14.25">
      <c r="A187" s="807" t="s">
        <v>936</v>
      </c>
      <c r="B187" s="645" t="s">
        <v>1522</v>
      </c>
      <c r="C187" s="808" t="s">
        <v>86</v>
      </c>
      <c r="D187" s="610" t="s">
        <v>1521</v>
      </c>
      <c r="E187" s="975" t="s">
        <v>936</v>
      </c>
      <c r="F187" s="976" t="s">
        <v>1522</v>
      </c>
      <c r="G187" t="b">
        <v>1</v>
      </c>
      <c r="H187" s="977"/>
      <c r="I187" s="978">
        <v>3000</v>
      </c>
      <c r="J187" s="978">
        <v>815</v>
      </c>
      <c r="K187" s="978">
        <v>1300</v>
      </c>
      <c r="L187" s="979">
        <v>0.47315648907103802</v>
      </c>
      <c r="M187" s="980">
        <v>6.1000000000000023</v>
      </c>
      <c r="N187" s="978"/>
      <c r="O187" s="978">
        <v>3600</v>
      </c>
      <c r="P187" s="978">
        <v>1173.5999999999999</v>
      </c>
      <c r="Q187" s="978">
        <v>1560</v>
      </c>
      <c r="R187" s="979">
        <v>0.47315648907103802</v>
      </c>
      <c r="S187" s="980">
        <v>10.540800000000004</v>
      </c>
      <c r="T187" s="978"/>
      <c r="U187" s="978">
        <v>1754.4106429277199</v>
      </c>
      <c r="V187" s="978">
        <v>278.72607930830168</v>
      </c>
      <c r="W187" s="978">
        <v>760.24461193534523</v>
      </c>
      <c r="X187" s="979">
        <v>0.47315648907103802</v>
      </c>
      <c r="Y187" s="981">
        <v>1.2</v>
      </c>
    </row>
    <row r="188" spans="1:25" ht="14.25">
      <c r="A188" s="807" t="s">
        <v>937</v>
      </c>
      <c r="B188" s="645" t="s">
        <v>1523</v>
      </c>
      <c r="C188" s="808" t="s">
        <v>516</v>
      </c>
      <c r="D188" s="610" t="s">
        <v>1524</v>
      </c>
      <c r="E188" s="975" t="s">
        <v>937</v>
      </c>
      <c r="F188" s="976" t="s">
        <v>1523</v>
      </c>
      <c r="G188" t="b">
        <v>0</v>
      </c>
      <c r="H188" s="977"/>
      <c r="I188" s="978">
        <v>0</v>
      </c>
      <c r="J188" s="978">
        <v>0</v>
      </c>
      <c r="K188" s="978">
        <v>0</v>
      </c>
      <c r="L188" s="979">
        <v>0</v>
      </c>
      <c r="M188" s="980">
        <v>0</v>
      </c>
      <c r="N188" s="978"/>
      <c r="O188" s="978">
        <v>0</v>
      </c>
      <c r="P188" s="978">
        <v>0</v>
      </c>
      <c r="Q188" s="978">
        <v>0</v>
      </c>
      <c r="R188" s="979">
        <v>0</v>
      </c>
      <c r="S188" s="980">
        <v>0</v>
      </c>
      <c r="T188" s="978"/>
      <c r="U188" s="978">
        <v>0</v>
      </c>
      <c r="V188" s="978">
        <v>0</v>
      </c>
      <c r="W188" s="978">
        <v>0</v>
      </c>
      <c r="X188" s="979">
        <v>0</v>
      </c>
      <c r="Y188" s="981">
        <v>0</v>
      </c>
    </row>
    <row r="189" spans="1:25" ht="14.25">
      <c r="A189" s="807" t="s">
        <v>938</v>
      </c>
      <c r="B189" s="645" t="s">
        <v>1525</v>
      </c>
      <c r="C189" s="808" t="s">
        <v>516</v>
      </c>
      <c r="D189" s="610" t="s">
        <v>1524</v>
      </c>
      <c r="E189" s="975" t="s">
        <v>938</v>
      </c>
      <c r="F189" s="976" t="s">
        <v>1525</v>
      </c>
      <c r="G189" t="b">
        <v>0</v>
      </c>
      <c r="H189" s="977"/>
      <c r="I189" s="978">
        <v>0</v>
      </c>
      <c r="J189" s="978">
        <v>0</v>
      </c>
      <c r="K189" s="978">
        <v>0</v>
      </c>
      <c r="L189" s="979">
        <v>0</v>
      </c>
      <c r="M189" s="980">
        <v>0</v>
      </c>
      <c r="N189" s="978"/>
      <c r="O189" s="978">
        <v>0</v>
      </c>
      <c r="P189" s="978">
        <v>0</v>
      </c>
      <c r="Q189" s="978">
        <v>0</v>
      </c>
      <c r="R189" s="979">
        <v>0</v>
      </c>
      <c r="S189" s="980">
        <v>0</v>
      </c>
      <c r="T189" s="978"/>
      <c r="U189" s="978">
        <v>0</v>
      </c>
      <c r="V189" s="978">
        <v>0</v>
      </c>
      <c r="W189" s="978">
        <v>0</v>
      </c>
      <c r="X189" s="979">
        <v>0</v>
      </c>
      <c r="Y189" s="981">
        <v>0</v>
      </c>
    </row>
    <row r="190" spans="1:25" ht="14.25">
      <c r="A190" s="807" t="s">
        <v>939</v>
      </c>
      <c r="B190" s="645" t="s">
        <v>1526</v>
      </c>
      <c r="C190" s="808" t="s">
        <v>517</v>
      </c>
      <c r="D190" s="610" t="s">
        <v>1527</v>
      </c>
      <c r="E190" s="975" t="s">
        <v>939</v>
      </c>
      <c r="F190" s="976" t="s">
        <v>1526</v>
      </c>
      <c r="G190" t="b">
        <v>0</v>
      </c>
      <c r="H190" s="977"/>
      <c r="I190" s="978">
        <v>0</v>
      </c>
      <c r="J190" s="978">
        <v>0</v>
      </c>
      <c r="K190" s="978">
        <v>0</v>
      </c>
      <c r="L190" s="979">
        <v>0</v>
      </c>
      <c r="M190" s="980">
        <v>0</v>
      </c>
      <c r="N190" s="978"/>
      <c r="O190" s="978">
        <v>0</v>
      </c>
      <c r="P190" s="978">
        <v>0</v>
      </c>
      <c r="Q190" s="978">
        <v>0</v>
      </c>
      <c r="R190" s="979">
        <v>0</v>
      </c>
      <c r="S190" s="980">
        <v>0</v>
      </c>
      <c r="T190" s="978"/>
      <c r="U190" s="978">
        <v>0</v>
      </c>
      <c r="V190" s="978">
        <v>0</v>
      </c>
      <c r="W190" s="978">
        <v>0</v>
      </c>
      <c r="X190" s="979">
        <v>0</v>
      </c>
      <c r="Y190" s="981">
        <v>0</v>
      </c>
    </row>
    <row r="191" spans="1:25" ht="14.25">
      <c r="A191" s="807" t="s">
        <v>940</v>
      </c>
      <c r="B191" s="645" t="s">
        <v>1528</v>
      </c>
      <c r="C191" s="808" t="s">
        <v>517</v>
      </c>
      <c r="D191" s="562" t="s">
        <v>1527</v>
      </c>
      <c r="E191" s="975" t="s">
        <v>940</v>
      </c>
      <c r="F191" s="976" t="s">
        <v>1528</v>
      </c>
      <c r="G191" t="b">
        <v>0</v>
      </c>
      <c r="H191" s="977"/>
      <c r="I191" s="978">
        <v>0</v>
      </c>
      <c r="J191" s="978">
        <v>0</v>
      </c>
      <c r="K191" s="978">
        <v>0</v>
      </c>
      <c r="L191" s="979">
        <v>0</v>
      </c>
      <c r="M191" s="980">
        <v>0</v>
      </c>
      <c r="N191" s="978"/>
      <c r="O191" s="978">
        <v>0</v>
      </c>
      <c r="P191" s="978">
        <v>0</v>
      </c>
      <c r="Q191" s="978">
        <v>0</v>
      </c>
      <c r="R191" s="979">
        <v>0</v>
      </c>
      <c r="S191" s="980">
        <v>0</v>
      </c>
      <c r="T191" s="978"/>
      <c r="U191" s="978">
        <v>0</v>
      </c>
      <c r="V191" s="978">
        <v>0</v>
      </c>
      <c r="W191" s="978">
        <v>0</v>
      </c>
      <c r="X191" s="979">
        <v>0</v>
      </c>
      <c r="Y191" s="981">
        <v>0</v>
      </c>
    </row>
    <row r="192" spans="1:25" ht="14.25">
      <c r="A192" s="807" t="s">
        <v>941</v>
      </c>
      <c r="B192" s="645" t="s">
        <v>1529</v>
      </c>
      <c r="C192" s="808" t="s">
        <v>518</v>
      </c>
      <c r="D192" s="562" t="s">
        <v>1530</v>
      </c>
      <c r="E192" s="975" t="s">
        <v>941</v>
      </c>
      <c r="F192" s="976" t="s">
        <v>1529</v>
      </c>
      <c r="G192" t="b">
        <v>0</v>
      </c>
      <c r="H192" s="977"/>
      <c r="I192" s="978">
        <v>0</v>
      </c>
      <c r="J192" s="978">
        <v>0</v>
      </c>
      <c r="K192" s="978">
        <v>0</v>
      </c>
      <c r="L192" s="979">
        <v>0</v>
      </c>
      <c r="M192" s="980">
        <v>0</v>
      </c>
      <c r="N192" s="978"/>
      <c r="O192" s="978">
        <v>0</v>
      </c>
      <c r="P192" s="978">
        <v>0</v>
      </c>
      <c r="Q192" s="978">
        <v>0</v>
      </c>
      <c r="R192" s="979">
        <v>0</v>
      </c>
      <c r="S192" s="980">
        <v>0</v>
      </c>
      <c r="T192" s="978"/>
      <c r="U192" s="978">
        <v>0</v>
      </c>
      <c r="V192" s="978">
        <v>0</v>
      </c>
      <c r="W192" s="978">
        <v>0</v>
      </c>
      <c r="X192" s="979">
        <v>0</v>
      </c>
      <c r="Y192" s="981">
        <v>0</v>
      </c>
    </row>
    <row r="193" spans="1:25" ht="14.25">
      <c r="A193" s="807" t="s">
        <v>942</v>
      </c>
      <c r="B193" s="645" t="s">
        <v>1531</v>
      </c>
      <c r="C193" s="808" t="s">
        <v>87</v>
      </c>
      <c r="D193" s="610" t="s">
        <v>1532</v>
      </c>
      <c r="E193" s="975" t="s">
        <v>942</v>
      </c>
      <c r="F193" s="976" t="s">
        <v>1531</v>
      </c>
      <c r="G193" t="b">
        <v>1</v>
      </c>
      <c r="H193" s="977"/>
      <c r="I193" s="978">
        <v>3000</v>
      </c>
      <c r="J193" s="978">
        <v>877.8</v>
      </c>
      <c r="K193" s="978">
        <v>1430.76</v>
      </c>
      <c r="L193" s="979">
        <v>0.54306959886666695</v>
      </c>
      <c r="M193" s="980">
        <v>6.2999999999999972</v>
      </c>
      <c r="N193" s="978"/>
      <c r="O193" s="978">
        <v>3600</v>
      </c>
      <c r="P193" s="978">
        <v>1264.0319999999999</v>
      </c>
      <c r="Q193" s="978">
        <v>1716.912</v>
      </c>
      <c r="R193" s="979">
        <v>0.54306959886666695</v>
      </c>
      <c r="S193" s="980">
        <v>10.886399999999995</v>
      </c>
      <c r="T193" s="978"/>
      <c r="U193" s="978">
        <v>1754.4106429277199</v>
      </c>
      <c r="V193" s="978">
        <v>300.20337719856093</v>
      </c>
      <c r="W193" s="978">
        <v>836.71352382508815</v>
      </c>
      <c r="X193" s="979">
        <v>0.54306959886666695</v>
      </c>
      <c r="Y193" s="981">
        <v>1.3</v>
      </c>
    </row>
    <row r="194" spans="1:25" ht="14.25">
      <c r="A194" s="807" t="s">
        <v>943</v>
      </c>
      <c r="B194" s="645" t="s">
        <v>1533</v>
      </c>
      <c r="C194" s="808" t="s">
        <v>88</v>
      </c>
      <c r="D194" s="610" t="s">
        <v>1534</v>
      </c>
      <c r="E194" s="975" t="s">
        <v>943</v>
      </c>
      <c r="F194" s="976" t="s">
        <v>1533</v>
      </c>
      <c r="G194" t="b">
        <v>1</v>
      </c>
      <c r="H194" s="977"/>
      <c r="I194" s="978">
        <v>3000</v>
      </c>
      <c r="J194" s="978">
        <v>780</v>
      </c>
      <c r="K194" s="978">
        <v>2100</v>
      </c>
      <c r="L194" s="979">
        <v>0.59495799999999999</v>
      </c>
      <c r="M194" s="980">
        <v>7.5</v>
      </c>
      <c r="N194" s="978"/>
      <c r="O194" s="978">
        <v>3600</v>
      </c>
      <c r="P194" s="978">
        <v>1123.2</v>
      </c>
      <c r="Q194" s="978">
        <v>2520</v>
      </c>
      <c r="R194" s="979">
        <v>0.59495799999999999</v>
      </c>
      <c r="S194" s="980">
        <v>12.960000000000003</v>
      </c>
      <c r="T194" s="978"/>
      <c r="U194" s="978">
        <v>1754.4106429277199</v>
      </c>
      <c r="V194" s="978">
        <v>266.75624768156479</v>
      </c>
      <c r="W194" s="978">
        <v>1228.087450049404</v>
      </c>
      <c r="X194" s="979">
        <v>0.59495799999999999</v>
      </c>
      <c r="Y194" s="981">
        <v>1.5</v>
      </c>
    </row>
    <row r="195" spans="1:25" ht="14.25">
      <c r="A195" s="807" t="s">
        <v>944</v>
      </c>
      <c r="B195" s="645" t="s">
        <v>1535</v>
      </c>
      <c r="C195" s="808" t="s">
        <v>89</v>
      </c>
      <c r="D195" s="610" t="s">
        <v>1536</v>
      </c>
      <c r="E195" s="975" t="s">
        <v>944</v>
      </c>
      <c r="F195" s="976" t="s">
        <v>1535</v>
      </c>
      <c r="G195" t="b">
        <v>1</v>
      </c>
      <c r="H195" s="977"/>
      <c r="I195" s="978">
        <v>3000</v>
      </c>
      <c r="J195" s="978">
        <v>785</v>
      </c>
      <c r="K195" s="978">
        <v>1750</v>
      </c>
      <c r="L195" s="979">
        <v>0.65654806286549705</v>
      </c>
      <c r="M195" s="980">
        <v>5.7</v>
      </c>
      <c r="N195" s="978"/>
      <c r="O195" s="978">
        <v>3600</v>
      </c>
      <c r="P195" s="978">
        <v>1130.3999999999999</v>
      </c>
      <c r="Q195" s="978">
        <v>2100</v>
      </c>
      <c r="R195" s="979">
        <v>0.65654806286549705</v>
      </c>
      <c r="S195" s="980">
        <v>9.8496000000000006</v>
      </c>
      <c r="T195" s="978"/>
      <c r="U195" s="978">
        <v>1754.4106429277199</v>
      </c>
      <c r="V195" s="978">
        <v>268.46622362824149</v>
      </c>
      <c r="W195" s="978">
        <v>1023.4062083745032</v>
      </c>
      <c r="X195" s="979">
        <v>0.65654806286549705</v>
      </c>
      <c r="Y195" s="981">
        <v>1.1000000000000001</v>
      </c>
    </row>
    <row r="196" spans="1:25" ht="14.25">
      <c r="A196" s="807" t="s">
        <v>945</v>
      </c>
      <c r="B196" s="645" t="s">
        <v>1537</v>
      </c>
      <c r="C196" s="808" t="s">
        <v>90</v>
      </c>
      <c r="D196" s="610" t="s">
        <v>1538</v>
      </c>
      <c r="E196" s="975" t="s">
        <v>945</v>
      </c>
      <c r="F196" s="976" t="s">
        <v>1537</v>
      </c>
      <c r="G196" t="b">
        <v>1</v>
      </c>
      <c r="H196" s="977"/>
      <c r="I196" s="978">
        <v>3000</v>
      </c>
      <c r="J196" s="978">
        <v>820</v>
      </c>
      <c r="K196" s="978">
        <v>3650</v>
      </c>
      <c r="L196" s="979">
        <v>0.617684154040404</v>
      </c>
      <c r="M196" s="980">
        <v>13.200000000000001</v>
      </c>
      <c r="N196" s="978"/>
      <c r="O196" s="978">
        <v>3600</v>
      </c>
      <c r="P196" s="978">
        <v>1180.8</v>
      </c>
      <c r="Q196" s="978">
        <v>4380</v>
      </c>
      <c r="R196" s="979">
        <v>0.617684154040404</v>
      </c>
      <c r="S196" s="980">
        <v>22.8096</v>
      </c>
      <c r="T196" s="978"/>
      <c r="U196" s="978">
        <v>1754.4106429277199</v>
      </c>
      <c r="V196" s="978">
        <v>280.43605525497833</v>
      </c>
      <c r="W196" s="978">
        <v>2134.5329488953926</v>
      </c>
      <c r="X196" s="979">
        <v>0.617684154040404</v>
      </c>
      <c r="Y196" s="981">
        <v>2.6</v>
      </c>
    </row>
    <row r="197" spans="1:25" ht="14.25">
      <c r="A197" s="807" t="s">
        <v>946</v>
      </c>
      <c r="B197" s="645" t="s">
        <v>1539</v>
      </c>
      <c r="C197" s="808" t="s">
        <v>519</v>
      </c>
      <c r="D197" s="610" t="s">
        <v>1540</v>
      </c>
      <c r="E197" s="975" t="s">
        <v>946</v>
      </c>
      <c r="F197" s="976" t="s">
        <v>1539</v>
      </c>
      <c r="G197" t="b">
        <v>0</v>
      </c>
      <c r="H197" s="977"/>
      <c r="I197" s="978">
        <v>0</v>
      </c>
      <c r="J197" s="978">
        <v>0</v>
      </c>
      <c r="K197" s="978">
        <v>0</v>
      </c>
      <c r="L197" s="979">
        <v>0</v>
      </c>
      <c r="M197" s="980">
        <v>0</v>
      </c>
      <c r="N197" s="978"/>
      <c r="O197" s="978">
        <v>0</v>
      </c>
      <c r="P197" s="978">
        <v>0</v>
      </c>
      <c r="Q197" s="978">
        <v>0</v>
      </c>
      <c r="R197" s="979">
        <v>0</v>
      </c>
      <c r="S197" s="980">
        <v>0</v>
      </c>
      <c r="T197" s="978"/>
      <c r="U197" s="978">
        <v>0</v>
      </c>
      <c r="V197" s="978">
        <v>0</v>
      </c>
      <c r="W197" s="978">
        <v>0</v>
      </c>
      <c r="X197" s="979">
        <v>0</v>
      </c>
      <c r="Y197" s="981">
        <v>0</v>
      </c>
    </row>
    <row r="198" spans="1:25" ht="14.25">
      <c r="A198" s="807" t="s">
        <v>947</v>
      </c>
      <c r="B198" s="645" t="s">
        <v>1541</v>
      </c>
      <c r="C198" s="808" t="s">
        <v>154</v>
      </c>
      <c r="D198" s="610" t="s">
        <v>1542</v>
      </c>
      <c r="E198" s="975" t="s">
        <v>947</v>
      </c>
      <c r="F198" s="976" t="s">
        <v>1541</v>
      </c>
      <c r="G198" t="b">
        <v>1</v>
      </c>
      <c r="H198" s="977"/>
      <c r="I198" s="978">
        <v>3000</v>
      </c>
      <c r="J198" s="978">
        <v>845</v>
      </c>
      <c r="K198" s="978">
        <v>4250</v>
      </c>
      <c r="L198" s="979">
        <v>0.60389898405349796</v>
      </c>
      <c r="M198" s="980">
        <v>16.2</v>
      </c>
      <c r="N198" s="978"/>
      <c r="O198" s="978">
        <v>3600</v>
      </c>
      <c r="P198" s="978">
        <v>1216.8</v>
      </c>
      <c r="Q198" s="978">
        <v>5100</v>
      </c>
      <c r="R198" s="979">
        <v>0.60389898405349796</v>
      </c>
      <c r="S198" s="980">
        <v>27.993599999999997</v>
      </c>
      <c r="T198" s="978"/>
      <c r="U198" s="978">
        <v>1754.4106429277199</v>
      </c>
      <c r="V198" s="978">
        <v>288.98593498836186</v>
      </c>
      <c r="W198" s="978">
        <v>2485.4150774809364</v>
      </c>
      <c r="X198" s="979">
        <v>0.60389898405349796</v>
      </c>
      <c r="Y198" s="981">
        <v>3.2</v>
      </c>
    </row>
    <row r="199" spans="1:25" ht="14.25">
      <c r="A199" s="807" t="s">
        <v>948</v>
      </c>
      <c r="B199" s="645" t="s">
        <v>1543</v>
      </c>
      <c r="C199" s="808" t="s">
        <v>520</v>
      </c>
      <c r="D199" s="610" t="s">
        <v>1544</v>
      </c>
      <c r="E199" s="975" t="s">
        <v>948</v>
      </c>
      <c r="F199" s="976" t="s">
        <v>1543</v>
      </c>
      <c r="G199" t="b">
        <v>0</v>
      </c>
      <c r="H199" s="977"/>
      <c r="I199" s="978">
        <v>0</v>
      </c>
      <c r="J199" s="978">
        <v>0</v>
      </c>
      <c r="K199" s="978">
        <v>0</v>
      </c>
      <c r="L199" s="979">
        <v>0</v>
      </c>
      <c r="M199" s="980">
        <v>0</v>
      </c>
      <c r="N199" s="978"/>
      <c r="O199" s="978">
        <v>0</v>
      </c>
      <c r="P199" s="978">
        <v>0</v>
      </c>
      <c r="Q199" s="978">
        <v>0</v>
      </c>
      <c r="R199" s="979">
        <v>0</v>
      </c>
      <c r="S199" s="980">
        <v>0</v>
      </c>
      <c r="T199" s="978"/>
      <c r="U199" s="978">
        <v>0</v>
      </c>
      <c r="V199" s="978">
        <v>0</v>
      </c>
      <c r="W199" s="978">
        <v>0</v>
      </c>
      <c r="X199" s="979">
        <v>0</v>
      </c>
      <c r="Y199" s="981">
        <v>0</v>
      </c>
    </row>
    <row r="200" spans="1:25" ht="14.25">
      <c r="A200" s="807" t="s">
        <v>949</v>
      </c>
      <c r="B200" s="645" t="s">
        <v>1545</v>
      </c>
      <c r="C200" s="808" t="s">
        <v>521</v>
      </c>
      <c r="D200" s="610" t="s">
        <v>1546</v>
      </c>
      <c r="E200" s="975" t="s">
        <v>949</v>
      </c>
      <c r="F200" s="976" t="s">
        <v>1545</v>
      </c>
      <c r="G200" t="b">
        <v>0</v>
      </c>
      <c r="H200" s="977"/>
      <c r="I200" s="978">
        <v>0</v>
      </c>
      <c r="J200" s="978">
        <v>0</v>
      </c>
      <c r="K200" s="978">
        <v>0</v>
      </c>
      <c r="L200" s="979">
        <v>0</v>
      </c>
      <c r="M200" s="980">
        <v>0</v>
      </c>
      <c r="N200" s="978"/>
      <c r="O200" s="978">
        <v>0</v>
      </c>
      <c r="P200" s="978">
        <v>0</v>
      </c>
      <c r="Q200" s="978">
        <v>0</v>
      </c>
      <c r="R200" s="979">
        <v>0</v>
      </c>
      <c r="S200" s="980">
        <v>0</v>
      </c>
      <c r="T200" s="978"/>
      <c r="U200" s="978">
        <v>0</v>
      </c>
      <c r="V200" s="978">
        <v>0</v>
      </c>
      <c r="W200" s="978">
        <v>0</v>
      </c>
      <c r="X200" s="979">
        <v>0</v>
      </c>
      <c r="Y200" s="981">
        <v>0</v>
      </c>
    </row>
    <row r="201" spans="1:25" ht="14.25">
      <c r="A201" s="807" t="s">
        <v>950</v>
      </c>
      <c r="B201" s="645" t="s">
        <v>1547</v>
      </c>
      <c r="C201" s="808" t="s">
        <v>522</v>
      </c>
      <c r="D201" s="610" t="s">
        <v>1548</v>
      </c>
      <c r="E201" s="975" t="s">
        <v>950</v>
      </c>
      <c r="F201" s="976" t="s">
        <v>1547</v>
      </c>
      <c r="G201" t="b">
        <v>0</v>
      </c>
      <c r="H201" s="977"/>
      <c r="I201" s="978">
        <v>0</v>
      </c>
      <c r="J201" s="978">
        <v>0</v>
      </c>
      <c r="K201" s="978">
        <v>0</v>
      </c>
      <c r="L201" s="979">
        <v>0</v>
      </c>
      <c r="M201" s="980">
        <v>0</v>
      </c>
      <c r="N201" s="978"/>
      <c r="O201" s="978">
        <v>0</v>
      </c>
      <c r="P201" s="978">
        <v>0</v>
      </c>
      <c r="Q201" s="978">
        <v>0</v>
      </c>
      <c r="R201" s="979">
        <v>0</v>
      </c>
      <c r="S201" s="980">
        <v>0</v>
      </c>
      <c r="T201" s="978"/>
      <c r="U201" s="978">
        <v>0</v>
      </c>
      <c r="V201" s="978">
        <v>0</v>
      </c>
      <c r="W201" s="978">
        <v>0</v>
      </c>
      <c r="X201" s="979">
        <v>0</v>
      </c>
      <c r="Y201" s="981">
        <v>0</v>
      </c>
    </row>
    <row r="202" spans="1:25" ht="14.25">
      <c r="A202" s="807" t="s">
        <v>951</v>
      </c>
      <c r="B202" s="645" t="s">
        <v>1549</v>
      </c>
      <c r="C202" s="808" t="s">
        <v>523</v>
      </c>
      <c r="D202" s="610" t="s">
        <v>1548</v>
      </c>
      <c r="E202" s="975" t="s">
        <v>951</v>
      </c>
      <c r="F202" s="976" t="s">
        <v>1549</v>
      </c>
      <c r="G202" t="b">
        <v>0</v>
      </c>
      <c r="H202" s="977"/>
      <c r="I202" s="978">
        <v>0</v>
      </c>
      <c r="J202" s="978">
        <v>0</v>
      </c>
      <c r="K202" s="978">
        <v>0</v>
      </c>
      <c r="L202" s="979">
        <v>0</v>
      </c>
      <c r="M202" s="980">
        <v>0</v>
      </c>
      <c r="N202" s="978"/>
      <c r="O202" s="978">
        <v>0</v>
      </c>
      <c r="P202" s="978">
        <v>0</v>
      </c>
      <c r="Q202" s="978">
        <v>0</v>
      </c>
      <c r="R202" s="979">
        <v>0</v>
      </c>
      <c r="S202" s="980">
        <v>0</v>
      </c>
      <c r="T202" s="978"/>
      <c r="U202" s="978">
        <v>0</v>
      </c>
      <c r="V202" s="978">
        <v>0</v>
      </c>
      <c r="W202" s="978">
        <v>0</v>
      </c>
      <c r="X202" s="979">
        <v>0</v>
      </c>
      <c r="Y202" s="981">
        <v>0</v>
      </c>
    </row>
    <row r="203" spans="1:25" ht="14.25">
      <c r="A203" s="807" t="s">
        <v>952</v>
      </c>
      <c r="B203" s="645" t="s">
        <v>1418</v>
      </c>
      <c r="C203" s="808" t="s">
        <v>524</v>
      </c>
      <c r="D203" s="610" t="s">
        <v>1550</v>
      </c>
      <c r="E203" s="975" t="s">
        <v>952</v>
      </c>
      <c r="F203" s="976" t="s">
        <v>1418</v>
      </c>
      <c r="G203" t="b">
        <v>0</v>
      </c>
      <c r="H203" s="977"/>
      <c r="I203" s="978">
        <v>0</v>
      </c>
      <c r="J203" s="978">
        <v>0</v>
      </c>
      <c r="K203" s="978">
        <v>0</v>
      </c>
      <c r="L203" s="979">
        <v>0</v>
      </c>
      <c r="M203" s="980">
        <v>0</v>
      </c>
      <c r="N203" s="978"/>
      <c r="O203" s="978">
        <v>0</v>
      </c>
      <c r="P203" s="978">
        <v>0</v>
      </c>
      <c r="Q203" s="978">
        <v>0</v>
      </c>
      <c r="R203" s="979">
        <v>0</v>
      </c>
      <c r="S203" s="980">
        <v>0</v>
      </c>
      <c r="T203" s="978"/>
      <c r="U203" s="978">
        <v>0</v>
      </c>
      <c r="V203" s="978">
        <v>0</v>
      </c>
      <c r="W203" s="978">
        <v>0</v>
      </c>
      <c r="X203" s="979">
        <v>0</v>
      </c>
      <c r="Y203" s="981">
        <v>0</v>
      </c>
    </row>
    <row r="204" spans="1:25" ht="14.25">
      <c r="A204" s="807" t="s">
        <v>953</v>
      </c>
      <c r="B204" s="645" t="s">
        <v>1551</v>
      </c>
      <c r="C204" s="808" t="s">
        <v>525</v>
      </c>
      <c r="D204" s="610" t="s">
        <v>1550</v>
      </c>
      <c r="E204" s="975" t="s">
        <v>953</v>
      </c>
      <c r="F204" s="976" t="s">
        <v>1551</v>
      </c>
      <c r="G204" t="b">
        <v>0</v>
      </c>
      <c r="H204" s="977"/>
      <c r="I204" s="978">
        <v>0</v>
      </c>
      <c r="J204" s="978">
        <v>0</v>
      </c>
      <c r="K204" s="978">
        <v>0</v>
      </c>
      <c r="L204" s="979">
        <v>0</v>
      </c>
      <c r="M204" s="980">
        <v>0</v>
      </c>
      <c r="N204" s="978"/>
      <c r="O204" s="978">
        <v>0</v>
      </c>
      <c r="P204" s="978">
        <v>0</v>
      </c>
      <c r="Q204" s="978">
        <v>0</v>
      </c>
      <c r="R204" s="979">
        <v>0</v>
      </c>
      <c r="S204" s="980">
        <v>0</v>
      </c>
      <c r="T204" s="978"/>
      <c r="U204" s="978">
        <v>0</v>
      </c>
      <c r="V204" s="978">
        <v>0</v>
      </c>
      <c r="W204" s="978">
        <v>0</v>
      </c>
      <c r="X204" s="979">
        <v>0</v>
      </c>
      <c r="Y204" s="981">
        <v>0</v>
      </c>
    </row>
    <row r="205" spans="1:25" ht="14.25">
      <c r="A205" s="807" t="s">
        <v>954</v>
      </c>
      <c r="B205" s="645" t="s">
        <v>1552</v>
      </c>
      <c r="C205" s="808" t="s">
        <v>526</v>
      </c>
      <c r="D205" s="610" t="s">
        <v>1553</v>
      </c>
      <c r="E205" s="975" t="s">
        <v>954</v>
      </c>
      <c r="F205" s="976" t="s">
        <v>1552</v>
      </c>
      <c r="G205" t="b">
        <v>0</v>
      </c>
      <c r="H205" s="977"/>
      <c r="I205" s="978">
        <v>0</v>
      </c>
      <c r="J205" s="978">
        <v>0</v>
      </c>
      <c r="K205" s="978">
        <v>0</v>
      </c>
      <c r="L205" s="979">
        <v>0</v>
      </c>
      <c r="M205" s="980">
        <v>0</v>
      </c>
      <c r="N205" s="978"/>
      <c r="O205" s="978">
        <v>0</v>
      </c>
      <c r="P205" s="978">
        <v>0</v>
      </c>
      <c r="Q205" s="978">
        <v>0</v>
      </c>
      <c r="R205" s="979">
        <v>0</v>
      </c>
      <c r="S205" s="980">
        <v>0</v>
      </c>
      <c r="T205" s="978"/>
      <c r="U205" s="978">
        <v>0</v>
      </c>
      <c r="V205" s="978">
        <v>0</v>
      </c>
      <c r="W205" s="978">
        <v>0</v>
      </c>
      <c r="X205" s="979">
        <v>0</v>
      </c>
      <c r="Y205" s="981">
        <v>0</v>
      </c>
    </row>
    <row r="206" spans="1:25" ht="14.25">
      <c r="A206" s="807" t="s">
        <v>955</v>
      </c>
      <c r="B206" s="645" t="s">
        <v>1554</v>
      </c>
      <c r="C206" s="808" t="s">
        <v>527</v>
      </c>
      <c r="D206" s="610" t="s">
        <v>1553</v>
      </c>
      <c r="E206" s="975" t="s">
        <v>955</v>
      </c>
      <c r="F206" s="976" t="s">
        <v>1554</v>
      </c>
      <c r="G206" t="b">
        <v>0</v>
      </c>
      <c r="H206" s="977"/>
      <c r="I206" s="978">
        <v>0</v>
      </c>
      <c r="J206" s="978">
        <v>0</v>
      </c>
      <c r="K206" s="978">
        <v>0</v>
      </c>
      <c r="L206" s="979">
        <v>0</v>
      </c>
      <c r="M206" s="980">
        <v>0</v>
      </c>
      <c r="N206" s="978"/>
      <c r="O206" s="978">
        <v>0</v>
      </c>
      <c r="P206" s="978">
        <v>0</v>
      </c>
      <c r="Q206" s="978">
        <v>0</v>
      </c>
      <c r="R206" s="979">
        <v>0</v>
      </c>
      <c r="S206" s="980">
        <v>0</v>
      </c>
      <c r="T206" s="978"/>
      <c r="U206" s="978">
        <v>0</v>
      </c>
      <c r="V206" s="978">
        <v>0</v>
      </c>
      <c r="W206" s="978">
        <v>0</v>
      </c>
      <c r="X206" s="979">
        <v>0</v>
      </c>
      <c r="Y206" s="981">
        <v>0</v>
      </c>
    </row>
    <row r="207" spans="1:25" ht="14.25">
      <c r="A207" s="807" t="s">
        <v>956</v>
      </c>
      <c r="B207" s="645" t="s">
        <v>1555</v>
      </c>
      <c r="C207" s="808" t="s">
        <v>528</v>
      </c>
      <c r="D207" s="610" t="s">
        <v>1556</v>
      </c>
      <c r="E207" s="975" t="s">
        <v>956</v>
      </c>
      <c r="F207" s="976" t="s">
        <v>1555</v>
      </c>
      <c r="G207" t="b">
        <v>0</v>
      </c>
      <c r="H207" s="977"/>
      <c r="I207" s="978">
        <v>0</v>
      </c>
      <c r="J207" s="978">
        <v>0</v>
      </c>
      <c r="K207" s="978">
        <v>0</v>
      </c>
      <c r="L207" s="979">
        <v>0</v>
      </c>
      <c r="M207" s="980">
        <v>0</v>
      </c>
      <c r="N207" s="978"/>
      <c r="O207" s="978">
        <v>0</v>
      </c>
      <c r="P207" s="978">
        <v>0</v>
      </c>
      <c r="Q207" s="978">
        <v>0</v>
      </c>
      <c r="R207" s="979">
        <v>0</v>
      </c>
      <c r="S207" s="980">
        <v>0</v>
      </c>
      <c r="T207" s="978"/>
      <c r="U207" s="978">
        <v>0</v>
      </c>
      <c r="V207" s="978">
        <v>0</v>
      </c>
      <c r="W207" s="978">
        <v>0</v>
      </c>
      <c r="X207" s="979">
        <v>0</v>
      </c>
      <c r="Y207" s="981">
        <v>0</v>
      </c>
    </row>
    <row r="208" spans="1:25" ht="14.25">
      <c r="A208" s="807" t="s">
        <v>957</v>
      </c>
      <c r="B208" s="645" t="s">
        <v>1557</v>
      </c>
      <c r="C208" s="808" t="s">
        <v>529</v>
      </c>
      <c r="D208" s="610" t="s">
        <v>1556</v>
      </c>
      <c r="E208" s="975" t="s">
        <v>957</v>
      </c>
      <c r="F208" s="976" t="s">
        <v>1557</v>
      </c>
      <c r="G208" t="b">
        <v>0</v>
      </c>
      <c r="H208" s="977"/>
      <c r="I208" s="978">
        <v>0</v>
      </c>
      <c r="J208" s="978">
        <v>0</v>
      </c>
      <c r="K208" s="978">
        <v>0</v>
      </c>
      <c r="L208" s="979">
        <v>0</v>
      </c>
      <c r="M208" s="980">
        <v>0</v>
      </c>
      <c r="N208" s="978"/>
      <c r="O208" s="978">
        <v>0</v>
      </c>
      <c r="P208" s="978">
        <v>0</v>
      </c>
      <c r="Q208" s="978">
        <v>0</v>
      </c>
      <c r="R208" s="979">
        <v>0</v>
      </c>
      <c r="S208" s="980">
        <v>0</v>
      </c>
      <c r="T208" s="978"/>
      <c r="U208" s="978">
        <v>0</v>
      </c>
      <c r="V208" s="978">
        <v>0</v>
      </c>
      <c r="W208" s="978">
        <v>0</v>
      </c>
      <c r="X208" s="979">
        <v>0</v>
      </c>
      <c r="Y208" s="981">
        <v>0</v>
      </c>
    </row>
    <row r="209" spans="1:25" ht="14.25">
      <c r="A209" s="807" t="s">
        <v>958</v>
      </c>
      <c r="B209" s="645" t="s">
        <v>1558</v>
      </c>
      <c r="C209" s="808" t="s">
        <v>530</v>
      </c>
      <c r="D209" s="610" t="s">
        <v>1559</v>
      </c>
      <c r="E209" s="975" t="s">
        <v>958</v>
      </c>
      <c r="F209" s="976" t="s">
        <v>1558</v>
      </c>
      <c r="G209" t="b">
        <v>0</v>
      </c>
      <c r="H209" s="977"/>
      <c r="I209" s="978">
        <v>0</v>
      </c>
      <c r="J209" s="978">
        <v>0</v>
      </c>
      <c r="K209" s="978">
        <v>0</v>
      </c>
      <c r="L209" s="979">
        <v>0</v>
      </c>
      <c r="M209" s="980">
        <v>0</v>
      </c>
      <c r="N209" s="978"/>
      <c r="O209" s="978">
        <v>0</v>
      </c>
      <c r="P209" s="978">
        <v>0</v>
      </c>
      <c r="Q209" s="978">
        <v>0</v>
      </c>
      <c r="R209" s="979">
        <v>0</v>
      </c>
      <c r="S209" s="980">
        <v>0</v>
      </c>
      <c r="T209" s="978"/>
      <c r="U209" s="978">
        <v>0</v>
      </c>
      <c r="V209" s="978">
        <v>0</v>
      </c>
      <c r="W209" s="978">
        <v>0</v>
      </c>
      <c r="X209" s="979">
        <v>0</v>
      </c>
      <c r="Y209" s="981">
        <v>0</v>
      </c>
    </row>
    <row r="210" spans="1:25" ht="14.25">
      <c r="A210" s="807" t="s">
        <v>959</v>
      </c>
      <c r="B210" s="645" t="s">
        <v>1560</v>
      </c>
      <c r="C210" s="808" t="s">
        <v>531</v>
      </c>
      <c r="D210" s="610" t="s">
        <v>1559</v>
      </c>
      <c r="E210" s="975" t="s">
        <v>959</v>
      </c>
      <c r="F210" s="976" t="s">
        <v>1560</v>
      </c>
      <c r="G210" t="b">
        <v>0</v>
      </c>
      <c r="H210" s="977"/>
      <c r="I210" s="978">
        <v>0</v>
      </c>
      <c r="J210" s="978">
        <v>0</v>
      </c>
      <c r="K210" s="978">
        <v>0</v>
      </c>
      <c r="L210" s="979">
        <v>0</v>
      </c>
      <c r="M210" s="980">
        <v>0</v>
      </c>
      <c r="N210" s="978"/>
      <c r="O210" s="978">
        <v>0</v>
      </c>
      <c r="P210" s="978">
        <v>0</v>
      </c>
      <c r="Q210" s="978">
        <v>0</v>
      </c>
      <c r="R210" s="979">
        <v>0</v>
      </c>
      <c r="S210" s="980">
        <v>0</v>
      </c>
      <c r="T210" s="978"/>
      <c r="U210" s="978">
        <v>0</v>
      </c>
      <c r="V210" s="978">
        <v>0</v>
      </c>
      <c r="W210" s="978">
        <v>0</v>
      </c>
      <c r="X210" s="979">
        <v>0</v>
      </c>
      <c r="Y210" s="981">
        <v>0</v>
      </c>
    </row>
    <row r="211" spans="1:25" ht="14.25">
      <c r="A211" s="807" t="s">
        <v>960</v>
      </c>
      <c r="B211" s="645" t="s">
        <v>1561</v>
      </c>
      <c r="C211" s="808" t="s">
        <v>532</v>
      </c>
      <c r="D211" s="610" t="s">
        <v>1562</v>
      </c>
      <c r="E211" s="975" t="s">
        <v>960</v>
      </c>
      <c r="F211" s="976" t="s">
        <v>1561</v>
      </c>
      <c r="G211" t="b">
        <v>0</v>
      </c>
      <c r="H211" s="977"/>
      <c r="I211" s="978">
        <v>0</v>
      </c>
      <c r="J211" s="978">
        <v>0</v>
      </c>
      <c r="K211" s="978">
        <v>0</v>
      </c>
      <c r="L211" s="979">
        <v>0</v>
      </c>
      <c r="M211" s="980">
        <v>0</v>
      </c>
      <c r="N211" s="978"/>
      <c r="O211" s="978">
        <v>0</v>
      </c>
      <c r="P211" s="978">
        <v>0</v>
      </c>
      <c r="Q211" s="978">
        <v>0</v>
      </c>
      <c r="R211" s="979">
        <v>0</v>
      </c>
      <c r="S211" s="980">
        <v>0</v>
      </c>
      <c r="T211" s="978"/>
      <c r="U211" s="978">
        <v>0</v>
      </c>
      <c r="V211" s="978">
        <v>0</v>
      </c>
      <c r="W211" s="978">
        <v>0</v>
      </c>
      <c r="X211" s="979">
        <v>0</v>
      </c>
      <c r="Y211" s="981">
        <v>0</v>
      </c>
    </row>
    <row r="212" spans="1:25" ht="14.25">
      <c r="A212" s="807" t="s">
        <v>961</v>
      </c>
      <c r="B212" s="645" t="s">
        <v>1563</v>
      </c>
      <c r="C212" s="808" t="s">
        <v>533</v>
      </c>
      <c r="D212" s="610" t="s">
        <v>1564</v>
      </c>
      <c r="E212" s="975" t="s">
        <v>961</v>
      </c>
      <c r="F212" s="976" t="s">
        <v>1563</v>
      </c>
      <c r="G212" t="b">
        <v>0</v>
      </c>
      <c r="H212" s="977"/>
      <c r="I212" s="978">
        <v>0</v>
      </c>
      <c r="J212" s="978">
        <v>0</v>
      </c>
      <c r="K212" s="978">
        <v>0</v>
      </c>
      <c r="L212" s="979">
        <v>0</v>
      </c>
      <c r="M212" s="980">
        <v>0</v>
      </c>
      <c r="N212" s="978"/>
      <c r="O212" s="978">
        <v>0</v>
      </c>
      <c r="P212" s="978">
        <v>0</v>
      </c>
      <c r="Q212" s="978">
        <v>0</v>
      </c>
      <c r="R212" s="979">
        <v>0</v>
      </c>
      <c r="S212" s="980">
        <v>0</v>
      </c>
      <c r="T212" s="978"/>
      <c r="U212" s="978">
        <v>0</v>
      </c>
      <c r="V212" s="978">
        <v>0</v>
      </c>
      <c r="W212" s="978">
        <v>0</v>
      </c>
      <c r="X212" s="979">
        <v>0</v>
      </c>
      <c r="Y212" s="981">
        <v>0</v>
      </c>
    </row>
    <row r="213" spans="1:25" ht="14.25">
      <c r="A213" s="807" t="s">
        <v>962</v>
      </c>
      <c r="B213" s="645" t="s">
        <v>1565</v>
      </c>
      <c r="C213" s="808" t="s">
        <v>534</v>
      </c>
      <c r="D213" s="610" t="s">
        <v>1566</v>
      </c>
      <c r="E213" s="975" t="s">
        <v>962</v>
      </c>
      <c r="F213" s="976" t="s">
        <v>1565</v>
      </c>
      <c r="G213" t="b">
        <v>0</v>
      </c>
      <c r="H213" s="977"/>
      <c r="I213" s="978">
        <v>0</v>
      </c>
      <c r="J213" s="978">
        <v>0</v>
      </c>
      <c r="K213" s="978">
        <v>0</v>
      </c>
      <c r="L213" s="979">
        <v>0</v>
      </c>
      <c r="M213" s="980">
        <v>0</v>
      </c>
      <c r="N213" s="978"/>
      <c r="O213" s="978">
        <v>0</v>
      </c>
      <c r="P213" s="978">
        <v>0</v>
      </c>
      <c r="Q213" s="978">
        <v>0</v>
      </c>
      <c r="R213" s="979">
        <v>0</v>
      </c>
      <c r="S213" s="980">
        <v>0</v>
      </c>
      <c r="T213" s="978"/>
      <c r="U213" s="978">
        <v>0</v>
      </c>
      <c r="V213" s="978">
        <v>0</v>
      </c>
      <c r="W213" s="978">
        <v>0</v>
      </c>
      <c r="X213" s="979">
        <v>0</v>
      </c>
      <c r="Y213" s="981">
        <v>0</v>
      </c>
    </row>
    <row r="214" spans="1:25" ht="14.25">
      <c r="A214" s="807" t="s">
        <v>963</v>
      </c>
      <c r="B214" s="645" t="s">
        <v>1567</v>
      </c>
      <c r="C214" s="808" t="s">
        <v>535</v>
      </c>
      <c r="D214" s="610" t="s">
        <v>1568</v>
      </c>
      <c r="E214" s="975" t="s">
        <v>963</v>
      </c>
      <c r="F214" s="976" t="s">
        <v>1567</v>
      </c>
      <c r="G214" t="b">
        <v>0</v>
      </c>
      <c r="H214" s="977"/>
      <c r="I214" s="978">
        <v>0</v>
      </c>
      <c r="J214" s="978">
        <v>0</v>
      </c>
      <c r="K214" s="978">
        <v>0</v>
      </c>
      <c r="L214" s="979">
        <v>0</v>
      </c>
      <c r="M214" s="980">
        <v>0</v>
      </c>
      <c r="N214" s="978"/>
      <c r="O214" s="978">
        <v>0</v>
      </c>
      <c r="P214" s="978">
        <v>0</v>
      </c>
      <c r="Q214" s="978">
        <v>0</v>
      </c>
      <c r="R214" s="979">
        <v>0</v>
      </c>
      <c r="S214" s="980">
        <v>0</v>
      </c>
      <c r="T214" s="978"/>
      <c r="U214" s="978">
        <v>0</v>
      </c>
      <c r="V214" s="978">
        <v>0</v>
      </c>
      <c r="W214" s="978">
        <v>0</v>
      </c>
      <c r="X214" s="979">
        <v>0</v>
      </c>
      <c r="Y214" s="981">
        <v>0</v>
      </c>
    </row>
    <row r="215" spans="1:25" ht="14.25">
      <c r="A215" s="807" t="s">
        <v>964</v>
      </c>
      <c r="B215" s="645" t="s">
        <v>1569</v>
      </c>
      <c r="C215" s="808" t="s">
        <v>536</v>
      </c>
      <c r="D215" s="610" t="s">
        <v>1570</v>
      </c>
      <c r="E215" s="975" t="s">
        <v>964</v>
      </c>
      <c r="F215" s="976" t="s">
        <v>1569</v>
      </c>
      <c r="G215" t="b">
        <v>0</v>
      </c>
      <c r="H215" s="977"/>
      <c r="I215" s="978">
        <v>0</v>
      </c>
      <c r="J215" s="978">
        <v>0</v>
      </c>
      <c r="K215" s="978">
        <v>0</v>
      </c>
      <c r="L215" s="979">
        <v>0</v>
      </c>
      <c r="M215" s="980">
        <v>0</v>
      </c>
      <c r="N215" s="978"/>
      <c r="O215" s="978">
        <v>0</v>
      </c>
      <c r="P215" s="978">
        <v>0</v>
      </c>
      <c r="Q215" s="978">
        <v>0</v>
      </c>
      <c r="R215" s="979">
        <v>0</v>
      </c>
      <c r="S215" s="980">
        <v>0</v>
      </c>
      <c r="T215" s="978"/>
      <c r="U215" s="978">
        <v>0</v>
      </c>
      <c r="V215" s="978">
        <v>0</v>
      </c>
      <c r="W215" s="978">
        <v>0</v>
      </c>
      <c r="X215" s="979">
        <v>0</v>
      </c>
      <c r="Y215" s="981">
        <v>0</v>
      </c>
    </row>
    <row r="216" spans="1:25" ht="14.25">
      <c r="A216" s="807" t="s">
        <v>965</v>
      </c>
      <c r="B216" s="645" t="s">
        <v>1571</v>
      </c>
      <c r="C216" s="808" t="s">
        <v>537</v>
      </c>
      <c r="D216" s="610" t="s">
        <v>1572</v>
      </c>
      <c r="E216" s="975" t="s">
        <v>965</v>
      </c>
      <c r="F216" s="976" t="s">
        <v>1571</v>
      </c>
      <c r="G216" t="b">
        <v>0</v>
      </c>
      <c r="H216" s="977"/>
      <c r="I216" s="978">
        <v>0</v>
      </c>
      <c r="J216" s="978">
        <v>0</v>
      </c>
      <c r="K216" s="978">
        <v>0</v>
      </c>
      <c r="L216" s="979">
        <v>0</v>
      </c>
      <c r="M216" s="980">
        <v>0</v>
      </c>
      <c r="N216" s="978"/>
      <c r="O216" s="978">
        <v>0</v>
      </c>
      <c r="P216" s="978">
        <v>0</v>
      </c>
      <c r="Q216" s="978">
        <v>0</v>
      </c>
      <c r="R216" s="979">
        <v>0</v>
      </c>
      <c r="S216" s="980">
        <v>0</v>
      </c>
      <c r="T216" s="978"/>
      <c r="U216" s="978">
        <v>0</v>
      </c>
      <c r="V216" s="978">
        <v>0</v>
      </c>
      <c r="W216" s="978">
        <v>0</v>
      </c>
      <c r="X216" s="979">
        <v>0</v>
      </c>
      <c r="Y216" s="981">
        <v>0</v>
      </c>
    </row>
    <row r="217" spans="1:25" ht="14.25">
      <c r="A217" s="807" t="s">
        <v>966</v>
      </c>
      <c r="B217" s="645" t="s">
        <v>1573</v>
      </c>
      <c r="C217" s="808" t="s">
        <v>538</v>
      </c>
      <c r="D217" s="610" t="s">
        <v>1574</v>
      </c>
      <c r="E217" s="975" t="s">
        <v>966</v>
      </c>
      <c r="F217" s="976" t="s">
        <v>1573</v>
      </c>
      <c r="G217" t="b">
        <v>0</v>
      </c>
      <c r="H217" s="977"/>
      <c r="I217" s="978">
        <v>0</v>
      </c>
      <c r="J217" s="978">
        <v>0</v>
      </c>
      <c r="K217" s="978">
        <v>0</v>
      </c>
      <c r="L217" s="979">
        <v>0</v>
      </c>
      <c r="M217" s="980">
        <v>0</v>
      </c>
      <c r="N217" s="978"/>
      <c r="O217" s="978">
        <v>0</v>
      </c>
      <c r="P217" s="978">
        <v>0</v>
      </c>
      <c r="Q217" s="978">
        <v>0</v>
      </c>
      <c r="R217" s="979">
        <v>0</v>
      </c>
      <c r="S217" s="980">
        <v>0</v>
      </c>
      <c r="T217" s="978"/>
      <c r="U217" s="978">
        <v>0</v>
      </c>
      <c r="V217" s="978">
        <v>0</v>
      </c>
      <c r="W217" s="978">
        <v>0</v>
      </c>
      <c r="X217" s="979">
        <v>0</v>
      </c>
      <c r="Y217" s="981">
        <v>0</v>
      </c>
    </row>
    <row r="218" spans="1:25" ht="14.25">
      <c r="A218" s="807" t="s">
        <v>967</v>
      </c>
      <c r="B218" s="645" t="s">
        <v>1575</v>
      </c>
      <c r="C218" s="808" t="s">
        <v>539</v>
      </c>
      <c r="D218" s="610" t="s">
        <v>1576</v>
      </c>
      <c r="E218" s="975" t="s">
        <v>967</v>
      </c>
      <c r="F218" s="976" t="s">
        <v>1575</v>
      </c>
      <c r="G218" t="b">
        <v>0</v>
      </c>
      <c r="H218" s="977"/>
      <c r="I218" s="978">
        <v>0</v>
      </c>
      <c r="J218" s="978">
        <v>0</v>
      </c>
      <c r="K218" s="978">
        <v>0</v>
      </c>
      <c r="L218" s="979">
        <v>0</v>
      </c>
      <c r="M218" s="980">
        <v>0</v>
      </c>
      <c r="N218" s="978"/>
      <c r="O218" s="978">
        <v>0</v>
      </c>
      <c r="P218" s="978">
        <v>0</v>
      </c>
      <c r="Q218" s="978">
        <v>0</v>
      </c>
      <c r="R218" s="979">
        <v>0</v>
      </c>
      <c r="S218" s="980">
        <v>0</v>
      </c>
      <c r="T218" s="978"/>
      <c r="U218" s="978">
        <v>0</v>
      </c>
      <c r="V218" s="978">
        <v>0</v>
      </c>
      <c r="W218" s="978">
        <v>0</v>
      </c>
      <c r="X218" s="979">
        <v>0</v>
      </c>
      <c r="Y218" s="981">
        <v>0</v>
      </c>
    </row>
    <row r="219" spans="1:25" ht="14.25">
      <c r="A219" s="807" t="s">
        <v>968</v>
      </c>
      <c r="B219" s="645" t="s">
        <v>1577</v>
      </c>
      <c r="C219" s="808" t="s">
        <v>540</v>
      </c>
      <c r="D219" s="610" t="s">
        <v>1578</v>
      </c>
      <c r="E219" s="975" t="s">
        <v>968</v>
      </c>
      <c r="F219" s="976" t="s">
        <v>1577</v>
      </c>
      <c r="G219" t="b">
        <v>0</v>
      </c>
      <c r="H219" s="977"/>
      <c r="I219" s="978">
        <v>0</v>
      </c>
      <c r="J219" s="978">
        <v>0</v>
      </c>
      <c r="K219" s="978">
        <v>0</v>
      </c>
      <c r="L219" s="979">
        <v>0</v>
      </c>
      <c r="M219" s="980">
        <v>0</v>
      </c>
      <c r="N219" s="978"/>
      <c r="O219" s="978">
        <v>0</v>
      </c>
      <c r="P219" s="978">
        <v>0</v>
      </c>
      <c r="Q219" s="978">
        <v>0</v>
      </c>
      <c r="R219" s="979">
        <v>0</v>
      </c>
      <c r="S219" s="980">
        <v>0</v>
      </c>
      <c r="T219" s="978"/>
      <c r="U219" s="978">
        <v>0</v>
      </c>
      <c r="V219" s="978">
        <v>0</v>
      </c>
      <c r="W219" s="978">
        <v>0</v>
      </c>
      <c r="X219" s="979">
        <v>0</v>
      </c>
      <c r="Y219" s="981">
        <v>0</v>
      </c>
    </row>
    <row r="220" spans="1:25" ht="14.25">
      <c r="A220" s="814" t="s">
        <v>969</v>
      </c>
      <c r="B220" s="645">
        <v>0</v>
      </c>
      <c r="C220" s="808" t="s">
        <v>541</v>
      </c>
      <c r="D220" s="610" t="s">
        <v>1550</v>
      </c>
      <c r="E220" s="975" t="s">
        <v>969</v>
      </c>
      <c r="F220" s="976">
        <v>0</v>
      </c>
      <c r="G220" t="b">
        <v>0</v>
      </c>
      <c r="H220" s="977"/>
      <c r="I220" s="978">
        <v>0</v>
      </c>
      <c r="J220" s="978">
        <v>0</v>
      </c>
      <c r="K220" s="978">
        <v>0</v>
      </c>
      <c r="L220" s="979">
        <v>0</v>
      </c>
      <c r="M220" s="980">
        <v>0</v>
      </c>
      <c r="N220" s="978"/>
      <c r="O220" s="978">
        <v>0</v>
      </c>
      <c r="P220" s="978">
        <v>0</v>
      </c>
      <c r="Q220" s="978">
        <v>0</v>
      </c>
      <c r="R220" s="979">
        <v>0</v>
      </c>
      <c r="S220" s="980">
        <v>0</v>
      </c>
      <c r="T220" s="978"/>
      <c r="U220" s="978">
        <v>0</v>
      </c>
      <c r="V220" s="978">
        <v>0</v>
      </c>
      <c r="W220" s="978">
        <v>0</v>
      </c>
      <c r="X220" s="979">
        <v>0</v>
      </c>
      <c r="Y220" s="981">
        <v>0</v>
      </c>
    </row>
    <row r="221" spans="1:25" ht="14.25">
      <c r="A221" s="814" t="s">
        <v>970</v>
      </c>
      <c r="B221" s="645">
        <v>0</v>
      </c>
      <c r="C221" s="808" t="s">
        <v>542</v>
      </c>
      <c r="D221" s="610" t="s">
        <v>1550</v>
      </c>
      <c r="E221" s="975" t="s">
        <v>970</v>
      </c>
      <c r="F221" s="976">
        <v>0</v>
      </c>
      <c r="G221" t="b">
        <v>0</v>
      </c>
      <c r="H221" s="977"/>
      <c r="I221" s="978">
        <v>0</v>
      </c>
      <c r="J221" s="978">
        <v>0</v>
      </c>
      <c r="K221" s="978">
        <v>0</v>
      </c>
      <c r="L221" s="979">
        <v>0</v>
      </c>
      <c r="M221" s="980">
        <v>0</v>
      </c>
      <c r="N221" s="978"/>
      <c r="O221" s="978">
        <v>0</v>
      </c>
      <c r="P221" s="978">
        <v>0</v>
      </c>
      <c r="Q221" s="978">
        <v>0</v>
      </c>
      <c r="R221" s="979">
        <v>0</v>
      </c>
      <c r="S221" s="980">
        <v>0</v>
      </c>
      <c r="T221" s="978"/>
      <c r="U221" s="978">
        <v>0</v>
      </c>
      <c r="V221" s="978">
        <v>0</v>
      </c>
      <c r="W221" s="978">
        <v>0</v>
      </c>
      <c r="X221" s="979">
        <v>0</v>
      </c>
      <c r="Y221" s="981">
        <v>0</v>
      </c>
    </row>
    <row r="222" spans="1:25" ht="14.25">
      <c r="A222" s="814" t="s">
        <v>971</v>
      </c>
      <c r="B222" s="645">
        <v>0</v>
      </c>
      <c r="C222" s="808" t="s">
        <v>543</v>
      </c>
      <c r="D222" s="610" t="s">
        <v>1553</v>
      </c>
      <c r="E222" s="975" t="s">
        <v>971</v>
      </c>
      <c r="F222" s="976">
        <v>0</v>
      </c>
      <c r="G222" t="b">
        <v>0</v>
      </c>
      <c r="H222" s="977"/>
      <c r="I222" s="978">
        <v>0</v>
      </c>
      <c r="J222" s="978">
        <v>0</v>
      </c>
      <c r="K222" s="978">
        <v>0</v>
      </c>
      <c r="L222" s="979">
        <v>0</v>
      </c>
      <c r="M222" s="980">
        <v>0</v>
      </c>
      <c r="N222" s="978"/>
      <c r="O222" s="978">
        <v>0</v>
      </c>
      <c r="P222" s="978">
        <v>0</v>
      </c>
      <c r="Q222" s="978">
        <v>0</v>
      </c>
      <c r="R222" s="979">
        <v>0</v>
      </c>
      <c r="S222" s="980">
        <v>0</v>
      </c>
      <c r="T222" s="978"/>
      <c r="U222" s="978">
        <v>0</v>
      </c>
      <c r="V222" s="978">
        <v>0</v>
      </c>
      <c r="W222" s="978">
        <v>0</v>
      </c>
      <c r="X222" s="979">
        <v>0</v>
      </c>
      <c r="Y222" s="981">
        <v>0</v>
      </c>
    </row>
    <row r="223" spans="1:25" ht="14.25">
      <c r="A223" s="814" t="s">
        <v>972</v>
      </c>
      <c r="B223" s="645">
        <v>0</v>
      </c>
      <c r="C223" s="808" t="s">
        <v>544</v>
      </c>
      <c r="D223" s="610" t="s">
        <v>1553</v>
      </c>
      <c r="E223" s="975" t="s">
        <v>972</v>
      </c>
      <c r="F223" s="976">
        <v>0</v>
      </c>
      <c r="G223" t="b">
        <v>0</v>
      </c>
      <c r="H223" s="977"/>
      <c r="I223" s="978">
        <v>0</v>
      </c>
      <c r="J223" s="978">
        <v>0</v>
      </c>
      <c r="K223" s="978">
        <v>0</v>
      </c>
      <c r="L223" s="979">
        <v>0</v>
      </c>
      <c r="M223" s="980">
        <v>0</v>
      </c>
      <c r="N223" s="978"/>
      <c r="O223" s="978">
        <v>0</v>
      </c>
      <c r="P223" s="978">
        <v>0</v>
      </c>
      <c r="Q223" s="978">
        <v>0</v>
      </c>
      <c r="R223" s="979">
        <v>0</v>
      </c>
      <c r="S223" s="980">
        <v>0</v>
      </c>
      <c r="T223" s="978"/>
      <c r="U223" s="978">
        <v>0</v>
      </c>
      <c r="V223" s="978">
        <v>0</v>
      </c>
      <c r="W223" s="978">
        <v>0</v>
      </c>
      <c r="X223" s="979">
        <v>0</v>
      </c>
      <c r="Y223" s="981">
        <v>0</v>
      </c>
    </row>
    <row r="224" spans="1:25" ht="14.25">
      <c r="A224" s="814" t="s">
        <v>973</v>
      </c>
      <c r="B224" s="645">
        <v>0</v>
      </c>
      <c r="C224" s="808" t="s">
        <v>545</v>
      </c>
      <c r="D224" s="610" t="s">
        <v>1556</v>
      </c>
      <c r="E224" s="975" t="s">
        <v>973</v>
      </c>
      <c r="F224" s="976">
        <v>0</v>
      </c>
      <c r="G224" t="b">
        <v>0</v>
      </c>
      <c r="H224" s="977"/>
      <c r="I224" s="978">
        <v>0</v>
      </c>
      <c r="J224" s="978">
        <v>0</v>
      </c>
      <c r="K224" s="978">
        <v>0</v>
      </c>
      <c r="L224" s="979">
        <v>0</v>
      </c>
      <c r="M224" s="980">
        <v>0</v>
      </c>
      <c r="N224" s="978"/>
      <c r="O224" s="978">
        <v>0</v>
      </c>
      <c r="P224" s="978">
        <v>0</v>
      </c>
      <c r="Q224" s="978">
        <v>0</v>
      </c>
      <c r="R224" s="979">
        <v>0</v>
      </c>
      <c r="S224" s="980">
        <v>0</v>
      </c>
      <c r="T224" s="978"/>
      <c r="U224" s="978">
        <v>0</v>
      </c>
      <c r="V224" s="978">
        <v>0</v>
      </c>
      <c r="W224" s="978">
        <v>0</v>
      </c>
      <c r="X224" s="979">
        <v>0</v>
      </c>
      <c r="Y224" s="981">
        <v>0</v>
      </c>
    </row>
    <row r="225" spans="1:25" ht="14.25">
      <c r="A225" s="814" t="s">
        <v>974</v>
      </c>
      <c r="B225" s="645">
        <v>0</v>
      </c>
      <c r="C225" s="808" t="s">
        <v>546</v>
      </c>
      <c r="D225" s="610" t="s">
        <v>1556</v>
      </c>
      <c r="E225" s="975" t="s">
        <v>974</v>
      </c>
      <c r="F225" s="976">
        <v>0</v>
      </c>
      <c r="G225" t="b">
        <v>0</v>
      </c>
      <c r="H225" s="977"/>
      <c r="I225" s="978">
        <v>0</v>
      </c>
      <c r="J225" s="978">
        <v>0</v>
      </c>
      <c r="K225" s="978">
        <v>0</v>
      </c>
      <c r="L225" s="979">
        <v>0</v>
      </c>
      <c r="M225" s="980">
        <v>0</v>
      </c>
      <c r="N225" s="978"/>
      <c r="O225" s="978">
        <v>0</v>
      </c>
      <c r="P225" s="978">
        <v>0</v>
      </c>
      <c r="Q225" s="978">
        <v>0</v>
      </c>
      <c r="R225" s="979">
        <v>0</v>
      </c>
      <c r="S225" s="980">
        <v>0</v>
      </c>
      <c r="T225" s="978"/>
      <c r="U225" s="978">
        <v>0</v>
      </c>
      <c r="V225" s="978">
        <v>0</v>
      </c>
      <c r="W225" s="978">
        <v>0</v>
      </c>
      <c r="X225" s="979">
        <v>0</v>
      </c>
      <c r="Y225" s="981">
        <v>0</v>
      </c>
    </row>
    <row r="226" spans="1:25" ht="14.25">
      <c r="A226" s="814" t="s">
        <v>975</v>
      </c>
      <c r="B226" s="645">
        <v>0</v>
      </c>
      <c r="C226" s="808" t="s">
        <v>547</v>
      </c>
      <c r="D226" s="610" t="s">
        <v>1579</v>
      </c>
      <c r="E226" s="975" t="s">
        <v>975</v>
      </c>
      <c r="F226" s="976">
        <v>0</v>
      </c>
      <c r="G226" t="b">
        <v>0</v>
      </c>
      <c r="H226" s="977"/>
      <c r="I226" s="978">
        <v>0</v>
      </c>
      <c r="J226" s="978">
        <v>0</v>
      </c>
      <c r="K226" s="978">
        <v>0</v>
      </c>
      <c r="L226" s="979">
        <v>0</v>
      </c>
      <c r="M226" s="980">
        <v>0</v>
      </c>
      <c r="N226" s="978"/>
      <c r="O226" s="978">
        <v>0</v>
      </c>
      <c r="P226" s="978">
        <v>0</v>
      </c>
      <c r="Q226" s="978">
        <v>0</v>
      </c>
      <c r="R226" s="979">
        <v>0</v>
      </c>
      <c r="S226" s="980">
        <v>0</v>
      </c>
      <c r="T226" s="978"/>
      <c r="U226" s="978">
        <v>0</v>
      </c>
      <c r="V226" s="978">
        <v>0</v>
      </c>
      <c r="W226" s="978">
        <v>0</v>
      </c>
      <c r="X226" s="979">
        <v>0</v>
      </c>
      <c r="Y226" s="981">
        <v>0</v>
      </c>
    </row>
    <row r="227" spans="1:25" ht="14.25">
      <c r="A227" s="814" t="s">
        <v>976</v>
      </c>
      <c r="B227" s="645">
        <v>0</v>
      </c>
      <c r="C227" s="808" t="s">
        <v>548</v>
      </c>
      <c r="D227" s="610" t="s">
        <v>1580</v>
      </c>
      <c r="E227" s="975" t="s">
        <v>976</v>
      </c>
      <c r="F227" s="976">
        <v>0</v>
      </c>
      <c r="G227" t="b">
        <v>0</v>
      </c>
      <c r="H227" s="977"/>
      <c r="I227" s="978">
        <v>0</v>
      </c>
      <c r="J227" s="978">
        <v>0</v>
      </c>
      <c r="K227" s="978">
        <v>0</v>
      </c>
      <c r="L227" s="979">
        <v>0</v>
      </c>
      <c r="M227" s="980">
        <v>0</v>
      </c>
      <c r="N227" s="978"/>
      <c r="O227" s="978">
        <v>0</v>
      </c>
      <c r="P227" s="978">
        <v>0</v>
      </c>
      <c r="Q227" s="978">
        <v>0</v>
      </c>
      <c r="R227" s="979">
        <v>0</v>
      </c>
      <c r="S227" s="980">
        <v>0</v>
      </c>
      <c r="T227" s="978"/>
      <c r="U227" s="978">
        <v>0</v>
      </c>
      <c r="V227" s="978">
        <v>0</v>
      </c>
      <c r="W227" s="978">
        <v>0</v>
      </c>
      <c r="X227" s="979">
        <v>0</v>
      </c>
      <c r="Y227" s="981">
        <v>0</v>
      </c>
    </row>
    <row r="228" spans="1:25" ht="14.25">
      <c r="A228" s="814" t="s">
        <v>977</v>
      </c>
      <c r="B228" s="645">
        <v>0</v>
      </c>
      <c r="C228" s="808" t="s">
        <v>549</v>
      </c>
      <c r="D228" s="610" t="s">
        <v>1559</v>
      </c>
      <c r="E228" s="975" t="s">
        <v>977</v>
      </c>
      <c r="F228" s="976">
        <v>0</v>
      </c>
      <c r="G228" t="b">
        <v>0</v>
      </c>
      <c r="H228" s="977"/>
      <c r="I228" s="978">
        <v>0</v>
      </c>
      <c r="J228" s="978">
        <v>0</v>
      </c>
      <c r="K228" s="978">
        <v>0</v>
      </c>
      <c r="L228" s="979">
        <v>0</v>
      </c>
      <c r="M228" s="980">
        <v>0</v>
      </c>
      <c r="N228" s="978"/>
      <c r="O228" s="978">
        <v>0</v>
      </c>
      <c r="P228" s="978">
        <v>0</v>
      </c>
      <c r="Q228" s="978">
        <v>0</v>
      </c>
      <c r="R228" s="979">
        <v>0</v>
      </c>
      <c r="S228" s="980">
        <v>0</v>
      </c>
      <c r="T228" s="978"/>
      <c r="U228" s="978">
        <v>0</v>
      </c>
      <c r="V228" s="978">
        <v>0</v>
      </c>
      <c r="W228" s="978">
        <v>0</v>
      </c>
      <c r="X228" s="979">
        <v>0</v>
      </c>
      <c r="Y228" s="981">
        <v>0</v>
      </c>
    </row>
    <row r="229" spans="1:25" ht="14.25">
      <c r="A229" s="814" t="s">
        <v>978</v>
      </c>
      <c r="B229" s="645">
        <v>0</v>
      </c>
      <c r="C229" s="808" t="s">
        <v>550</v>
      </c>
      <c r="D229" s="610" t="s">
        <v>1559</v>
      </c>
      <c r="E229" s="975" t="s">
        <v>978</v>
      </c>
      <c r="F229" s="976">
        <v>0</v>
      </c>
      <c r="G229" t="b">
        <v>0</v>
      </c>
      <c r="H229" s="977"/>
      <c r="I229" s="978">
        <v>0</v>
      </c>
      <c r="J229" s="978">
        <v>0</v>
      </c>
      <c r="K229" s="978">
        <v>0</v>
      </c>
      <c r="L229" s="979">
        <v>0</v>
      </c>
      <c r="M229" s="980">
        <v>0</v>
      </c>
      <c r="N229" s="978"/>
      <c r="O229" s="978">
        <v>0</v>
      </c>
      <c r="P229" s="978">
        <v>0</v>
      </c>
      <c r="Q229" s="978">
        <v>0</v>
      </c>
      <c r="R229" s="979">
        <v>0</v>
      </c>
      <c r="S229" s="980">
        <v>0</v>
      </c>
      <c r="T229" s="978"/>
      <c r="U229" s="978">
        <v>0</v>
      </c>
      <c r="V229" s="978">
        <v>0</v>
      </c>
      <c r="W229" s="978">
        <v>0</v>
      </c>
      <c r="X229" s="979">
        <v>0</v>
      </c>
      <c r="Y229" s="981">
        <v>0</v>
      </c>
    </row>
    <row r="230" spans="1:25" ht="14.25">
      <c r="A230" s="814" t="s">
        <v>979</v>
      </c>
      <c r="B230" s="645">
        <v>0</v>
      </c>
      <c r="C230" s="808" t="s">
        <v>551</v>
      </c>
      <c r="D230" s="610" t="s">
        <v>1562</v>
      </c>
      <c r="E230" s="975" t="s">
        <v>979</v>
      </c>
      <c r="F230" s="976">
        <v>0</v>
      </c>
      <c r="G230" t="b">
        <v>0</v>
      </c>
      <c r="H230" s="977"/>
      <c r="I230" s="978">
        <v>0</v>
      </c>
      <c r="J230" s="978">
        <v>0</v>
      </c>
      <c r="K230" s="978">
        <v>0</v>
      </c>
      <c r="L230" s="979">
        <v>0</v>
      </c>
      <c r="M230" s="980">
        <v>0</v>
      </c>
      <c r="N230" s="978"/>
      <c r="O230" s="978">
        <v>0</v>
      </c>
      <c r="P230" s="978">
        <v>0</v>
      </c>
      <c r="Q230" s="978">
        <v>0</v>
      </c>
      <c r="R230" s="979">
        <v>0</v>
      </c>
      <c r="S230" s="980">
        <v>0</v>
      </c>
      <c r="T230" s="978"/>
      <c r="U230" s="978">
        <v>0</v>
      </c>
      <c r="V230" s="978">
        <v>0</v>
      </c>
      <c r="W230" s="978">
        <v>0</v>
      </c>
      <c r="X230" s="979">
        <v>0</v>
      </c>
      <c r="Y230" s="981">
        <v>0</v>
      </c>
    </row>
    <row r="231" spans="1:25" ht="14.25">
      <c r="A231" s="814" t="s">
        <v>980</v>
      </c>
      <c r="B231" s="645">
        <v>0</v>
      </c>
      <c r="C231" s="808" t="s">
        <v>552</v>
      </c>
      <c r="D231" s="610" t="s">
        <v>1550</v>
      </c>
      <c r="E231" s="975" t="s">
        <v>980</v>
      </c>
      <c r="F231" s="976">
        <v>0</v>
      </c>
      <c r="G231" t="b">
        <v>0</v>
      </c>
      <c r="H231" s="977"/>
      <c r="I231" s="978">
        <v>0</v>
      </c>
      <c r="J231" s="978">
        <v>0</v>
      </c>
      <c r="K231" s="978">
        <v>0</v>
      </c>
      <c r="L231" s="979">
        <v>0</v>
      </c>
      <c r="M231" s="980">
        <v>0</v>
      </c>
      <c r="N231" s="978"/>
      <c r="O231" s="978">
        <v>0</v>
      </c>
      <c r="P231" s="978">
        <v>0</v>
      </c>
      <c r="Q231" s="978">
        <v>0</v>
      </c>
      <c r="R231" s="979">
        <v>0</v>
      </c>
      <c r="S231" s="980">
        <v>0</v>
      </c>
      <c r="T231" s="978"/>
      <c r="U231" s="978">
        <v>0</v>
      </c>
      <c r="V231" s="978">
        <v>0</v>
      </c>
      <c r="W231" s="978">
        <v>0</v>
      </c>
      <c r="X231" s="979">
        <v>0</v>
      </c>
      <c r="Y231" s="981">
        <v>0</v>
      </c>
    </row>
    <row r="232" spans="1:25" ht="14.25">
      <c r="A232" s="814" t="s">
        <v>981</v>
      </c>
      <c r="B232" s="645">
        <v>0</v>
      </c>
      <c r="C232" s="808" t="s">
        <v>553</v>
      </c>
      <c r="D232" s="610" t="s">
        <v>1550</v>
      </c>
      <c r="E232" s="975" t="s">
        <v>981</v>
      </c>
      <c r="F232" s="976">
        <v>0</v>
      </c>
      <c r="G232" t="b">
        <v>0</v>
      </c>
      <c r="H232" s="977"/>
      <c r="I232" s="978">
        <v>0</v>
      </c>
      <c r="J232" s="978">
        <v>0</v>
      </c>
      <c r="K232" s="978">
        <v>0</v>
      </c>
      <c r="L232" s="979">
        <v>0</v>
      </c>
      <c r="M232" s="980">
        <v>0</v>
      </c>
      <c r="N232" s="978"/>
      <c r="O232" s="978">
        <v>0</v>
      </c>
      <c r="P232" s="978">
        <v>0</v>
      </c>
      <c r="Q232" s="978">
        <v>0</v>
      </c>
      <c r="R232" s="979">
        <v>0</v>
      </c>
      <c r="S232" s="980">
        <v>0</v>
      </c>
      <c r="T232" s="978"/>
      <c r="U232" s="978">
        <v>0</v>
      </c>
      <c r="V232" s="978">
        <v>0</v>
      </c>
      <c r="W232" s="978">
        <v>0</v>
      </c>
      <c r="X232" s="979">
        <v>0</v>
      </c>
      <c r="Y232" s="981">
        <v>0</v>
      </c>
    </row>
    <row r="233" spans="1:25" ht="14.25">
      <c r="A233" s="814" t="s">
        <v>982</v>
      </c>
      <c r="B233" s="645">
        <v>0</v>
      </c>
      <c r="C233" s="808" t="s">
        <v>554</v>
      </c>
      <c r="D233" s="610" t="s">
        <v>1553</v>
      </c>
      <c r="E233" s="975" t="s">
        <v>982</v>
      </c>
      <c r="F233" s="976">
        <v>0</v>
      </c>
      <c r="G233" t="b">
        <v>0</v>
      </c>
      <c r="H233" s="977"/>
      <c r="I233" s="978">
        <v>0</v>
      </c>
      <c r="J233" s="978">
        <v>0</v>
      </c>
      <c r="K233" s="978">
        <v>0</v>
      </c>
      <c r="L233" s="979">
        <v>0</v>
      </c>
      <c r="M233" s="980">
        <v>0</v>
      </c>
      <c r="N233" s="978"/>
      <c r="O233" s="978">
        <v>0</v>
      </c>
      <c r="P233" s="978">
        <v>0</v>
      </c>
      <c r="Q233" s="978">
        <v>0</v>
      </c>
      <c r="R233" s="979">
        <v>0</v>
      </c>
      <c r="S233" s="980">
        <v>0</v>
      </c>
      <c r="T233" s="978"/>
      <c r="U233" s="978">
        <v>0</v>
      </c>
      <c r="V233" s="978">
        <v>0</v>
      </c>
      <c r="W233" s="978">
        <v>0</v>
      </c>
      <c r="X233" s="979">
        <v>0</v>
      </c>
      <c r="Y233" s="981">
        <v>0</v>
      </c>
    </row>
    <row r="234" spans="1:25" ht="14.25">
      <c r="A234" s="814" t="s">
        <v>983</v>
      </c>
      <c r="B234" s="645">
        <v>0</v>
      </c>
      <c r="C234" s="808" t="s">
        <v>555</v>
      </c>
      <c r="D234" s="610" t="s">
        <v>1553</v>
      </c>
      <c r="E234" s="975" t="s">
        <v>983</v>
      </c>
      <c r="F234" s="976">
        <v>0</v>
      </c>
      <c r="G234" t="b">
        <v>0</v>
      </c>
      <c r="H234" s="977"/>
      <c r="I234" s="978">
        <v>0</v>
      </c>
      <c r="J234" s="978">
        <v>0</v>
      </c>
      <c r="K234" s="978">
        <v>0</v>
      </c>
      <c r="L234" s="979">
        <v>0</v>
      </c>
      <c r="M234" s="980">
        <v>0</v>
      </c>
      <c r="N234" s="978"/>
      <c r="O234" s="978">
        <v>0</v>
      </c>
      <c r="P234" s="978">
        <v>0</v>
      </c>
      <c r="Q234" s="978">
        <v>0</v>
      </c>
      <c r="R234" s="979">
        <v>0</v>
      </c>
      <c r="S234" s="980">
        <v>0</v>
      </c>
      <c r="T234" s="978"/>
      <c r="U234" s="978">
        <v>0</v>
      </c>
      <c r="V234" s="978">
        <v>0</v>
      </c>
      <c r="W234" s="978">
        <v>0</v>
      </c>
      <c r="X234" s="979">
        <v>0</v>
      </c>
      <c r="Y234" s="981">
        <v>0</v>
      </c>
    </row>
    <row r="235" spans="1:25" ht="14.25">
      <c r="A235" s="814" t="s">
        <v>984</v>
      </c>
      <c r="B235" s="645">
        <v>0</v>
      </c>
      <c r="C235" s="808" t="s">
        <v>556</v>
      </c>
      <c r="D235" s="610" t="s">
        <v>1556</v>
      </c>
      <c r="E235" s="975" t="s">
        <v>984</v>
      </c>
      <c r="F235" s="976">
        <v>0</v>
      </c>
      <c r="G235" t="b">
        <v>0</v>
      </c>
      <c r="H235" s="977"/>
      <c r="I235" s="978">
        <v>0</v>
      </c>
      <c r="J235" s="978">
        <v>0</v>
      </c>
      <c r="K235" s="978">
        <v>0</v>
      </c>
      <c r="L235" s="979">
        <v>0</v>
      </c>
      <c r="M235" s="980">
        <v>0</v>
      </c>
      <c r="N235" s="978"/>
      <c r="O235" s="978">
        <v>0</v>
      </c>
      <c r="P235" s="978">
        <v>0</v>
      </c>
      <c r="Q235" s="978">
        <v>0</v>
      </c>
      <c r="R235" s="979">
        <v>0</v>
      </c>
      <c r="S235" s="980">
        <v>0</v>
      </c>
      <c r="T235" s="978"/>
      <c r="U235" s="978">
        <v>0</v>
      </c>
      <c r="V235" s="978">
        <v>0</v>
      </c>
      <c r="W235" s="978">
        <v>0</v>
      </c>
      <c r="X235" s="979">
        <v>0</v>
      </c>
      <c r="Y235" s="981">
        <v>0</v>
      </c>
    </row>
    <row r="236" spans="1:25" ht="14.25">
      <c r="A236" s="814" t="s">
        <v>985</v>
      </c>
      <c r="B236" s="645">
        <v>0</v>
      </c>
      <c r="C236" s="808" t="s">
        <v>557</v>
      </c>
      <c r="D236" s="610" t="s">
        <v>1556</v>
      </c>
      <c r="E236" s="975" t="s">
        <v>985</v>
      </c>
      <c r="F236" s="976">
        <v>0</v>
      </c>
      <c r="G236" t="b">
        <v>0</v>
      </c>
      <c r="H236" s="977"/>
      <c r="I236" s="978">
        <v>0</v>
      </c>
      <c r="J236" s="978">
        <v>0</v>
      </c>
      <c r="K236" s="978">
        <v>0</v>
      </c>
      <c r="L236" s="979">
        <v>0</v>
      </c>
      <c r="M236" s="980">
        <v>0</v>
      </c>
      <c r="N236" s="978"/>
      <c r="O236" s="978">
        <v>0</v>
      </c>
      <c r="P236" s="978">
        <v>0</v>
      </c>
      <c r="Q236" s="978">
        <v>0</v>
      </c>
      <c r="R236" s="979">
        <v>0</v>
      </c>
      <c r="S236" s="980">
        <v>0</v>
      </c>
      <c r="T236" s="978"/>
      <c r="U236" s="978">
        <v>0</v>
      </c>
      <c r="V236" s="978">
        <v>0</v>
      </c>
      <c r="W236" s="978">
        <v>0</v>
      </c>
      <c r="X236" s="979">
        <v>0</v>
      </c>
      <c r="Y236" s="981">
        <v>0</v>
      </c>
    </row>
    <row r="237" spans="1:25" ht="14.25">
      <c r="A237" s="814" t="s">
        <v>986</v>
      </c>
      <c r="B237" s="645">
        <v>0</v>
      </c>
      <c r="C237" s="808" t="s">
        <v>558</v>
      </c>
      <c r="D237" s="610" t="s">
        <v>1579</v>
      </c>
      <c r="E237" s="975" t="s">
        <v>986</v>
      </c>
      <c r="F237" s="976">
        <v>0</v>
      </c>
      <c r="G237" t="b">
        <v>0</v>
      </c>
      <c r="H237" s="977"/>
      <c r="I237" s="978">
        <v>0</v>
      </c>
      <c r="J237" s="978">
        <v>0</v>
      </c>
      <c r="K237" s="978">
        <v>0</v>
      </c>
      <c r="L237" s="979">
        <v>0</v>
      </c>
      <c r="M237" s="980">
        <v>0</v>
      </c>
      <c r="N237" s="978"/>
      <c r="O237" s="978">
        <v>0</v>
      </c>
      <c r="P237" s="978">
        <v>0</v>
      </c>
      <c r="Q237" s="978">
        <v>0</v>
      </c>
      <c r="R237" s="979">
        <v>0</v>
      </c>
      <c r="S237" s="980">
        <v>0</v>
      </c>
      <c r="T237" s="978"/>
      <c r="U237" s="978">
        <v>0</v>
      </c>
      <c r="V237" s="978">
        <v>0</v>
      </c>
      <c r="W237" s="978">
        <v>0</v>
      </c>
      <c r="X237" s="979">
        <v>0</v>
      </c>
      <c r="Y237" s="981">
        <v>0</v>
      </c>
    </row>
    <row r="238" spans="1:25" ht="14.25">
      <c r="A238" s="814" t="s">
        <v>987</v>
      </c>
      <c r="B238" s="645">
        <v>0</v>
      </c>
      <c r="C238" s="808" t="s">
        <v>559</v>
      </c>
      <c r="D238" s="610" t="s">
        <v>1581</v>
      </c>
      <c r="E238" s="975" t="s">
        <v>987</v>
      </c>
      <c r="F238" s="976">
        <v>0</v>
      </c>
      <c r="G238" t="b">
        <v>0</v>
      </c>
      <c r="H238" s="977"/>
      <c r="I238" s="978">
        <v>0</v>
      </c>
      <c r="J238" s="978">
        <v>0</v>
      </c>
      <c r="K238" s="978">
        <v>0</v>
      </c>
      <c r="L238" s="979">
        <v>0</v>
      </c>
      <c r="M238" s="980">
        <v>0</v>
      </c>
      <c r="N238" s="978"/>
      <c r="O238" s="978">
        <v>0</v>
      </c>
      <c r="P238" s="978">
        <v>0</v>
      </c>
      <c r="Q238" s="978">
        <v>0</v>
      </c>
      <c r="R238" s="979">
        <v>0</v>
      </c>
      <c r="S238" s="980">
        <v>0</v>
      </c>
      <c r="T238" s="978"/>
      <c r="U238" s="978">
        <v>0</v>
      </c>
      <c r="V238" s="978">
        <v>0</v>
      </c>
      <c r="W238" s="978">
        <v>0</v>
      </c>
      <c r="X238" s="979">
        <v>0</v>
      </c>
      <c r="Y238" s="981">
        <v>0</v>
      </c>
    </row>
    <row r="239" spans="1:25" ht="15" thickBot="1">
      <c r="A239" s="1218" t="s">
        <v>70</v>
      </c>
      <c r="B239" s="667"/>
      <c r="C239" s="675"/>
      <c r="D239" s="667"/>
      <c r="E239" s="1219"/>
      <c r="F239" s="1220"/>
      <c r="G239" s="1221"/>
      <c r="H239" s="1222"/>
      <c r="I239" s="1221"/>
      <c r="J239" s="1221"/>
      <c r="K239" s="1221"/>
      <c r="L239" s="1223"/>
      <c r="M239" s="1224"/>
      <c r="N239" s="1221"/>
      <c r="O239" s="1221"/>
      <c r="P239" s="1221"/>
      <c r="Q239" s="1221"/>
      <c r="R239" s="1223"/>
      <c r="S239" s="1224"/>
      <c r="T239" s="1221"/>
      <c r="U239" s="1221"/>
      <c r="V239" s="1221"/>
      <c r="W239" s="1221"/>
      <c r="X239" s="1223"/>
      <c r="Y239" s="1225"/>
    </row>
    <row r="240" spans="1:25" ht="13.5" thickTop="1"/>
  </sheetData>
  <mergeCells count="1">
    <mergeCell ref="B15:D15"/>
  </mergeCells>
  <phoneticPr fontId="77" type="noConversion"/>
  <conditionalFormatting sqref="F240:F242">
    <cfRule type="expression" dxfId="255" priority="5">
      <formula>$F240&lt;&gt;$A240</formula>
    </cfRule>
  </conditionalFormatting>
  <conditionalFormatting sqref="E18:E238">
    <cfRule type="expression" dxfId="254" priority="1">
      <formula>$E18&lt;&gt;$A18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E243"/>
  <sheetViews>
    <sheetView topLeftCell="A13" zoomScale="80" zoomScaleNormal="80" workbookViewId="0">
      <pane xSplit="10" ySplit="7" topLeftCell="K20" activePane="bottomRight" state="frozen"/>
      <selection activeCell="N11" sqref="N11"/>
      <selection pane="topRight" activeCell="N11" sqref="N11"/>
      <selection pane="bottomLeft" activeCell="N11" sqref="N11"/>
      <selection pane="bottomRight" activeCell="D17" sqref="D17"/>
    </sheetView>
  </sheetViews>
  <sheetFormatPr defaultColWidth="9.42578125" defaultRowHeight="15" customHeight="1"/>
  <cols>
    <col min="1" max="1" width="24.42578125" style="637" customWidth="1"/>
    <col min="2" max="4" width="8.5703125" style="637" customWidth="1"/>
    <col min="5" max="5" width="9.5703125" style="615" customWidth="1"/>
    <col min="6" max="6" width="9.5703125" style="610" customWidth="1"/>
    <col min="7" max="10" width="9.5703125" style="602" customWidth="1"/>
    <col min="11" max="15" width="9.5703125" style="603" customWidth="1"/>
    <col min="16" max="19" width="9.5703125" style="602" customWidth="1"/>
    <col min="20" max="20" width="9.42578125" style="602"/>
    <col min="21" max="21" width="9.5703125" style="638" customWidth="1"/>
    <col min="22" max="22" width="9.5703125" style="602" customWidth="1"/>
    <col min="23" max="16384" width="9.42578125" style="602"/>
  </cols>
  <sheetData>
    <row r="1" spans="1:31" ht="15" customHeight="1" thickTop="1">
      <c r="A1" s="729" t="s">
        <v>676</v>
      </c>
      <c r="B1" s="729"/>
      <c r="C1" s="730" t="s">
        <v>677</v>
      </c>
      <c r="D1" s="905"/>
      <c r="I1" s="652"/>
      <c r="J1" s="652"/>
      <c r="K1" s="731"/>
      <c r="L1" s="906"/>
      <c r="M1" s="732"/>
      <c r="N1" s="732"/>
      <c r="O1" s="732"/>
      <c r="P1" s="732"/>
      <c r="Q1" s="732"/>
      <c r="R1" s="732"/>
      <c r="S1" s="733"/>
      <c r="T1" s="733"/>
      <c r="U1" s="733"/>
      <c r="V1" s="734"/>
      <c r="W1" s="652"/>
      <c r="X1" s="652"/>
      <c r="Y1" s="652"/>
      <c r="Z1" s="652"/>
      <c r="AA1" s="652"/>
      <c r="AB1" s="652"/>
      <c r="AC1" s="652"/>
      <c r="AD1" s="652"/>
      <c r="AE1" s="654"/>
    </row>
    <row r="2" spans="1:31" ht="15" customHeight="1">
      <c r="A2" s="606" t="s">
        <v>678</v>
      </c>
      <c r="B2" s="606"/>
      <c r="C2" s="607" t="str">
        <f>INDEX($A$16:$AA$239,MATCH(C1,$AA$16:$AA$239,0),1)</f>
        <v>XMP 52-10</v>
      </c>
      <c r="D2" s="907"/>
      <c r="I2" s="610"/>
      <c r="J2" s="610"/>
      <c r="K2" s="616"/>
      <c r="L2" s="908"/>
      <c r="M2" s="604"/>
      <c r="N2" s="604"/>
      <c r="O2" s="604"/>
      <c r="P2" s="604"/>
      <c r="Q2" s="604"/>
      <c r="R2" s="604"/>
      <c r="S2" s="605"/>
      <c r="T2" s="605"/>
      <c r="U2" s="605"/>
      <c r="V2" s="647"/>
      <c r="W2" s="610"/>
      <c r="X2" s="610"/>
      <c r="Y2" s="610"/>
      <c r="Z2" s="610"/>
      <c r="AA2" s="610"/>
      <c r="AB2" s="610"/>
      <c r="AC2" s="610"/>
      <c r="AD2" s="610"/>
      <c r="AE2" s="735"/>
    </row>
    <row r="3" spans="1:31" ht="15" customHeight="1">
      <c r="A3" s="608" t="s">
        <v>678</v>
      </c>
      <c r="B3" s="608"/>
      <c r="C3" s="601" t="s">
        <v>679</v>
      </c>
      <c r="D3" s="909"/>
      <c r="I3" s="610"/>
      <c r="J3" s="610"/>
      <c r="K3" s="616"/>
      <c r="L3" s="908"/>
      <c r="M3" s="604"/>
      <c r="N3" s="604"/>
      <c r="O3" s="604"/>
      <c r="P3" s="604"/>
      <c r="Q3" s="604"/>
      <c r="R3" s="604"/>
      <c r="S3" s="605"/>
      <c r="T3" s="605"/>
      <c r="U3" s="605"/>
      <c r="V3" s="647"/>
      <c r="W3" s="610"/>
      <c r="X3" s="610"/>
      <c r="Y3" s="610"/>
      <c r="Z3" s="610"/>
      <c r="AA3" s="610"/>
      <c r="AB3" s="610"/>
      <c r="AC3" s="610"/>
      <c r="AD3" s="610"/>
      <c r="AE3" s="735"/>
    </row>
    <row r="4" spans="1:31" ht="15" customHeight="1">
      <c r="A4" s="606" t="s">
        <v>676</v>
      </c>
      <c r="B4" s="606"/>
      <c r="C4" s="607">
        <f>INDEX($A$16:$AA$239,MATCH(C3,$A$16:$A$239,0),13)</f>
        <v>1.1344640137963142</v>
      </c>
      <c r="D4" s="907"/>
      <c r="I4" s="610"/>
      <c r="J4" s="610"/>
      <c r="K4" s="616"/>
      <c r="L4" s="908"/>
      <c r="M4" s="604"/>
      <c r="N4" s="604"/>
      <c r="O4" s="604"/>
      <c r="P4" s="604"/>
      <c r="Q4" s="604"/>
      <c r="R4" s="604"/>
      <c r="S4" s="605"/>
      <c r="T4" s="605"/>
      <c r="U4" s="605"/>
      <c r="V4" s="647"/>
      <c r="W4" s="610"/>
      <c r="X4" s="610"/>
      <c r="Y4" s="610"/>
      <c r="Z4" s="610"/>
      <c r="AA4" s="610"/>
      <c r="AB4" s="610"/>
      <c r="AC4" s="610"/>
      <c r="AD4" s="610"/>
      <c r="AE4" s="735"/>
    </row>
    <row r="5" spans="1:31" ht="3" customHeight="1">
      <c r="A5" s="614">
        <v>0</v>
      </c>
      <c r="E5" s="609"/>
      <c r="G5" s="610"/>
      <c r="H5" s="610"/>
      <c r="I5" s="610"/>
      <c r="J5" s="610"/>
      <c r="K5" s="616"/>
      <c r="L5" s="910"/>
      <c r="M5" s="616"/>
      <c r="N5" s="616"/>
      <c r="O5" s="616"/>
      <c r="P5" s="616"/>
      <c r="Q5" s="616"/>
      <c r="R5" s="616"/>
      <c r="S5" s="610"/>
      <c r="T5" s="610"/>
      <c r="U5" s="610"/>
      <c r="V5" s="610"/>
      <c r="W5" s="610"/>
      <c r="X5" s="610"/>
      <c r="Y5" s="610"/>
      <c r="Z5" s="610"/>
      <c r="AA5" s="610"/>
      <c r="AB5" s="610"/>
      <c r="AC5" s="610"/>
      <c r="AD5" s="610"/>
      <c r="AE5" s="735"/>
    </row>
    <row r="6" spans="1:31" ht="3" customHeight="1">
      <c r="A6" s="736"/>
      <c r="B6" s="681"/>
      <c r="C6" s="681"/>
      <c r="D6" s="681"/>
      <c r="E6" s="609"/>
      <c r="G6" s="610"/>
      <c r="H6" s="610"/>
      <c r="I6" s="610"/>
      <c r="J6" s="610"/>
      <c r="K6" s="616"/>
      <c r="L6" s="910"/>
      <c r="M6" s="616"/>
      <c r="N6" s="616"/>
      <c r="O6" s="616"/>
      <c r="P6" s="616"/>
      <c r="Q6" s="616"/>
      <c r="R6" s="616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735"/>
    </row>
    <row r="7" spans="1:31" ht="3" customHeight="1">
      <c r="A7" s="614"/>
      <c r="E7" s="609"/>
      <c r="G7" s="610"/>
      <c r="H7" s="610"/>
      <c r="I7" s="610"/>
      <c r="J7" s="610"/>
      <c r="K7" s="616"/>
      <c r="L7" s="910"/>
      <c r="M7" s="616"/>
      <c r="N7" s="616"/>
      <c r="O7" s="616"/>
      <c r="P7" s="616"/>
      <c r="Q7" s="616"/>
      <c r="R7" s="616"/>
      <c r="S7" s="610"/>
      <c r="T7" s="610"/>
      <c r="U7" s="610"/>
      <c r="V7" s="610"/>
      <c r="W7" s="610"/>
      <c r="X7" s="610"/>
      <c r="Y7" s="610"/>
      <c r="Z7" s="610"/>
      <c r="AA7" s="610"/>
      <c r="AB7" s="610"/>
      <c r="AC7" s="610"/>
      <c r="AD7" s="610"/>
      <c r="AE7" s="735"/>
    </row>
    <row r="8" spans="1:31" ht="3" customHeight="1">
      <c r="A8" s="614"/>
      <c r="E8" s="609"/>
      <c r="G8" s="610"/>
      <c r="H8" s="610"/>
      <c r="I8" s="610"/>
      <c r="J8" s="610"/>
      <c r="K8" s="616"/>
      <c r="L8" s="910"/>
      <c r="M8" s="616"/>
      <c r="N8" s="616"/>
      <c r="O8" s="616"/>
      <c r="P8" s="616"/>
      <c r="Q8" s="616"/>
      <c r="R8" s="616"/>
      <c r="S8" s="610"/>
      <c r="T8" s="610"/>
      <c r="U8" s="610"/>
      <c r="V8" s="610"/>
      <c r="W8" s="610"/>
      <c r="X8" s="610"/>
      <c r="Y8" s="610"/>
      <c r="Z8" s="610"/>
      <c r="AA8" s="610"/>
      <c r="AB8" s="610"/>
      <c r="AC8" s="610"/>
      <c r="AD8" s="610"/>
      <c r="AE8" s="735"/>
    </row>
    <row r="9" spans="1:31" ht="3" customHeight="1">
      <c r="A9" s="614"/>
      <c r="E9" s="609"/>
      <c r="G9" s="610"/>
      <c r="H9" s="610"/>
      <c r="I9" s="610"/>
      <c r="J9" s="610"/>
      <c r="K9" s="616"/>
      <c r="L9" s="910"/>
      <c r="M9" s="616"/>
      <c r="N9" s="616"/>
      <c r="O9" s="616"/>
      <c r="P9" s="616"/>
      <c r="Q9" s="616"/>
      <c r="R9" s="616"/>
      <c r="S9" s="610"/>
      <c r="T9" s="610"/>
      <c r="U9" s="610"/>
      <c r="V9" s="610"/>
      <c r="W9" s="610"/>
      <c r="X9" s="610"/>
      <c r="Y9" s="610"/>
      <c r="Z9" s="610"/>
      <c r="AA9" s="610"/>
      <c r="AB9" s="610"/>
      <c r="AC9" s="610"/>
      <c r="AD9" s="610"/>
      <c r="AE9" s="735"/>
    </row>
    <row r="10" spans="1:31" ht="3" customHeight="1">
      <c r="A10" s="614"/>
      <c r="E10" s="609"/>
      <c r="G10" s="610"/>
      <c r="H10" s="610"/>
      <c r="I10" s="610"/>
      <c r="J10" s="610"/>
      <c r="K10" s="616"/>
      <c r="L10" s="910"/>
      <c r="M10" s="616"/>
      <c r="N10" s="616"/>
      <c r="O10" s="616"/>
      <c r="P10" s="616"/>
      <c r="Q10" s="616"/>
      <c r="R10" s="616"/>
      <c r="S10" s="610"/>
      <c r="T10" s="610"/>
      <c r="U10" s="610"/>
      <c r="V10" s="610"/>
      <c r="W10" s="610"/>
      <c r="X10" s="610"/>
      <c r="Y10" s="610"/>
      <c r="Z10" s="610"/>
      <c r="AA10" s="610"/>
      <c r="AB10" s="610"/>
      <c r="AC10" s="610"/>
      <c r="AD10" s="610"/>
      <c r="AE10" s="735"/>
    </row>
    <row r="11" spans="1:31" ht="3" customHeight="1">
      <c r="A11" s="737"/>
      <c r="B11" s="679"/>
      <c r="C11" s="679"/>
      <c r="D11" s="679"/>
      <c r="E11" s="609"/>
      <c r="G11" s="610"/>
      <c r="H11" s="610"/>
      <c r="I11" s="610"/>
      <c r="J11" s="610"/>
      <c r="K11" s="616"/>
      <c r="L11" s="910"/>
      <c r="M11" s="616"/>
      <c r="N11" s="616"/>
      <c r="O11" s="616"/>
      <c r="P11" s="616"/>
      <c r="Q11" s="616"/>
      <c r="R11" s="616"/>
      <c r="S11" s="610"/>
      <c r="T11" s="610"/>
      <c r="U11" s="610"/>
      <c r="V11" s="610"/>
      <c r="W11" s="610"/>
      <c r="X11" s="610"/>
      <c r="Y11" s="610"/>
      <c r="Z11" s="610"/>
      <c r="AA11" s="610"/>
      <c r="AB11" s="610"/>
      <c r="AC11" s="610"/>
      <c r="AD11" s="610"/>
      <c r="AE11" s="735"/>
    </row>
    <row r="12" spans="1:31" ht="15" customHeight="1" thickBot="1">
      <c r="A12" s="614"/>
      <c r="E12" s="609"/>
      <c r="G12" s="610"/>
      <c r="H12" s="610"/>
      <c r="I12" s="610"/>
      <c r="J12" s="610"/>
      <c r="K12" s="616"/>
      <c r="L12" s="910"/>
      <c r="M12" s="616"/>
      <c r="N12" s="616"/>
      <c r="O12" s="616"/>
      <c r="P12" s="616"/>
      <c r="Q12" s="616"/>
      <c r="R12" s="616"/>
      <c r="S12" s="610"/>
      <c r="T12" s="610"/>
      <c r="U12" s="610"/>
      <c r="V12" s="610"/>
      <c r="W12" s="610"/>
      <c r="X12" s="610"/>
      <c r="Y12" s="610"/>
      <c r="Z12" s="610"/>
      <c r="AA12" s="610"/>
      <c r="AB12" s="610"/>
      <c r="AC12" s="610"/>
      <c r="AD12" s="610"/>
      <c r="AE12" s="735"/>
    </row>
    <row r="13" spans="1:31" ht="15" customHeight="1" thickTop="1" thickBot="1">
      <c r="A13" s="611">
        <v>1</v>
      </c>
      <c r="B13" s="613">
        <f>A13+1</f>
        <v>2</v>
      </c>
      <c r="C13" s="613">
        <f t="shared" ref="C13:AE13" si="0">B13+1</f>
        <v>3</v>
      </c>
      <c r="D13" s="613">
        <f t="shared" si="0"/>
        <v>4</v>
      </c>
      <c r="E13" s="612">
        <f t="shared" si="0"/>
        <v>5</v>
      </c>
      <c r="F13" s="613">
        <f t="shared" si="0"/>
        <v>6</v>
      </c>
      <c r="G13" s="613">
        <f t="shared" si="0"/>
        <v>7</v>
      </c>
      <c r="H13" s="613">
        <f t="shared" si="0"/>
        <v>8</v>
      </c>
      <c r="I13" s="613">
        <f t="shared" si="0"/>
        <v>9</v>
      </c>
      <c r="J13" s="613">
        <f t="shared" si="0"/>
        <v>10</v>
      </c>
      <c r="K13" s="613">
        <f t="shared" si="0"/>
        <v>11</v>
      </c>
      <c r="L13" s="613">
        <f t="shared" si="0"/>
        <v>12</v>
      </c>
      <c r="M13" s="613">
        <f t="shared" si="0"/>
        <v>13</v>
      </c>
      <c r="N13" s="613">
        <f t="shared" si="0"/>
        <v>14</v>
      </c>
      <c r="O13" s="613">
        <f t="shared" si="0"/>
        <v>15</v>
      </c>
      <c r="P13" s="613">
        <f t="shared" si="0"/>
        <v>16</v>
      </c>
      <c r="Q13" s="613">
        <f t="shared" si="0"/>
        <v>17</v>
      </c>
      <c r="R13" s="613">
        <f t="shared" si="0"/>
        <v>18</v>
      </c>
      <c r="S13" s="613">
        <f t="shared" si="0"/>
        <v>19</v>
      </c>
      <c r="T13" s="613">
        <f t="shared" si="0"/>
        <v>20</v>
      </c>
      <c r="U13" s="613">
        <f t="shared" si="0"/>
        <v>21</v>
      </c>
      <c r="V13" s="613">
        <f t="shared" si="0"/>
        <v>22</v>
      </c>
      <c r="W13" s="613">
        <f t="shared" si="0"/>
        <v>23</v>
      </c>
      <c r="X13" s="613">
        <f t="shared" si="0"/>
        <v>24</v>
      </c>
      <c r="Y13" s="613">
        <f t="shared" si="0"/>
        <v>25</v>
      </c>
      <c r="Z13" s="613">
        <f t="shared" si="0"/>
        <v>26</v>
      </c>
      <c r="AA13" s="613">
        <f t="shared" si="0"/>
        <v>27</v>
      </c>
      <c r="AB13" s="613">
        <f t="shared" si="0"/>
        <v>28</v>
      </c>
      <c r="AC13" s="613">
        <f t="shared" si="0"/>
        <v>29</v>
      </c>
      <c r="AD13" s="613">
        <f t="shared" si="0"/>
        <v>30</v>
      </c>
      <c r="AE13" s="738">
        <f t="shared" si="0"/>
        <v>31</v>
      </c>
    </row>
    <row r="14" spans="1:31" s="652" customFormat="1" ht="15" customHeight="1" thickTop="1">
      <c r="A14" s="611"/>
      <c r="B14" s="613"/>
      <c r="C14" s="613"/>
      <c r="D14" s="911"/>
      <c r="E14" s="613"/>
      <c r="K14" s="731"/>
      <c r="L14" s="912"/>
      <c r="M14" s="731"/>
      <c r="N14" s="731"/>
      <c r="O14" s="731"/>
      <c r="P14" s="731"/>
      <c r="Q14" s="731"/>
      <c r="R14" s="731"/>
    </row>
    <row r="15" spans="1:31" s="634" customFormat="1" ht="15" customHeight="1">
      <c r="A15" s="913"/>
      <c r="B15" s="1467" t="s">
        <v>783</v>
      </c>
      <c r="C15" s="1467"/>
      <c r="D15" s="1469"/>
      <c r="E15" s="617"/>
      <c r="F15" s="618"/>
      <c r="G15" s="618"/>
      <c r="H15" s="618"/>
      <c r="I15" s="618"/>
      <c r="J15" s="618"/>
      <c r="K15" s="619"/>
      <c r="L15" s="914"/>
      <c r="M15" s="619"/>
      <c r="N15" s="619"/>
      <c r="O15" s="619"/>
      <c r="P15" s="619"/>
      <c r="Q15" s="619"/>
      <c r="R15" s="619"/>
      <c r="S15" s="618"/>
      <c r="T15" s="618"/>
      <c r="U15" s="618"/>
      <c r="V15" s="562"/>
      <c r="W15" s="562"/>
      <c r="X15" s="562"/>
      <c r="Y15" s="562"/>
      <c r="Z15" s="562"/>
      <c r="AA15" s="562"/>
      <c r="AB15" s="562"/>
      <c r="AC15" s="562"/>
      <c r="AD15" s="562"/>
      <c r="AE15" s="739"/>
    </row>
    <row r="16" spans="1:31" s="621" customFormat="1" ht="60" customHeight="1">
      <c r="A16" s="822" t="s">
        <v>1656</v>
      </c>
      <c r="B16" s="1234" t="s">
        <v>1657</v>
      </c>
      <c r="C16" s="1234" t="s">
        <v>1664</v>
      </c>
      <c r="D16" s="1234" t="s">
        <v>1665</v>
      </c>
      <c r="E16" s="581" t="s">
        <v>988</v>
      </c>
      <c r="F16" s="579" t="s">
        <v>680</v>
      </c>
      <c r="G16" s="579" t="s">
        <v>681</v>
      </c>
      <c r="H16" s="579" t="s">
        <v>682</v>
      </c>
      <c r="I16" s="579" t="s">
        <v>1642</v>
      </c>
      <c r="J16" s="579" t="s">
        <v>1643</v>
      </c>
      <c r="K16" s="620" t="s">
        <v>683</v>
      </c>
      <c r="L16" s="815" t="s">
        <v>684</v>
      </c>
      <c r="M16" s="620" t="s">
        <v>685</v>
      </c>
      <c r="N16" s="620" t="s">
        <v>686</v>
      </c>
      <c r="O16" s="620" t="s">
        <v>687</v>
      </c>
      <c r="P16" s="620" t="s">
        <v>1169</v>
      </c>
      <c r="Q16" s="620" t="s">
        <v>1170</v>
      </c>
      <c r="R16" s="620" t="s">
        <v>1171</v>
      </c>
      <c r="T16" s="579" t="s">
        <v>1582</v>
      </c>
      <c r="U16" s="579"/>
      <c r="V16" s="579"/>
      <c r="W16" s="579"/>
      <c r="X16" s="579" t="s">
        <v>688</v>
      </c>
      <c r="Y16" s="579"/>
      <c r="Z16" s="579"/>
      <c r="AA16" s="579"/>
      <c r="AB16" s="579" t="s">
        <v>689</v>
      </c>
      <c r="AC16" s="579"/>
    </row>
    <row r="17" spans="1:29" ht="15" customHeight="1" thickBot="1">
      <c r="A17" s="823" t="s">
        <v>794</v>
      </c>
      <c r="B17" s="582">
        <v>0</v>
      </c>
      <c r="C17" s="582">
        <v>0</v>
      </c>
      <c r="D17" s="582">
        <v>0</v>
      </c>
      <c r="E17" s="622">
        <v>0</v>
      </c>
      <c r="F17" s="583">
        <v>0</v>
      </c>
      <c r="G17" s="583">
        <v>0</v>
      </c>
      <c r="H17" s="623">
        <v>0</v>
      </c>
      <c r="I17" s="583">
        <v>0</v>
      </c>
      <c r="J17" s="583">
        <v>0</v>
      </c>
      <c r="K17" s="624">
        <v>0</v>
      </c>
      <c r="L17" s="816">
        <v>0</v>
      </c>
      <c r="M17" s="625">
        <v>0</v>
      </c>
      <c r="N17" s="625">
        <v>0</v>
      </c>
      <c r="O17" s="625">
        <v>0</v>
      </c>
      <c r="P17" s="789">
        <v>0</v>
      </c>
      <c r="Q17" s="789">
        <v>0</v>
      </c>
      <c r="R17" s="789">
        <v>0</v>
      </c>
      <c r="S17" s="582"/>
      <c r="T17" s="626" t="s">
        <v>794</v>
      </c>
      <c r="U17" s="626"/>
      <c r="V17" s="562"/>
      <c r="W17" s="740"/>
      <c r="X17" s="562"/>
      <c r="Y17" s="739"/>
      <c r="Z17" s="1226"/>
      <c r="AA17" s="1227"/>
      <c r="AB17" s="562"/>
      <c r="AC17" s="562"/>
    </row>
    <row r="18" spans="1:29" ht="15" customHeight="1">
      <c r="A18" s="663" t="s">
        <v>795</v>
      </c>
      <c r="B18" s="682">
        <v>5716.4917265124695</v>
      </c>
      <c r="C18" s="682">
        <v>12307.425189294698</v>
      </c>
      <c r="D18" s="682">
        <v>12190.110900955649</v>
      </c>
      <c r="E18" s="628">
        <v>350</v>
      </c>
      <c r="F18" s="561">
        <v>3</v>
      </c>
      <c r="G18" s="629">
        <v>988.53820400249606</v>
      </c>
      <c r="H18" s="623">
        <v>256</v>
      </c>
      <c r="I18" s="629">
        <v>250</v>
      </c>
      <c r="J18" s="629">
        <v>400</v>
      </c>
      <c r="K18" s="630">
        <v>0.33184749864725288</v>
      </c>
      <c r="L18" s="817">
        <v>8.1517213899375732E-2</v>
      </c>
      <c r="M18" s="631">
        <v>1.1344640137963142</v>
      </c>
      <c r="N18" s="631">
        <v>6.2831853071795862</v>
      </c>
      <c r="O18" s="631">
        <v>0.37717997549930693</v>
      </c>
      <c r="P18" s="635">
        <v>0.8644489806012825</v>
      </c>
      <c r="Q18" s="635">
        <v>0.5568330472736146</v>
      </c>
      <c r="R18" s="635">
        <v>0.43170515672888143</v>
      </c>
      <c r="S18" s="682"/>
      <c r="T18" s="632" t="s">
        <v>795</v>
      </c>
      <c r="U18" s="632"/>
      <c r="V18" s="610"/>
      <c r="W18" s="742" t="s">
        <v>690</v>
      </c>
      <c r="X18" s="610" t="s">
        <v>1107</v>
      </c>
      <c r="Y18" s="735" t="s">
        <v>1013</v>
      </c>
      <c r="Z18" s="741" t="s">
        <v>395</v>
      </c>
      <c r="AA18" s="633" t="s">
        <v>571</v>
      </c>
      <c r="AB18" s="610">
        <v>1</v>
      </c>
      <c r="AC18" s="610"/>
    </row>
    <row r="19" spans="1:29" ht="15" customHeight="1">
      <c r="A19" s="663" t="s">
        <v>796</v>
      </c>
      <c r="B19" s="682">
        <v>7393.3684337215591</v>
      </c>
      <c r="C19" s="682">
        <v>15443.969444604172</v>
      </c>
      <c r="D19" s="682">
        <v>15299.087389239154</v>
      </c>
      <c r="E19" s="628">
        <v>350</v>
      </c>
      <c r="F19" s="561">
        <v>4</v>
      </c>
      <c r="G19" s="629">
        <v>1195.3381564574906</v>
      </c>
      <c r="H19" s="623">
        <v>208</v>
      </c>
      <c r="I19" s="629">
        <v>200</v>
      </c>
      <c r="J19" s="629">
        <v>475</v>
      </c>
      <c r="K19" s="630">
        <v>0.41127947429413503</v>
      </c>
      <c r="L19" s="817">
        <v>7.6367086939491985E-2</v>
      </c>
      <c r="M19" s="631">
        <v>1.1344640137963142</v>
      </c>
      <c r="N19" s="631">
        <v>6.2831853071795862</v>
      </c>
      <c r="O19" s="631">
        <v>0.46369643776952457</v>
      </c>
      <c r="P19" s="635">
        <v>1.0531196123614011</v>
      </c>
      <c r="Q19" s="635">
        <v>0.66854429039070373</v>
      </c>
      <c r="R19" s="635">
        <v>0.5267938660667868</v>
      </c>
      <c r="S19" s="682"/>
      <c r="T19" s="632" t="s">
        <v>796</v>
      </c>
      <c r="U19" s="632"/>
      <c r="V19" s="610"/>
      <c r="W19" s="743" t="s">
        <v>690</v>
      </c>
      <c r="X19" s="610" t="s">
        <v>1108</v>
      </c>
      <c r="Y19" s="735" t="s">
        <v>1014</v>
      </c>
      <c r="Z19" s="741" t="s">
        <v>396</v>
      </c>
      <c r="AA19" s="633" t="s">
        <v>572</v>
      </c>
      <c r="AB19" s="610">
        <v>2</v>
      </c>
      <c r="AC19" s="610"/>
    </row>
    <row r="20" spans="1:29" ht="15" customHeight="1">
      <c r="A20" s="663" t="s">
        <v>797</v>
      </c>
      <c r="B20" s="682">
        <v>8094.981559787625</v>
      </c>
      <c r="C20" s="682">
        <v>16222.789912273</v>
      </c>
      <c r="D20" s="682">
        <v>16078.807856907981</v>
      </c>
      <c r="E20" s="628">
        <v>400</v>
      </c>
      <c r="F20" s="561">
        <v>4</v>
      </c>
      <c r="G20" s="629">
        <v>1195.3381564574906</v>
      </c>
      <c r="H20" s="623">
        <v>283</v>
      </c>
      <c r="I20" s="629">
        <v>275</v>
      </c>
      <c r="J20" s="629">
        <v>475</v>
      </c>
      <c r="K20" s="630">
        <v>0.41127947429413503</v>
      </c>
      <c r="L20" s="817">
        <v>7.6367086939491971E-2</v>
      </c>
      <c r="M20" s="631">
        <v>1.1344640137963142</v>
      </c>
      <c r="N20" s="631">
        <v>6.2831853071795862</v>
      </c>
      <c r="O20" s="631">
        <v>0.46369643776952457</v>
      </c>
      <c r="P20" s="635">
        <v>1.0531196123614011</v>
      </c>
      <c r="Q20" s="635">
        <v>0.66854429039070373</v>
      </c>
      <c r="R20" s="635">
        <v>0.5267938660667868</v>
      </c>
      <c r="S20" s="682"/>
      <c r="T20" s="632" t="s">
        <v>797</v>
      </c>
      <c r="U20" s="632"/>
      <c r="V20" s="610"/>
      <c r="W20" s="743" t="s">
        <v>690</v>
      </c>
      <c r="X20" s="610" t="s">
        <v>1109</v>
      </c>
      <c r="Y20" s="735" t="s">
        <v>1015</v>
      </c>
      <c r="Z20" s="741" t="s">
        <v>397</v>
      </c>
      <c r="AA20" s="633" t="s">
        <v>573</v>
      </c>
      <c r="AB20" s="610">
        <v>3</v>
      </c>
      <c r="AC20" s="610"/>
    </row>
    <row r="21" spans="1:29" ht="15" customHeight="1">
      <c r="A21" s="663" t="s">
        <v>798</v>
      </c>
      <c r="B21" s="682">
        <v>9646.1826725736773</v>
      </c>
      <c r="C21" s="682">
        <v>17966.629021043467</v>
      </c>
      <c r="D21" s="682">
        <v>17823.546965678452</v>
      </c>
      <c r="E21" s="628">
        <v>600</v>
      </c>
      <c r="F21" s="561">
        <v>4</v>
      </c>
      <c r="G21" s="629">
        <v>1192.9329249647249</v>
      </c>
      <c r="H21" s="623">
        <v>533</v>
      </c>
      <c r="I21" s="629">
        <v>525</v>
      </c>
      <c r="J21" s="629">
        <v>550</v>
      </c>
      <c r="K21" s="630">
        <v>0.40416746489219074</v>
      </c>
      <c r="L21" s="817">
        <v>7.9510783612782049E-2</v>
      </c>
      <c r="M21" s="631">
        <v>1.3089969389957472</v>
      </c>
      <c r="N21" s="631">
        <v>6.2831853071795862</v>
      </c>
      <c r="O21" s="631">
        <v>0.45793376510075923</v>
      </c>
      <c r="P21" s="635">
        <v>1.0458091821311899</v>
      </c>
      <c r="Q21" s="635">
        <v>0.67008034172848041</v>
      </c>
      <c r="R21" s="635">
        <v>0.52285258323624451</v>
      </c>
      <c r="S21" s="682"/>
      <c r="T21" s="632" t="s">
        <v>798</v>
      </c>
      <c r="U21" s="632"/>
      <c r="V21" s="610"/>
      <c r="W21" s="743" t="s">
        <v>690</v>
      </c>
      <c r="X21" s="610" t="s">
        <v>1110</v>
      </c>
      <c r="Y21" s="735" t="s">
        <v>1016</v>
      </c>
      <c r="Z21" s="741" t="s">
        <v>398</v>
      </c>
      <c r="AA21" s="633" t="s">
        <v>574</v>
      </c>
      <c r="AB21" s="610">
        <v>4</v>
      </c>
      <c r="AC21" s="610"/>
    </row>
    <row r="22" spans="1:29" ht="15" customHeight="1">
      <c r="A22" s="663" t="s">
        <v>799</v>
      </c>
      <c r="B22" s="682">
        <v>9719.1803535235904</v>
      </c>
      <c r="C22" s="682">
        <v>18104.321218101031</v>
      </c>
      <c r="D22" s="682">
        <v>17962.039162736019</v>
      </c>
      <c r="E22" s="628">
        <v>600</v>
      </c>
      <c r="F22" s="561">
        <v>4</v>
      </c>
      <c r="G22" s="629">
        <v>1192.9329249647249</v>
      </c>
      <c r="H22" s="623">
        <v>533</v>
      </c>
      <c r="I22" s="629">
        <v>525</v>
      </c>
      <c r="J22" s="629">
        <v>550</v>
      </c>
      <c r="K22" s="630">
        <v>0.40416746489219074</v>
      </c>
      <c r="L22" s="817">
        <v>7.9510783612782049E-2</v>
      </c>
      <c r="M22" s="631">
        <v>1.3089969389957472</v>
      </c>
      <c r="N22" s="631">
        <v>6.2831853071795862</v>
      </c>
      <c r="O22" s="631">
        <v>0.45793376510075923</v>
      </c>
      <c r="P22" s="635">
        <v>1.0458091821311899</v>
      </c>
      <c r="Q22" s="635">
        <v>0.67008034172848041</v>
      </c>
      <c r="R22" s="635">
        <v>0.52285258323624451</v>
      </c>
      <c r="S22" s="682"/>
      <c r="T22" s="632" t="s">
        <v>799</v>
      </c>
      <c r="U22" s="632"/>
      <c r="V22" s="610"/>
      <c r="W22" s="743" t="s">
        <v>690</v>
      </c>
      <c r="X22" s="610" t="s">
        <v>1110</v>
      </c>
      <c r="Y22" s="735" t="s">
        <v>1016</v>
      </c>
      <c r="Z22" s="741" t="s">
        <v>399</v>
      </c>
      <c r="AA22" s="633" t="s">
        <v>575</v>
      </c>
      <c r="AB22" s="610">
        <v>5</v>
      </c>
      <c r="AC22" s="610"/>
    </row>
    <row r="23" spans="1:29" ht="15" customHeight="1">
      <c r="A23" s="663" t="s">
        <v>800</v>
      </c>
      <c r="B23" s="682">
        <v>9417.7714155817794</v>
      </c>
      <c r="C23" s="682">
        <v>16573.922130615611</v>
      </c>
      <c r="D23" s="682">
        <v>16282.170232036484</v>
      </c>
      <c r="E23" s="628">
        <v>450</v>
      </c>
      <c r="F23" s="561">
        <v>3</v>
      </c>
      <c r="G23" s="629">
        <v>1381.6770177288224</v>
      </c>
      <c r="H23" s="623">
        <v>306</v>
      </c>
      <c r="I23" s="629">
        <v>300</v>
      </c>
      <c r="J23" s="629">
        <v>550</v>
      </c>
      <c r="K23" s="630">
        <v>0.47694463960862138</v>
      </c>
      <c r="L23" s="817">
        <v>7.618433541496783E-2</v>
      </c>
      <c r="M23" s="631">
        <v>1.1344640137963142</v>
      </c>
      <c r="N23" s="631">
        <v>6.2831853071795862</v>
      </c>
      <c r="O23" s="631">
        <v>0.58910006157382244</v>
      </c>
      <c r="P23" s="635">
        <v>1.2720425470280285</v>
      </c>
      <c r="Q23" s="635">
        <v>0.77276149610516376</v>
      </c>
      <c r="R23" s="635">
        <v>0.6089155216236587</v>
      </c>
      <c r="S23" s="682"/>
      <c r="T23" s="632" t="s">
        <v>800</v>
      </c>
      <c r="U23" s="632"/>
      <c r="V23" s="610"/>
      <c r="W23" s="743" t="s">
        <v>690</v>
      </c>
      <c r="X23" s="610" t="s">
        <v>800</v>
      </c>
      <c r="Y23" s="735" t="s">
        <v>1017</v>
      </c>
      <c r="Z23" s="741" t="s">
        <v>400</v>
      </c>
      <c r="AA23" s="633" t="s">
        <v>576</v>
      </c>
      <c r="AB23" s="610">
        <v>6</v>
      </c>
      <c r="AC23" s="610"/>
    </row>
    <row r="24" spans="1:29" ht="15" customHeight="1">
      <c r="A24" s="663" t="s">
        <v>801</v>
      </c>
      <c r="B24" s="682">
        <v>9452.6371280235344</v>
      </c>
      <c r="C24" s="682">
        <v>18797.720727145261</v>
      </c>
      <c r="D24" s="682">
        <v>18632.37601866902</v>
      </c>
      <c r="E24" s="628">
        <v>450</v>
      </c>
      <c r="F24" s="561">
        <v>3</v>
      </c>
      <c r="G24" s="629">
        <v>1394.7334795699871</v>
      </c>
      <c r="H24" s="623">
        <v>281</v>
      </c>
      <c r="I24" s="629">
        <v>275</v>
      </c>
      <c r="J24" s="629">
        <v>560</v>
      </c>
      <c r="K24" s="630">
        <v>0.47559013685264867</v>
      </c>
      <c r="L24" s="817">
        <v>7.8691244687535147E-2</v>
      </c>
      <c r="M24" s="631">
        <v>1.1344640137963142</v>
      </c>
      <c r="N24" s="631">
        <v>6.2831853071795862</v>
      </c>
      <c r="O24" s="631">
        <v>0.53816453706600187</v>
      </c>
      <c r="P24" s="635">
        <v>1.2272602524152265</v>
      </c>
      <c r="Q24" s="635">
        <v>0.78276149610516388</v>
      </c>
      <c r="R24" s="635">
        <v>0.61197198346482318</v>
      </c>
      <c r="S24" s="682"/>
      <c r="T24" s="632" t="s">
        <v>801</v>
      </c>
      <c r="U24" s="632"/>
      <c r="V24" s="610"/>
      <c r="W24" s="743" t="s">
        <v>690</v>
      </c>
      <c r="X24" s="610" t="s">
        <v>1111</v>
      </c>
      <c r="Y24" s="735" t="s">
        <v>1017</v>
      </c>
      <c r="Z24" s="741" t="s">
        <v>401</v>
      </c>
      <c r="AA24" s="633" t="s">
        <v>577</v>
      </c>
      <c r="AB24" s="610">
        <v>7</v>
      </c>
      <c r="AC24" s="610"/>
    </row>
    <row r="25" spans="1:29" ht="15" customHeight="1">
      <c r="A25" s="663" t="s">
        <v>802</v>
      </c>
      <c r="B25" s="682">
        <v>9842.7314195558065</v>
      </c>
      <c r="C25" s="682">
        <v>19233.873680970082</v>
      </c>
      <c r="D25" s="682">
        <v>19068.261964899524</v>
      </c>
      <c r="E25" s="628">
        <v>500</v>
      </c>
      <c r="F25" s="561">
        <v>3</v>
      </c>
      <c r="G25" s="629">
        <v>1394.7334795699871</v>
      </c>
      <c r="H25" s="623">
        <v>356</v>
      </c>
      <c r="I25" s="629">
        <v>350</v>
      </c>
      <c r="J25" s="629">
        <v>560</v>
      </c>
      <c r="K25" s="630">
        <v>0.47559013685264867</v>
      </c>
      <c r="L25" s="817">
        <v>7.8691244687535133E-2</v>
      </c>
      <c r="M25" s="631">
        <v>1.1344640137963142</v>
      </c>
      <c r="N25" s="631">
        <v>6.2831853071795862</v>
      </c>
      <c r="O25" s="631">
        <v>0.53816453706600187</v>
      </c>
      <c r="P25" s="635">
        <v>1.2272602524152265</v>
      </c>
      <c r="Q25" s="635">
        <v>0.78276149610516377</v>
      </c>
      <c r="R25" s="635">
        <v>0.61197198346482329</v>
      </c>
      <c r="S25" s="682"/>
      <c r="T25" s="632" t="s">
        <v>802</v>
      </c>
      <c r="U25" s="632"/>
      <c r="V25" s="610"/>
      <c r="W25" s="743" t="s">
        <v>690</v>
      </c>
      <c r="X25" s="610" t="s">
        <v>1112</v>
      </c>
      <c r="Y25" s="735" t="s">
        <v>1018</v>
      </c>
      <c r="Z25" s="741" t="s">
        <v>402</v>
      </c>
      <c r="AA25" s="633" t="s">
        <v>578</v>
      </c>
      <c r="AB25" s="610">
        <v>8</v>
      </c>
      <c r="AC25" s="610"/>
    </row>
    <row r="26" spans="1:29" ht="15" customHeight="1">
      <c r="A26" s="663" t="s">
        <v>803</v>
      </c>
      <c r="B26" s="682">
        <v>10524.506865786119</v>
      </c>
      <c r="C26" s="682">
        <v>19990.749157251284</v>
      </c>
      <c r="D26" s="682">
        <v>19826.437441180729</v>
      </c>
      <c r="E26" s="628">
        <v>550</v>
      </c>
      <c r="F26" s="561">
        <v>3</v>
      </c>
      <c r="G26" s="629">
        <v>1394.7334795699871</v>
      </c>
      <c r="H26" s="623">
        <v>431</v>
      </c>
      <c r="I26" s="629">
        <v>425</v>
      </c>
      <c r="J26" s="629">
        <v>560</v>
      </c>
      <c r="K26" s="630">
        <v>0.47559013685264867</v>
      </c>
      <c r="L26" s="817">
        <v>7.8691244687535133E-2</v>
      </c>
      <c r="M26" s="631">
        <v>1.1344640137963142</v>
      </c>
      <c r="N26" s="631">
        <v>6.2831853071795862</v>
      </c>
      <c r="O26" s="631">
        <v>0.53816453706600187</v>
      </c>
      <c r="P26" s="635">
        <v>1.2272602524152265</v>
      </c>
      <c r="Q26" s="635">
        <v>0.78276149610516377</v>
      </c>
      <c r="R26" s="635">
        <v>0.61197198346482329</v>
      </c>
      <c r="S26" s="682"/>
      <c r="T26" s="632" t="s">
        <v>803</v>
      </c>
      <c r="U26" s="632"/>
      <c r="V26" s="610"/>
      <c r="W26" s="743" t="s">
        <v>690</v>
      </c>
      <c r="X26" s="610" t="s">
        <v>1113</v>
      </c>
      <c r="Y26" s="735" t="s">
        <v>1019</v>
      </c>
      <c r="Z26" s="741" t="s">
        <v>403</v>
      </c>
      <c r="AA26" s="633" t="s">
        <v>579</v>
      </c>
      <c r="AB26" s="610">
        <v>9</v>
      </c>
      <c r="AC26" s="610"/>
    </row>
    <row r="27" spans="1:29" ht="15" customHeight="1">
      <c r="A27" s="663" t="s">
        <v>804</v>
      </c>
      <c r="B27" s="682">
        <v>11443.886023648014</v>
      </c>
      <c r="C27" s="682">
        <v>20980.824550225865</v>
      </c>
      <c r="D27" s="682">
        <v>20816.145826560991</v>
      </c>
      <c r="E27" s="628">
        <v>650</v>
      </c>
      <c r="F27" s="561">
        <v>3</v>
      </c>
      <c r="G27" s="629">
        <v>1378.0699319510109</v>
      </c>
      <c r="H27" s="623">
        <v>556</v>
      </c>
      <c r="I27" s="629">
        <v>550</v>
      </c>
      <c r="J27" s="629">
        <v>600</v>
      </c>
      <c r="K27" s="630">
        <v>0.47229850681775887</v>
      </c>
      <c r="L27" s="817">
        <v>7.7645946149561842E-2</v>
      </c>
      <c r="M27" s="631">
        <v>1.2391837689159739</v>
      </c>
      <c r="N27" s="631">
        <v>6.2831853071795862</v>
      </c>
      <c r="O27" s="631">
        <v>0.53356301628414626</v>
      </c>
      <c r="P27" s="635">
        <v>1.2145267950222829</v>
      </c>
      <c r="Q27" s="635">
        <v>0.77229544031772146</v>
      </c>
      <c r="R27" s="635">
        <v>0.60577449163328934</v>
      </c>
      <c r="S27" s="682"/>
      <c r="T27" s="632" t="s">
        <v>804</v>
      </c>
      <c r="U27" s="632"/>
      <c r="V27" s="610"/>
      <c r="W27" s="743" t="s">
        <v>690</v>
      </c>
      <c r="X27" s="610" t="s">
        <v>1114</v>
      </c>
      <c r="Y27" s="735" t="s">
        <v>1020</v>
      </c>
      <c r="Z27" s="741" t="s">
        <v>404</v>
      </c>
      <c r="AA27" s="633" t="s">
        <v>580</v>
      </c>
      <c r="AB27" s="610">
        <v>10</v>
      </c>
      <c r="AC27" s="610"/>
    </row>
    <row r="28" spans="1:29" ht="15" customHeight="1">
      <c r="A28" s="663" t="s">
        <v>805</v>
      </c>
      <c r="B28" s="682">
        <v>13040.542797905789</v>
      </c>
      <c r="C28" s="682">
        <v>23869.250210743849</v>
      </c>
      <c r="D28" s="682">
        <v>23686.511902316604</v>
      </c>
      <c r="E28" s="628">
        <v>550</v>
      </c>
      <c r="F28" s="561">
        <v>4</v>
      </c>
      <c r="G28" s="629">
        <v>1583.3591082925511</v>
      </c>
      <c r="H28" s="623">
        <v>383</v>
      </c>
      <c r="I28" s="629">
        <v>375</v>
      </c>
      <c r="J28" s="629">
        <v>640</v>
      </c>
      <c r="K28" s="630">
        <v>0.53370428748968568</v>
      </c>
      <c r="L28" s="817">
        <v>8.08927645902279E-2</v>
      </c>
      <c r="M28" s="631">
        <v>1.1344640137963142</v>
      </c>
      <c r="N28" s="631">
        <v>6.2831853071795862</v>
      </c>
      <c r="O28" s="631">
        <v>0.60601696111142855</v>
      </c>
      <c r="P28" s="635">
        <v>1.3873801632378218</v>
      </c>
      <c r="Q28" s="635">
        <v>0.89123168311830936</v>
      </c>
      <c r="R28" s="635">
        <v>0.69212742517424175</v>
      </c>
      <c r="S28" s="682"/>
      <c r="T28" s="632" t="s">
        <v>805</v>
      </c>
      <c r="U28" s="632"/>
      <c r="V28" s="610"/>
      <c r="W28" s="743" t="s">
        <v>690</v>
      </c>
      <c r="X28" s="610" t="s">
        <v>1115</v>
      </c>
      <c r="Y28" s="735" t="s">
        <v>1021</v>
      </c>
      <c r="Z28" s="741" t="s">
        <v>405</v>
      </c>
      <c r="AA28" s="633" t="s">
        <v>581</v>
      </c>
      <c r="AB28" s="610">
        <v>11</v>
      </c>
      <c r="AC28" s="610"/>
    </row>
    <row r="29" spans="1:29" ht="15" customHeight="1">
      <c r="A29" s="663" t="s">
        <v>806</v>
      </c>
      <c r="B29" s="682">
        <v>14082.043554169752</v>
      </c>
      <c r="C29" s="682">
        <v>25128.404565747336</v>
      </c>
      <c r="D29" s="682">
        <v>24944.432242131468</v>
      </c>
      <c r="E29" s="628">
        <v>630</v>
      </c>
      <c r="F29" s="561">
        <v>4</v>
      </c>
      <c r="G29" s="629">
        <v>1583.3591082925511</v>
      </c>
      <c r="H29" s="623">
        <v>483</v>
      </c>
      <c r="I29" s="629">
        <v>475</v>
      </c>
      <c r="J29" s="629">
        <v>640</v>
      </c>
      <c r="K29" s="630">
        <v>0.53370428748968568</v>
      </c>
      <c r="L29" s="817">
        <v>8.08927645902279E-2</v>
      </c>
      <c r="M29" s="631">
        <v>1.1344640137963142</v>
      </c>
      <c r="N29" s="631">
        <v>6.2831853071795862</v>
      </c>
      <c r="O29" s="631">
        <v>0.60601696111142855</v>
      </c>
      <c r="P29" s="635">
        <v>1.3873801632378218</v>
      </c>
      <c r="Q29" s="635">
        <v>0.89123168311830936</v>
      </c>
      <c r="R29" s="635">
        <v>0.69212742517424175</v>
      </c>
      <c r="S29" s="682"/>
      <c r="T29" s="632" t="s">
        <v>806</v>
      </c>
      <c r="U29" s="632"/>
      <c r="V29" s="610"/>
      <c r="W29" s="743" t="s">
        <v>690</v>
      </c>
      <c r="X29" s="610" t="s">
        <v>1116</v>
      </c>
      <c r="Y29" s="735" t="s">
        <v>1022</v>
      </c>
      <c r="Z29" s="741" t="s">
        <v>406</v>
      </c>
      <c r="AA29" s="633" t="s">
        <v>582</v>
      </c>
      <c r="AB29" s="610">
        <v>12</v>
      </c>
      <c r="AC29" s="610"/>
    </row>
    <row r="30" spans="1:29" ht="15" customHeight="1">
      <c r="A30" s="663" t="s">
        <v>807</v>
      </c>
      <c r="B30" s="682">
        <v>15196.089273024549</v>
      </c>
      <c r="C30" s="682">
        <v>26390.253473817938</v>
      </c>
      <c r="D30" s="682">
        <v>26207.981150202064</v>
      </c>
      <c r="E30" s="628">
        <v>700</v>
      </c>
      <c r="F30" s="561">
        <v>4</v>
      </c>
      <c r="G30" s="629">
        <v>1583.3591082925511</v>
      </c>
      <c r="H30" s="623">
        <v>608</v>
      </c>
      <c r="I30" s="629">
        <v>600</v>
      </c>
      <c r="J30" s="629">
        <v>640</v>
      </c>
      <c r="K30" s="630">
        <v>0.53370428748968568</v>
      </c>
      <c r="L30" s="817">
        <v>8.08927645902279E-2</v>
      </c>
      <c r="M30" s="631">
        <v>1.1344640137963142</v>
      </c>
      <c r="N30" s="631">
        <v>6.2831853071795862</v>
      </c>
      <c r="O30" s="631">
        <v>0.60601696111142855</v>
      </c>
      <c r="P30" s="635">
        <v>1.3873801632378218</v>
      </c>
      <c r="Q30" s="635">
        <v>0.89123168311830936</v>
      </c>
      <c r="R30" s="635">
        <v>0.69212742517424175</v>
      </c>
      <c r="S30" s="682"/>
      <c r="T30" s="632" t="s">
        <v>807</v>
      </c>
      <c r="U30" s="632"/>
      <c r="V30" s="610"/>
      <c r="W30" s="743" t="s">
        <v>690</v>
      </c>
      <c r="X30" s="610" t="s">
        <v>1117</v>
      </c>
      <c r="Y30" s="735" t="s">
        <v>1023</v>
      </c>
      <c r="Z30" s="741" t="s">
        <v>407</v>
      </c>
      <c r="AA30" s="633" t="s">
        <v>583</v>
      </c>
      <c r="AB30" s="610">
        <v>13</v>
      </c>
      <c r="AC30" s="610"/>
    </row>
    <row r="31" spans="1:29" ht="15" customHeight="1">
      <c r="A31" s="663" t="s">
        <v>808</v>
      </c>
      <c r="B31" s="682">
        <v>15876.138686575054</v>
      </c>
      <c r="C31" s="682">
        <v>27117.058615384583</v>
      </c>
      <c r="D31" s="682">
        <v>26934.91928417439</v>
      </c>
      <c r="E31" s="628">
        <v>750</v>
      </c>
      <c r="F31" s="561">
        <v>4</v>
      </c>
      <c r="G31" s="629">
        <v>1577.609886179685</v>
      </c>
      <c r="H31" s="623">
        <v>658</v>
      </c>
      <c r="I31" s="629">
        <v>650</v>
      </c>
      <c r="J31" s="629">
        <v>675</v>
      </c>
      <c r="K31" s="630">
        <v>0.53035558818297979</v>
      </c>
      <c r="L31" s="817">
        <v>8.1429878325055674E-2</v>
      </c>
      <c r="M31" s="631">
        <v>1.2042771838760873</v>
      </c>
      <c r="N31" s="631">
        <v>6.2831853071795862</v>
      </c>
      <c r="O31" s="631">
        <v>0.60272284032457668</v>
      </c>
      <c r="P31" s="635">
        <v>1.3811512003665851</v>
      </c>
      <c r="Q31" s="635">
        <v>0.88864525048400056</v>
      </c>
      <c r="R31" s="635">
        <v>0.68896463569568445</v>
      </c>
      <c r="S31" s="682"/>
      <c r="T31" s="632" t="s">
        <v>808</v>
      </c>
      <c r="U31" s="632"/>
      <c r="V31" s="610"/>
      <c r="W31" s="743" t="s">
        <v>690</v>
      </c>
      <c r="X31" s="610" t="s">
        <v>1118</v>
      </c>
      <c r="Y31" s="735" t="s">
        <v>1024</v>
      </c>
      <c r="Z31" s="741" t="s">
        <v>408</v>
      </c>
      <c r="AA31" s="633" t="s">
        <v>584</v>
      </c>
      <c r="AB31" s="610">
        <v>14</v>
      </c>
      <c r="AC31" s="610"/>
    </row>
    <row r="32" spans="1:29" ht="15" customHeight="1">
      <c r="A32" s="663" t="s">
        <v>809</v>
      </c>
      <c r="B32" s="682">
        <v>13516.919014350282</v>
      </c>
      <c r="C32" s="682">
        <v>25345.281908913257</v>
      </c>
      <c r="D32" s="682">
        <v>25149.488106855442</v>
      </c>
      <c r="E32" s="628">
        <v>450</v>
      </c>
      <c r="F32" s="561">
        <v>4</v>
      </c>
      <c r="G32" s="629">
        <v>1708.5605948173679</v>
      </c>
      <c r="H32" s="623">
        <v>233</v>
      </c>
      <c r="I32" s="629">
        <v>225</v>
      </c>
      <c r="J32" s="629">
        <v>675</v>
      </c>
      <c r="K32" s="630">
        <v>0.58369949327438242</v>
      </c>
      <c r="L32" s="817">
        <v>7.8229662280906706E-2</v>
      </c>
      <c r="M32" s="631">
        <v>1.1170107212763709</v>
      </c>
      <c r="N32" s="631">
        <v>6.2831853071795862</v>
      </c>
      <c r="O32" s="631">
        <v>0.6600193483283654</v>
      </c>
      <c r="P32" s="635">
        <v>1.5039200896023501</v>
      </c>
      <c r="Q32" s="635">
        <v>0.95824242050464237</v>
      </c>
      <c r="R32" s="635">
        <v>0.75031817431272552</v>
      </c>
      <c r="S32" s="682"/>
      <c r="T32" s="632" t="s">
        <v>809</v>
      </c>
      <c r="U32" s="632"/>
      <c r="V32" s="610"/>
      <c r="W32" s="743" t="s">
        <v>690</v>
      </c>
      <c r="X32" s="610" t="s">
        <v>1119</v>
      </c>
      <c r="Y32" s="735" t="s">
        <v>1196</v>
      </c>
      <c r="Z32" s="741" t="s">
        <v>409</v>
      </c>
      <c r="AA32" s="633" t="s">
        <v>585</v>
      </c>
      <c r="AB32" s="610">
        <v>15</v>
      </c>
      <c r="AC32" s="610"/>
    </row>
    <row r="33" spans="1:29" ht="15" customHeight="1">
      <c r="A33" s="663" t="s">
        <v>810</v>
      </c>
      <c r="B33" s="682">
        <v>13911.422674725758</v>
      </c>
      <c r="C33" s="682">
        <v>25809.420174279239</v>
      </c>
      <c r="D33" s="682">
        <v>25612.59235703279</v>
      </c>
      <c r="E33" s="628">
        <v>450</v>
      </c>
      <c r="F33" s="561">
        <v>4</v>
      </c>
      <c r="G33" s="629">
        <v>1716.6023158338012</v>
      </c>
      <c r="H33" s="623">
        <v>258</v>
      </c>
      <c r="I33" s="629">
        <v>250</v>
      </c>
      <c r="J33" s="629">
        <v>640</v>
      </c>
      <c r="K33" s="630">
        <v>0.58701458969142617</v>
      </c>
      <c r="L33" s="817">
        <v>7.8036833918613019E-2</v>
      </c>
      <c r="M33" s="631">
        <v>1.0471975511965976</v>
      </c>
      <c r="N33" s="631">
        <v>6.2831853071795862</v>
      </c>
      <c r="O33" s="631">
        <v>0.663566879188351</v>
      </c>
      <c r="P33" s="635">
        <v>1.5114896762204266</v>
      </c>
      <c r="Q33" s="635">
        <v>0.96249999999999991</v>
      </c>
      <c r="R33" s="635">
        <v>0.75410231583380138</v>
      </c>
      <c r="S33" s="682"/>
      <c r="T33" s="632" t="s">
        <v>810</v>
      </c>
      <c r="U33" s="632"/>
      <c r="V33" s="610"/>
      <c r="W33" s="743" t="s">
        <v>690</v>
      </c>
      <c r="X33" s="610" t="s">
        <v>1120</v>
      </c>
      <c r="Y33" s="735" t="s">
        <v>1025</v>
      </c>
      <c r="Z33" s="741" t="s">
        <v>410</v>
      </c>
      <c r="AA33" s="633" t="s">
        <v>586</v>
      </c>
      <c r="AB33" s="610">
        <v>16</v>
      </c>
      <c r="AC33" s="610"/>
    </row>
    <row r="34" spans="1:29" ht="15" customHeight="1">
      <c r="A34" s="663" t="s">
        <v>811</v>
      </c>
      <c r="B34" s="682">
        <v>14842.191097227093</v>
      </c>
      <c r="C34" s="682">
        <v>27145.645391183356</v>
      </c>
      <c r="D34" s="682">
        <v>26951.017573936908</v>
      </c>
      <c r="E34" s="628">
        <v>500</v>
      </c>
      <c r="F34" s="561">
        <v>4</v>
      </c>
      <c r="G34" s="629">
        <v>1648.9827157619686</v>
      </c>
      <c r="H34" s="623">
        <v>308</v>
      </c>
      <c r="I34" s="629">
        <v>300</v>
      </c>
      <c r="J34" s="629">
        <v>640</v>
      </c>
      <c r="K34" s="630">
        <v>0.58896817664997314</v>
      </c>
      <c r="L34" s="817">
        <v>6.9105323644975528E-2</v>
      </c>
      <c r="M34" s="631">
        <v>1.1344640137963142</v>
      </c>
      <c r="N34" s="631">
        <v>6.2831853071795862</v>
      </c>
      <c r="O34" s="631">
        <v>0.65649989990728685</v>
      </c>
      <c r="P34" s="635">
        <v>1.4721808764219741</v>
      </c>
      <c r="Q34" s="635">
        <v>0.91320783272882555</v>
      </c>
      <c r="R34" s="635">
        <v>0.73577488303314298</v>
      </c>
      <c r="S34" s="682"/>
      <c r="T34" s="632" t="s">
        <v>811</v>
      </c>
      <c r="U34" s="632"/>
      <c r="V34" s="610"/>
      <c r="W34" s="743" t="s">
        <v>690</v>
      </c>
      <c r="X34" s="610" t="s">
        <v>1121</v>
      </c>
      <c r="Y34" s="735" t="s">
        <v>1026</v>
      </c>
      <c r="Z34" s="741" t="s">
        <v>411</v>
      </c>
      <c r="AA34" s="633" t="s">
        <v>587</v>
      </c>
      <c r="AB34" s="610">
        <v>17</v>
      </c>
      <c r="AC34" s="610"/>
    </row>
    <row r="35" spans="1:29" ht="15" customHeight="1">
      <c r="A35" s="802" t="s">
        <v>812</v>
      </c>
      <c r="B35" s="682">
        <v>14088.381194930384</v>
      </c>
      <c r="C35" s="682">
        <v>26025.358971094225</v>
      </c>
      <c r="D35" s="682">
        <v>25831.364146253458</v>
      </c>
      <c r="E35" s="628">
        <v>500</v>
      </c>
      <c r="F35" s="561">
        <v>4</v>
      </c>
      <c r="G35" s="629">
        <v>1727.4418570043676</v>
      </c>
      <c r="H35" s="623">
        <v>283</v>
      </c>
      <c r="I35" s="629">
        <v>275</v>
      </c>
      <c r="J35" s="629">
        <v>700</v>
      </c>
      <c r="K35" s="630">
        <v>0.5807331226326925</v>
      </c>
      <c r="L35" s="817">
        <v>8.1517213899375704E-2</v>
      </c>
      <c r="M35" s="631">
        <v>1.1344640137963142</v>
      </c>
      <c r="N35" s="631">
        <v>6.2831853071795862</v>
      </c>
      <c r="O35" s="631">
        <v>0.6600649571237871</v>
      </c>
      <c r="P35" s="635">
        <v>1.5127857160522438</v>
      </c>
      <c r="Q35" s="635">
        <v>0.97320783272882538</v>
      </c>
      <c r="R35" s="635">
        <v>0.75423402427554231</v>
      </c>
      <c r="S35" s="682"/>
      <c r="T35" s="632" t="s">
        <v>812</v>
      </c>
      <c r="U35" s="632"/>
      <c r="V35" s="610"/>
      <c r="W35" s="743" t="s">
        <v>690</v>
      </c>
      <c r="X35" s="610" t="s">
        <v>788</v>
      </c>
      <c r="Y35" s="735" t="s">
        <v>1026</v>
      </c>
      <c r="Z35" s="741" t="s">
        <v>411</v>
      </c>
      <c r="AA35" s="633"/>
      <c r="AB35" s="610">
        <v>17</v>
      </c>
      <c r="AC35" s="610"/>
    </row>
    <row r="36" spans="1:29" ht="15" customHeight="1">
      <c r="A36" s="663" t="s">
        <v>813</v>
      </c>
      <c r="B36" s="682">
        <v>14721.240396916357</v>
      </c>
      <c r="C36" s="682">
        <v>26734.824332268912</v>
      </c>
      <c r="D36" s="682">
        <v>26541.362499833831</v>
      </c>
      <c r="E36" s="628">
        <v>550</v>
      </c>
      <c r="F36" s="561">
        <v>4</v>
      </c>
      <c r="G36" s="629">
        <v>1727.4418570043676</v>
      </c>
      <c r="H36" s="623">
        <v>358</v>
      </c>
      <c r="I36" s="629">
        <v>350</v>
      </c>
      <c r="J36" s="629">
        <v>700</v>
      </c>
      <c r="K36" s="630">
        <v>0.5807331226326925</v>
      </c>
      <c r="L36" s="817">
        <v>8.1517213899375718E-2</v>
      </c>
      <c r="M36" s="631">
        <v>1.1344640137963142</v>
      </c>
      <c r="N36" s="631">
        <v>6.2831853071795862</v>
      </c>
      <c r="O36" s="631">
        <v>0.6600649571237871</v>
      </c>
      <c r="P36" s="635">
        <v>1.512785716052244</v>
      </c>
      <c r="Q36" s="635">
        <v>0.97320783272882538</v>
      </c>
      <c r="R36" s="635">
        <v>0.75423402427554231</v>
      </c>
      <c r="S36" s="682"/>
      <c r="T36" s="632" t="s">
        <v>813</v>
      </c>
      <c r="U36" s="632"/>
      <c r="V36" s="610"/>
      <c r="W36" s="743" t="s">
        <v>690</v>
      </c>
      <c r="X36" s="610" t="s">
        <v>1122</v>
      </c>
      <c r="Y36" s="735" t="s">
        <v>1027</v>
      </c>
      <c r="Z36" s="741" t="s">
        <v>412</v>
      </c>
      <c r="AA36" s="633" t="s">
        <v>588</v>
      </c>
      <c r="AB36" s="610">
        <v>19</v>
      </c>
      <c r="AC36" s="610"/>
    </row>
    <row r="37" spans="1:29" ht="15" customHeight="1">
      <c r="A37" s="663" t="s">
        <v>814</v>
      </c>
      <c r="B37" s="682">
        <v>15285.809818963502</v>
      </c>
      <c r="C37" s="682">
        <v>27385.638752780102</v>
      </c>
      <c r="D37" s="682">
        <v>27192.809912750701</v>
      </c>
      <c r="E37" s="628">
        <v>600</v>
      </c>
      <c r="F37" s="561">
        <v>4</v>
      </c>
      <c r="G37" s="629">
        <v>1727.4418570043676</v>
      </c>
      <c r="H37" s="623">
        <v>408</v>
      </c>
      <c r="I37" s="629">
        <v>400</v>
      </c>
      <c r="J37" s="629">
        <v>700</v>
      </c>
      <c r="K37" s="630">
        <v>0.5807331226326925</v>
      </c>
      <c r="L37" s="817">
        <v>8.1517213899375718E-2</v>
      </c>
      <c r="M37" s="631">
        <v>1.1344640137963142</v>
      </c>
      <c r="N37" s="631">
        <v>6.2831853071795862</v>
      </c>
      <c r="O37" s="631">
        <v>0.6600649571237871</v>
      </c>
      <c r="P37" s="635">
        <v>1.512785716052244</v>
      </c>
      <c r="Q37" s="635">
        <v>0.97320783272882538</v>
      </c>
      <c r="R37" s="635">
        <v>0.75423402427554231</v>
      </c>
      <c r="S37" s="682"/>
      <c r="T37" s="632" t="s">
        <v>814</v>
      </c>
      <c r="U37" s="632"/>
      <c r="V37" s="610"/>
      <c r="W37" s="743" t="s">
        <v>690</v>
      </c>
      <c r="X37" s="610" t="s">
        <v>1123</v>
      </c>
      <c r="Y37" s="735" t="s">
        <v>1028</v>
      </c>
      <c r="Z37" s="741" t="s">
        <v>413</v>
      </c>
      <c r="AA37" s="633" t="s">
        <v>589</v>
      </c>
      <c r="AB37" s="610">
        <v>20</v>
      </c>
      <c r="AC37" s="610"/>
    </row>
    <row r="38" spans="1:29" ht="15" customHeight="1">
      <c r="A38" s="663" t="s">
        <v>815</v>
      </c>
      <c r="B38" s="682">
        <v>16737.751065266319</v>
      </c>
      <c r="C38" s="682">
        <v>29036.603243611091</v>
      </c>
      <c r="D38" s="682">
        <v>28845.874403581693</v>
      </c>
      <c r="E38" s="628">
        <v>700</v>
      </c>
      <c r="F38" s="561">
        <v>4</v>
      </c>
      <c r="G38" s="629">
        <v>1727.4418570043676</v>
      </c>
      <c r="H38" s="623">
        <v>558</v>
      </c>
      <c r="I38" s="629">
        <v>550</v>
      </c>
      <c r="J38" s="629">
        <v>700</v>
      </c>
      <c r="K38" s="630">
        <v>0.5807331226326925</v>
      </c>
      <c r="L38" s="817">
        <v>8.1517213899375718E-2</v>
      </c>
      <c r="M38" s="631">
        <v>1.1344640137963142</v>
      </c>
      <c r="N38" s="631">
        <v>6.2831853071795862</v>
      </c>
      <c r="O38" s="631">
        <v>0.6600649571237871</v>
      </c>
      <c r="P38" s="635">
        <v>1.512785716052244</v>
      </c>
      <c r="Q38" s="635">
        <v>0.97320783272882538</v>
      </c>
      <c r="R38" s="635">
        <v>0.75423402427554231</v>
      </c>
      <c r="S38" s="682"/>
      <c r="T38" s="632" t="s">
        <v>815</v>
      </c>
      <c r="U38" s="632"/>
      <c r="V38" s="610"/>
      <c r="W38" s="743" t="s">
        <v>690</v>
      </c>
      <c r="X38" s="610" t="s">
        <v>1124</v>
      </c>
      <c r="Y38" s="735" t="s">
        <v>1029</v>
      </c>
      <c r="Z38" s="741" t="s">
        <v>414</v>
      </c>
      <c r="AA38" s="633" t="s">
        <v>590</v>
      </c>
      <c r="AB38" s="610">
        <v>21</v>
      </c>
      <c r="AC38" s="610"/>
    </row>
    <row r="39" spans="1:29" ht="15" customHeight="1">
      <c r="A39" s="663" t="s">
        <v>816</v>
      </c>
      <c r="B39" s="682">
        <v>15671.18128174338</v>
      </c>
      <c r="C39" s="682">
        <v>27821.111343600547</v>
      </c>
      <c r="D39" s="682">
        <v>27630.915495976831</v>
      </c>
      <c r="E39" s="628">
        <v>630</v>
      </c>
      <c r="F39" s="561">
        <v>4</v>
      </c>
      <c r="G39" s="629">
        <v>1727.4418570043676</v>
      </c>
      <c r="H39" s="623">
        <v>458</v>
      </c>
      <c r="I39" s="629">
        <v>450</v>
      </c>
      <c r="J39" s="629">
        <v>700</v>
      </c>
      <c r="K39" s="630">
        <v>0.5807331226326925</v>
      </c>
      <c r="L39" s="817">
        <v>8.1517213899375718E-2</v>
      </c>
      <c r="M39" s="631">
        <v>1.1344640137963142</v>
      </c>
      <c r="N39" s="631">
        <v>6.2831853071795862</v>
      </c>
      <c r="O39" s="631">
        <v>0.6600649571237871</v>
      </c>
      <c r="P39" s="635">
        <v>1.512785716052244</v>
      </c>
      <c r="Q39" s="635">
        <v>0.97320783272882538</v>
      </c>
      <c r="R39" s="635">
        <v>0.75423402427554231</v>
      </c>
      <c r="S39" s="682"/>
      <c r="T39" s="632" t="s">
        <v>816</v>
      </c>
      <c r="U39" s="632"/>
      <c r="V39" s="610"/>
      <c r="W39" s="743" t="s">
        <v>690</v>
      </c>
      <c r="X39" s="610" t="s">
        <v>1125</v>
      </c>
      <c r="Y39" s="735" t="s">
        <v>1030</v>
      </c>
      <c r="Z39" s="741" t="s">
        <v>415</v>
      </c>
      <c r="AA39" s="633" t="s">
        <v>591</v>
      </c>
      <c r="AB39" s="610">
        <v>22</v>
      </c>
      <c r="AC39" s="610"/>
    </row>
    <row r="40" spans="1:29" ht="15" customHeight="1">
      <c r="A40" s="663" t="s">
        <v>817</v>
      </c>
      <c r="B40" s="682">
        <v>18114.126630523071</v>
      </c>
      <c r="C40" s="682">
        <v>30497.185867783228</v>
      </c>
      <c r="D40" s="682">
        <v>30309.090020159514</v>
      </c>
      <c r="E40" s="628">
        <v>800</v>
      </c>
      <c r="F40" s="561">
        <v>4</v>
      </c>
      <c r="G40" s="629">
        <v>1718.2307484596104</v>
      </c>
      <c r="H40" s="623">
        <v>708</v>
      </c>
      <c r="I40" s="629">
        <v>700</v>
      </c>
      <c r="J40" s="629">
        <v>725</v>
      </c>
      <c r="K40" s="630">
        <v>0.57846297742968722</v>
      </c>
      <c r="L40" s="817">
        <v>8.1221071817862089E-2</v>
      </c>
      <c r="M40" s="631">
        <v>1.1868238913561442</v>
      </c>
      <c r="N40" s="631">
        <v>6.2831853071795862</v>
      </c>
      <c r="O40" s="631">
        <v>0.65717891878423729</v>
      </c>
      <c r="P40" s="635">
        <v>1.5053817804684542</v>
      </c>
      <c r="Q40" s="635">
        <v>0.96762440000593608</v>
      </c>
      <c r="R40" s="635">
        <v>0.75060634845367435</v>
      </c>
      <c r="S40" s="682"/>
      <c r="T40" s="632" t="s">
        <v>817</v>
      </c>
      <c r="U40" s="632"/>
      <c r="V40" s="610"/>
      <c r="W40" s="743" t="s">
        <v>690</v>
      </c>
      <c r="X40" s="610" t="s">
        <v>1126</v>
      </c>
      <c r="Y40" s="735" t="s">
        <v>1031</v>
      </c>
      <c r="Z40" s="741" t="s">
        <v>416</v>
      </c>
      <c r="AA40" s="633" t="s">
        <v>592</v>
      </c>
      <c r="AB40" s="610">
        <v>23</v>
      </c>
      <c r="AC40" s="610"/>
    </row>
    <row r="41" spans="1:29" ht="15" customHeight="1">
      <c r="A41" s="663" t="s">
        <v>818</v>
      </c>
      <c r="B41" s="682">
        <v>17165.422114328867</v>
      </c>
      <c r="C41" s="682">
        <v>30835.930788752914</v>
      </c>
      <c r="D41" s="682">
        <v>30621.597098160069</v>
      </c>
      <c r="E41" s="628">
        <v>450</v>
      </c>
      <c r="F41" s="561">
        <v>4</v>
      </c>
      <c r="G41" s="629">
        <v>1956.567594135382</v>
      </c>
      <c r="H41" s="623">
        <v>258</v>
      </c>
      <c r="I41" s="629">
        <v>250</v>
      </c>
      <c r="J41" s="629">
        <v>640</v>
      </c>
      <c r="K41" s="630">
        <v>0.68023218695864096</v>
      </c>
      <c r="L41" s="817">
        <v>7.4778547482224178E-2</v>
      </c>
      <c r="M41" s="631">
        <v>0.90757121103705141</v>
      </c>
      <c r="N41" s="631">
        <v>6.2831853071795862</v>
      </c>
      <c r="O41" s="631">
        <v>0.76501547241935841</v>
      </c>
      <c r="P41" s="635">
        <v>1.7326164551987793</v>
      </c>
      <c r="Q41" s="635">
        <v>1.0922015540370793</v>
      </c>
      <c r="R41" s="635">
        <v>0.86436604009830265</v>
      </c>
      <c r="S41" s="682"/>
      <c r="T41" s="632" t="s">
        <v>818</v>
      </c>
      <c r="U41" s="632"/>
      <c r="V41" s="610"/>
      <c r="W41" s="743" t="s">
        <v>690</v>
      </c>
      <c r="X41" s="610" t="s">
        <v>1127</v>
      </c>
      <c r="Y41" s="735" t="s">
        <v>1032</v>
      </c>
      <c r="Z41" s="741" t="s">
        <v>417</v>
      </c>
      <c r="AA41" s="633" t="s">
        <v>593</v>
      </c>
      <c r="AB41" s="610">
        <v>24</v>
      </c>
      <c r="AC41" s="610"/>
    </row>
    <row r="42" spans="1:29" ht="15" customHeight="1">
      <c r="A42" s="663" t="s">
        <v>819</v>
      </c>
      <c r="B42" s="682">
        <v>18201.706581836464</v>
      </c>
      <c r="C42" s="682">
        <v>31989.330141146209</v>
      </c>
      <c r="D42" s="682">
        <v>31774.96243536473</v>
      </c>
      <c r="E42" s="628">
        <v>550</v>
      </c>
      <c r="F42" s="561">
        <v>4</v>
      </c>
      <c r="G42" s="629">
        <v>1956.162808780871</v>
      </c>
      <c r="H42" s="623">
        <v>308</v>
      </c>
      <c r="I42" s="629">
        <v>300</v>
      </c>
      <c r="J42" s="629">
        <v>775</v>
      </c>
      <c r="K42" s="630">
        <v>0.66661372692324616</v>
      </c>
      <c r="L42" s="817">
        <v>7.8862528723356223E-2</v>
      </c>
      <c r="M42" s="631">
        <v>1.1170107212763709</v>
      </c>
      <c r="N42" s="631">
        <v>6.2831853071795862</v>
      </c>
      <c r="O42" s="631">
        <v>0.75452448417745455</v>
      </c>
      <c r="P42" s="635">
        <v>1.7211794949642016</v>
      </c>
      <c r="Q42" s="635">
        <v>1.0981341948624486</v>
      </c>
      <c r="R42" s="635">
        <v>0.85802861391842256</v>
      </c>
      <c r="S42" s="682"/>
      <c r="T42" s="632" t="s">
        <v>819</v>
      </c>
      <c r="U42" s="632"/>
      <c r="V42" s="610"/>
      <c r="W42" s="743" t="s">
        <v>690</v>
      </c>
      <c r="X42" s="610" t="s">
        <v>1128</v>
      </c>
      <c r="Y42" s="735" t="s">
        <v>1033</v>
      </c>
      <c r="Z42" s="741" t="s">
        <v>418</v>
      </c>
      <c r="AA42" s="633" t="s">
        <v>594</v>
      </c>
      <c r="AB42" s="610">
        <v>25</v>
      </c>
      <c r="AC42" s="610"/>
    </row>
    <row r="43" spans="1:29" ht="15" customHeight="1">
      <c r="A43" s="663" t="s">
        <v>820</v>
      </c>
      <c r="B43" s="682">
        <v>18816.269654566782</v>
      </c>
      <c r="C43" s="682">
        <v>32681.495636209122</v>
      </c>
      <c r="D43" s="682">
        <v>32470.027930427645</v>
      </c>
      <c r="E43" s="628">
        <v>600</v>
      </c>
      <c r="F43" s="561">
        <v>4</v>
      </c>
      <c r="G43" s="629">
        <v>1956.162808780871</v>
      </c>
      <c r="H43" s="623">
        <v>383</v>
      </c>
      <c r="I43" s="629">
        <v>375</v>
      </c>
      <c r="J43" s="629">
        <v>775</v>
      </c>
      <c r="K43" s="630">
        <v>0.66661372692324616</v>
      </c>
      <c r="L43" s="817">
        <v>7.8862528723356223E-2</v>
      </c>
      <c r="M43" s="631">
        <v>1.1170107212763709</v>
      </c>
      <c r="N43" s="631">
        <v>6.2831853071795862</v>
      </c>
      <c r="O43" s="631">
        <v>0.75452448417745455</v>
      </c>
      <c r="P43" s="635">
        <v>1.7211794949642016</v>
      </c>
      <c r="Q43" s="635">
        <v>1.0981341948624486</v>
      </c>
      <c r="R43" s="635">
        <v>0.85802861391842256</v>
      </c>
      <c r="S43" s="682"/>
      <c r="T43" s="632" t="s">
        <v>820</v>
      </c>
      <c r="U43" s="632"/>
      <c r="V43" s="610"/>
      <c r="W43" s="743" t="s">
        <v>690</v>
      </c>
      <c r="X43" s="610" t="s">
        <v>1129</v>
      </c>
      <c r="Y43" s="735" t="s">
        <v>1034</v>
      </c>
      <c r="Z43" s="741" t="s">
        <v>419</v>
      </c>
      <c r="AA43" s="633" t="s">
        <v>595</v>
      </c>
      <c r="AB43" s="610">
        <v>26</v>
      </c>
      <c r="AC43" s="610"/>
    </row>
    <row r="44" spans="1:29" ht="15" customHeight="1">
      <c r="A44" s="663" t="s">
        <v>821</v>
      </c>
      <c r="B44" s="682">
        <v>19785.70671206612</v>
      </c>
      <c r="C44" s="682">
        <v>33770.791611130357</v>
      </c>
      <c r="D44" s="682">
        <v>33560.75689775456</v>
      </c>
      <c r="E44" s="628">
        <v>650</v>
      </c>
      <c r="F44" s="561">
        <v>4</v>
      </c>
      <c r="G44" s="629">
        <v>1956.162808780871</v>
      </c>
      <c r="H44" s="623">
        <v>433</v>
      </c>
      <c r="I44" s="629">
        <v>425</v>
      </c>
      <c r="J44" s="629">
        <v>775</v>
      </c>
      <c r="K44" s="630">
        <v>0.66661372692324616</v>
      </c>
      <c r="L44" s="817">
        <v>7.8862528723356223E-2</v>
      </c>
      <c r="M44" s="631">
        <v>1.1170107212763709</v>
      </c>
      <c r="N44" s="631">
        <v>6.2831853071795862</v>
      </c>
      <c r="O44" s="631">
        <v>0.75452448417745455</v>
      </c>
      <c r="P44" s="635">
        <v>1.7211794949642016</v>
      </c>
      <c r="Q44" s="635">
        <v>1.0981341948624486</v>
      </c>
      <c r="R44" s="635">
        <v>0.85802861391842256</v>
      </c>
      <c r="S44" s="682"/>
      <c r="T44" s="632" t="s">
        <v>821</v>
      </c>
      <c r="U44" s="632"/>
      <c r="V44" s="610"/>
      <c r="W44" s="743" t="s">
        <v>690</v>
      </c>
      <c r="X44" s="610" t="s">
        <v>1130</v>
      </c>
      <c r="Y44" s="735" t="s">
        <v>1035</v>
      </c>
      <c r="Z44" s="741" t="s">
        <v>420</v>
      </c>
      <c r="AA44" s="633" t="s">
        <v>596</v>
      </c>
      <c r="AB44" s="610">
        <v>27</v>
      </c>
      <c r="AC44" s="610"/>
    </row>
    <row r="45" spans="1:29" ht="15" customHeight="1">
      <c r="A45" s="663" t="s">
        <v>822</v>
      </c>
      <c r="B45" s="682">
        <v>22011.307112721519</v>
      </c>
      <c r="C45" s="682">
        <v>36366.5124442011</v>
      </c>
      <c r="D45" s="682">
        <v>36159.277730825306</v>
      </c>
      <c r="E45" s="628">
        <v>800</v>
      </c>
      <c r="F45" s="561">
        <v>4</v>
      </c>
      <c r="G45" s="629">
        <v>1956.1628087808708</v>
      </c>
      <c r="H45" s="623">
        <v>658</v>
      </c>
      <c r="I45" s="629">
        <v>650</v>
      </c>
      <c r="J45" s="629">
        <v>775</v>
      </c>
      <c r="K45" s="630">
        <v>0.66661372692324616</v>
      </c>
      <c r="L45" s="817">
        <v>7.8862528723356209E-2</v>
      </c>
      <c r="M45" s="631">
        <v>1.1170107212763709</v>
      </c>
      <c r="N45" s="631">
        <v>6.2831853071795862</v>
      </c>
      <c r="O45" s="631">
        <v>0.75452448417745455</v>
      </c>
      <c r="P45" s="635">
        <v>1.7211794949642016</v>
      </c>
      <c r="Q45" s="635">
        <v>1.0981341948624483</v>
      </c>
      <c r="R45" s="635">
        <v>0.85802861391842256</v>
      </c>
      <c r="S45" s="682"/>
      <c r="T45" s="632" t="s">
        <v>822</v>
      </c>
      <c r="U45" s="632"/>
      <c r="V45" s="610"/>
      <c r="W45" s="743" t="s">
        <v>690</v>
      </c>
      <c r="X45" s="610" t="s">
        <v>1131</v>
      </c>
      <c r="Y45" s="735" t="s">
        <v>1036</v>
      </c>
      <c r="Z45" s="741" t="s">
        <v>421</v>
      </c>
      <c r="AA45" s="633" t="s">
        <v>597</v>
      </c>
      <c r="AB45" s="610">
        <v>28</v>
      </c>
      <c r="AC45" s="610"/>
    </row>
    <row r="46" spans="1:29" ht="15" customHeight="1">
      <c r="A46" s="663" t="s">
        <v>823</v>
      </c>
      <c r="B46" s="682">
        <v>22053.286236287546</v>
      </c>
      <c r="C46" s="682">
        <v>36339.92560414625</v>
      </c>
      <c r="D46" s="682">
        <v>36132.35687558182</v>
      </c>
      <c r="E46" s="628">
        <v>800</v>
      </c>
      <c r="F46" s="561">
        <v>4</v>
      </c>
      <c r="G46" s="629">
        <v>1956.162808780871</v>
      </c>
      <c r="H46" s="623">
        <v>658</v>
      </c>
      <c r="I46" s="629">
        <v>650</v>
      </c>
      <c r="J46" s="629">
        <v>775</v>
      </c>
      <c r="K46" s="630">
        <v>0.66661372692324616</v>
      </c>
      <c r="L46" s="817">
        <v>7.8862528723356223E-2</v>
      </c>
      <c r="M46" s="631">
        <v>1.1170107212763709</v>
      </c>
      <c r="N46" s="631">
        <v>6.2831853071795862</v>
      </c>
      <c r="O46" s="631">
        <v>0.75452448417745455</v>
      </c>
      <c r="P46" s="635">
        <v>1.7211794949642016</v>
      </c>
      <c r="Q46" s="635">
        <v>1.0981341948624486</v>
      </c>
      <c r="R46" s="635">
        <v>0.85802861391842256</v>
      </c>
      <c r="S46" s="682"/>
      <c r="T46" s="632" t="s">
        <v>823</v>
      </c>
      <c r="U46" s="632"/>
      <c r="V46" s="610"/>
      <c r="W46" s="743" t="s">
        <v>690</v>
      </c>
      <c r="X46" s="610" t="s">
        <v>1131</v>
      </c>
      <c r="Y46" s="735" t="s">
        <v>1036</v>
      </c>
      <c r="Z46" s="741" t="s">
        <v>422</v>
      </c>
      <c r="AA46" s="633" t="s">
        <v>598</v>
      </c>
      <c r="AB46" s="610">
        <v>29</v>
      </c>
      <c r="AC46" s="610"/>
    </row>
    <row r="47" spans="1:29" ht="15" customHeight="1">
      <c r="A47" s="663" t="s">
        <v>824</v>
      </c>
      <c r="B47" s="682">
        <v>23896.67253691969</v>
      </c>
      <c r="C47" s="682">
        <v>38307.752956384247</v>
      </c>
      <c r="D47" s="682">
        <v>38102.984227819812</v>
      </c>
      <c r="E47" s="628">
        <v>850</v>
      </c>
      <c r="F47" s="561">
        <v>4</v>
      </c>
      <c r="G47" s="629">
        <v>1956.1628087808708</v>
      </c>
      <c r="H47" s="623">
        <v>733</v>
      </c>
      <c r="I47" s="629">
        <v>725</v>
      </c>
      <c r="J47" s="629">
        <v>775</v>
      </c>
      <c r="K47" s="630">
        <v>0.66661372692324616</v>
      </c>
      <c r="L47" s="817">
        <v>7.8862528723356209E-2</v>
      </c>
      <c r="M47" s="631">
        <v>1.1170107212763709</v>
      </c>
      <c r="N47" s="631">
        <v>6.2831853071795862</v>
      </c>
      <c r="O47" s="631">
        <v>0.75452448417745455</v>
      </c>
      <c r="P47" s="635">
        <v>1.7211794949642016</v>
      </c>
      <c r="Q47" s="635">
        <v>1.0981341948624483</v>
      </c>
      <c r="R47" s="635">
        <v>0.85802861391842256</v>
      </c>
      <c r="S47" s="682"/>
      <c r="T47" s="632" t="s">
        <v>824</v>
      </c>
      <c r="U47" s="632"/>
      <c r="V47" s="610"/>
      <c r="W47" s="743" t="s">
        <v>690</v>
      </c>
      <c r="X47" s="610" t="s">
        <v>1132</v>
      </c>
      <c r="Y47" s="735" t="s">
        <v>1037</v>
      </c>
      <c r="Z47" s="741" t="s">
        <v>423</v>
      </c>
      <c r="AA47" s="633" t="s">
        <v>599</v>
      </c>
      <c r="AB47" s="610">
        <v>30</v>
      </c>
      <c r="AC47" s="610"/>
    </row>
    <row r="48" spans="1:29" ht="15" customHeight="1">
      <c r="A48" s="663" t="s">
        <v>825</v>
      </c>
      <c r="B48" s="682">
        <v>20765.947283989346</v>
      </c>
      <c r="C48" s="682">
        <v>36079.313302169452</v>
      </c>
      <c r="D48" s="682">
        <v>35856.346882522223</v>
      </c>
      <c r="E48" s="628">
        <v>600</v>
      </c>
      <c r="F48" s="561">
        <v>4</v>
      </c>
      <c r="G48" s="629">
        <v>2150.2201435882284</v>
      </c>
      <c r="H48" s="623">
        <v>333</v>
      </c>
      <c r="I48" s="629">
        <v>325</v>
      </c>
      <c r="J48" s="629">
        <v>850</v>
      </c>
      <c r="K48" s="630">
        <v>0.73566485869837517</v>
      </c>
      <c r="L48" s="817">
        <v>7.8126978831496038E-2</v>
      </c>
      <c r="M48" s="631">
        <v>1.1170107212763709</v>
      </c>
      <c r="N48" s="631">
        <v>6.2831853071795862</v>
      </c>
      <c r="O48" s="631">
        <v>0.83172032075131053</v>
      </c>
      <c r="P48" s="635">
        <v>1.8948149274626984</v>
      </c>
      <c r="Q48" s="635">
        <v>1.2059024380849319</v>
      </c>
      <c r="R48" s="635">
        <v>0.94431770550329652</v>
      </c>
      <c r="S48" s="682"/>
      <c r="T48" s="632" t="s">
        <v>825</v>
      </c>
      <c r="U48" s="632"/>
      <c r="V48" s="610"/>
      <c r="W48" s="743" t="s">
        <v>690</v>
      </c>
      <c r="X48" s="610" t="s">
        <v>1133</v>
      </c>
      <c r="Y48" s="735" t="s">
        <v>1038</v>
      </c>
      <c r="Z48" s="741" t="s">
        <v>424</v>
      </c>
      <c r="AA48" s="633" t="s">
        <v>600</v>
      </c>
      <c r="AB48" s="610">
        <v>31</v>
      </c>
      <c r="AC48" s="610"/>
    </row>
    <row r="49" spans="1:29" ht="15" customHeight="1">
      <c r="A49" s="663" t="s">
        <v>826</v>
      </c>
      <c r="B49" s="682">
        <v>21407.135050689078</v>
      </c>
      <c r="C49" s="682">
        <v>36710.510084057816</v>
      </c>
      <c r="D49" s="682">
        <v>36487.909649221954</v>
      </c>
      <c r="E49" s="628">
        <v>600</v>
      </c>
      <c r="F49" s="561">
        <v>4</v>
      </c>
      <c r="G49" s="629">
        <v>2150.2201435882284</v>
      </c>
      <c r="H49" s="623">
        <v>333</v>
      </c>
      <c r="I49" s="629">
        <v>325</v>
      </c>
      <c r="J49" s="629">
        <v>850</v>
      </c>
      <c r="K49" s="630">
        <v>0.73566485869837517</v>
      </c>
      <c r="L49" s="817">
        <v>7.8126978831496052E-2</v>
      </c>
      <c r="M49" s="631">
        <v>1.1170107212763709</v>
      </c>
      <c r="N49" s="631">
        <v>6.2831853071795862</v>
      </c>
      <c r="O49" s="631">
        <v>0.83172032075131053</v>
      </c>
      <c r="P49" s="635">
        <v>1.8948149274626984</v>
      </c>
      <c r="Q49" s="635">
        <v>1.2059024380849319</v>
      </c>
      <c r="R49" s="635">
        <v>0.94431770550329652</v>
      </c>
      <c r="S49" s="682"/>
      <c r="T49" s="632" t="s">
        <v>826</v>
      </c>
      <c r="U49" s="632"/>
      <c r="V49" s="610"/>
      <c r="W49" s="743" t="s">
        <v>690</v>
      </c>
      <c r="X49" s="610" t="s">
        <v>1133</v>
      </c>
      <c r="Y49" s="735" t="s">
        <v>1038</v>
      </c>
      <c r="Z49" s="741" t="s">
        <v>425</v>
      </c>
      <c r="AA49" s="633" t="s">
        <v>601</v>
      </c>
      <c r="AB49" s="610">
        <v>32</v>
      </c>
      <c r="AC49" s="610"/>
    </row>
    <row r="50" spans="1:29" ht="15" customHeight="1">
      <c r="A50" s="663" t="s">
        <v>827</v>
      </c>
      <c r="B50" s="682">
        <v>22315.09665677973</v>
      </c>
      <c r="C50" s="682">
        <v>37734.88693597183</v>
      </c>
      <c r="D50" s="682">
        <v>37514.019493541644</v>
      </c>
      <c r="E50" s="628">
        <v>630</v>
      </c>
      <c r="F50" s="561">
        <v>4</v>
      </c>
      <c r="G50" s="629">
        <v>2150.220143588228</v>
      </c>
      <c r="H50" s="623">
        <v>383</v>
      </c>
      <c r="I50" s="629">
        <v>375</v>
      </c>
      <c r="J50" s="629">
        <v>850</v>
      </c>
      <c r="K50" s="630">
        <v>0.73566485869837517</v>
      </c>
      <c r="L50" s="817">
        <v>7.8126978831496025E-2</v>
      </c>
      <c r="M50" s="631">
        <v>1.1170107212763709</v>
      </c>
      <c r="N50" s="631">
        <v>6.2831853071795862</v>
      </c>
      <c r="O50" s="631">
        <v>0.83172032075131053</v>
      </c>
      <c r="P50" s="635">
        <v>1.8948149274626984</v>
      </c>
      <c r="Q50" s="635">
        <v>1.2059024380849317</v>
      </c>
      <c r="R50" s="635">
        <v>0.9443177055032963</v>
      </c>
      <c r="S50" s="682"/>
      <c r="T50" s="632" t="s">
        <v>827</v>
      </c>
      <c r="U50" s="632"/>
      <c r="V50" s="610"/>
      <c r="W50" s="743" t="s">
        <v>690</v>
      </c>
      <c r="X50" s="610" t="s">
        <v>1134</v>
      </c>
      <c r="Y50" s="735" t="s">
        <v>1039</v>
      </c>
      <c r="Z50" s="636" t="s">
        <v>426</v>
      </c>
      <c r="AA50" s="633" t="s">
        <v>602</v>
      </c>
      <c r="AB50" s="610">
        <v>33</v>
      </c>
      <c r="AC50" s="610"/>
    </row>
    <row r="51" spans="1:29" ht="15" customHeight="1">
      <c r="A51" s="663" t="s">
        <v>828</v>
      </c>
      <c r="B51" s="682">
        <v>23764.24974856255</v>
      </c>
      <c r="C51" s="682">
        <v>39453.896292128949</v>
      </c>
      <c r="D51" s="682">
        <v>39236.228849698768</v>
      </c>
      <c r="E51" s="628">
        <v>750</v>
      </c>
      <c r="F51" s="561">
        <v>4</v>
      </c>
      <c r="G51" s="629">
        <v>2150.2201435882284</v>
      </c>
      <c r="H51" s="623">
        <v>533</v>
      </c>
      <c r="I51" s="629">
        <v>525</v>
      </c>
      <c r="J51" s="629">
        <v>850</v>
      </c>
      <c r="K51" s="630">
        <v>0.73566485869837517</v>
      </c>
      <c r="L51" s="817">
        <v>7.8126978831496052E-2</v>
      </c>
      <c r="M51" s="631">
        <v>1.1170107212763709</v>
      </c>
      <c r="N51" s="631">
        <v>6.2831853071795862</v>
      </c>
      <c r="O51" s="631">
        <v>0.83172032075131053</v>
      </c>
      <c r="P51" s="635">
        <v>1.8948149274626984</v>
      </c>
      <c r="Q51" s="635">
        <v>1.2059024380849319</v>
      </c>
      <c r="R51" s="635">
        <v>0.94431770550329652</v>
      </c>
      <c r="S51" s="682"/>
      <c r="T51" s="632" t="s">
        <v>828</v>
      </c>
      <c r="U51" s="632"/>
      <c r="V51" s="610"/>
      <c r="W51" s="743" t="s">
        <v>690</v>
      </c>
      <c r="X51" s="610" t="s">
        <v>1135</v>
      </c>
      <c r="Y51" s="735" t="s">
        <v>1040</v>
      </c>
      <c r="Z51" s="636" t="s">
        <v>427</v>
      </c>
      <c r="AA51" s="633" t="s">
        <v>603</v>
      </c>
      <c r="AB51" s="610">
        <v>34</v>
      </c>
      <c r="AC51" s="610"/>
    </row>
    <row r="52" spans="1:29" ht="15" customHeight="1">
      <c r="A52" s="663" t="s">
        <v>829</v>
      </c>
      <c r="B52" s="682">
        <v>27527.019228520563</v>
      </c>
      <c r="C52" s="682">
        <v>43770.633761559155</v>
      </c>
      <c r="D52" s="682">
        <v>43554.399311534653</v>
      </c>
      <c r="E52" s="628">
        <v>950</v>
      </c>
      <c r="F52" s="561">
        <v>4</v>
      </c>
      <c r="G52" s="629">
        <v>2150.2201435882284</v>
      </c>
      <c r="H52" s="623">
        <v>833</v>
      </c>
      <c r="I52" s="629">
        <v>825</v>
      </c>
      <c r="J52" s="629">
        <v>850</v>
      </c>
      <c r="K52" s="630">
        <v>0.73566485869837517</v>
      </c>
      <c r="L52" s="817">
        <v>7.8126978831496038E-2</v>
      </c>
      <c r="M52" s="631">
        <v>1.1170107212763709</v>
      </c>
      <c r="N52" s="631">
        <v>6.2831853071795862</v>
      </c>
      <c r="O52" s="631">
        <v>0.83172032075131053</v>
      </c>
      <c r="P52" s="635">
        <v>1.8948149274626984</v>
      </c>
      <c r="Q52" s="635">
        <v>1.2059024380849319</v>
      </c>
      <c r="R52" s="635">
        <v>0.94431770550329652</v>
      </c>
      <c r="S52" s="682"/>
      <c r="T52" s="632" t="s">
        <v>829</v>
      </c>
      <c r="U52" s="632"/>
      <c r="V52" s="610"/>
      <c r="W52" s="743" t="s">
        <v>690</v>
      </c>
      <c r="X52" s="610" t="s">
        <v>1136</v>
      </c>
      <c r="Y52" s="735" t="s">
        <v>1041</v>
      </c>
      <c r="Z52" s="636" t="s">
        <v>428</v>
      </c>
      <c r="AA52" s="633" t="s">
        <v>604</v>
      </c>
      <c r="AB52" s="610">
        <v>35</v>
      </c>
      <c r="AC52" s="610"/>
    </row>
    <row r="53" spans="1:29" ht="15" customHeight="1">
      <c r="A53" s="663" t="s">
        <v>830</v>
      </c>
      <c r="B53" s="682">
        <v>27884.076794520675</v>
      </c>
      <c r="C53" s="682">
        <v>44114.850108050116</v>
      </c>
      <c r="D53" s="682">
        <v>43901.515658025608</v>
      </c>
      <c r="E53" s="628">
        <v>950</v>
      </c>
      <c r="F53" s="561">
        <v>4</v>
      </c>
      <c r="G53" s="629">
        <v>2150.2201435882284</v>
      </c>
      <c r="H53" s="623">
        <v>833</v>
      </c>
      <c r="I53" s="629">
        <v>825</v>
      </c>
      <c r="J53" s="629">
        <v>850</v>
      </c>
      <c r="K53" s="630">
        <v>0.73566485869837517</v>
      </c>
      <c r="L53" s="817">
        <v>7.8126978831496038E-2</v>
      </c>
      <c r="M53" s="631">
        <v>1.1170107212763709</v>
      </c>
      <c r="N53" s="631">
        <v>6.2831853071795862</v>
      </c>
      <c r="O53" s="631">
        <v>0.83172032075131053</v>
      </c>
      <c r="P53" s="635">
        <v>1.8948149274626984</v>
      </c>
      <c r="Q53" s="635">
        <v>1.2059024380849319</v>
      </c>
      <c r="R53" s="635">
        <v>0.94431770550329652</v>
      </c>
      <c r="S53" s="682"/>
      <c r="T53" s="632" t="s">
        <v>830</v>
      </c>
      <c r="U53" s="632"/>
      <c r="V53" s="610"/>
      <c r="W53" s="743" t="s">
        <v>690</v>
      </c>
      <c r="X53" s="610" t="s">
        <v>1136</v>
      </c>
      <c r="Y53" s="735" t="s">
        <v>1041</v>
      </c>
      <c r="Z53" s="636" t="s">
        <v>429</v>
      </c>
      <c r="AA53" s="633" t="s">
        <v>605</v>
      </c>
      <c r="AB53" s="610">
        <v>36</v>
      </c>
      <c r="AC53" s="610"/>
    </row>
    <row r="54" spans="1:29" ht="15" customHeight="1">
      <c r="A54" s="663" t="s">
        <v>831</v>
      </c>
      <c r="B54" s="682">
        <v>28099.759588038283</v>
      </c>
      <c r="C54" s="682">
        <v>44161.306110169462</v>
      </c>
      <c r="D54" s="682">
        <v>43949.104652550646</v>
      </c>
      <c r="E54" s="628">
        <v>900</v>
      </c>
      <c r="F54" s="561">
        <v>4</v>
      </c>
      <c r="G54" s="629">
        <v>2150.220143588228</v>
      </c>
      <c r="H54" s="623">
        <v>758</v>
      </c>
      <c r="I54" s="629">
        <v>750</v>
      </c>
      <c r="J54" s="629">
        <v>850</v>
      </c>
      <c r="K54" s="630">
        <v>0.73566485869837517</v>
      </c>
      <c r="L54" s="817">
        <v>7.8126978831496025E-2</v>
      </c>
      <c r="M54" s="631">
        <v>1.1170107212763709</v>
      </c>
      <c r="N54" s="631">
        <v>6.2831853071795862</v>
      </c>
      <c r="O54" s="631">
        <v>0.83172032075131053</v>
      </c>
      <c r="P54" s="635">
        <v>1.8948149274626984</v>
      </c>
      <c r="Q54" s="635">
        <v>1.2059024380849317</v>
      </c>
      <c r="R54" s="635">
        <v>0.9443177055032963</v>
      </c>
      <c r="S54" s="682"/>
      <c r="T54" s="632" t="s">
        <v>831</v>
      </c>
      <c r="U54" s="632"/>
      <c r="V54" s="610"/>
      <c r="W54" s="743" t="s">
        <v>690</v>
      </c>
      <c r="X54" s="610" t="s">
        <v>1137</v>
      </c>
      <c r="Y54" s="735" t="s">
        <v>1042</v>
      </c>
      <c r="Z54" s="636" t="s">
        <v>430</v>
      </c>
      <c r="AA54" s="633" t="s">
        <v>606</v>
      </c>
      <c r="AB54" s="610">
        <v>37</v>
      </c>
      <c r="AC54" s="610"/>
    </row>
    <row r="55" spans="1:29" ht="15" customHeight="1">
      <c r="A55" s="663" t="s">
        <v>832</v>
      </c>
      <c r="B55" s="682">
        <v>26581.905445174834</v>
      </c>
      <c r="C55" s="682">
        <v>44448.229750648206</v>
      </c>
      <c r="D55" s="682">
        <v>44209.283290579609</v>
      </c>
      <c r="E55" s="628">
        <v>600</v>
      </c>
      <c r="F55" s="561">
        <v>4</v>
      </c>
      <c r="G55" s="629">
        <v>2399.0881935315097</v>
      </c>
      <c r="H55" s="623">
        <v>308</v>
      </c>
      <c r="I55" s="629">
        <v>300</v>
      </c>
      <c r="J55" s="629">
        <v>950</v>
      </c>
      <c r="K55" s="630">
        <v>0.83636937536254774</v>
      </c>
      <c r="L55" s="817">
        <v>7.4373665821982848E-2</v>
      </c>
      <c r="M55" s="631">
        <v>1.1344640137963142</v>
      </c>
      <c r="N55" s="631">
        <v>6.2831853071795862</v>
      </c>
      <c r="O55" s="631">
        <v>0.94001537653403078</v>
      </c>
      <c r="P55" s="635">
        <v>2.1274470490412378</v>
      </c>
      <c r="Q55" s="635">
        <v>1.3385826181840366</v>
      </c>
      <c r="R55" s="635">
        <v>1.0605055753474733</v>
      </c>
      <c r="S55" s="682"/>
      <c r="T55" s="632" t="s">
        <v>832</v>
      </c>
      <c r="U55" s="632"/>
      <c r="V55" s="610"/>
      <c r="W55" s="743" t="s">
        <v>690</v>
      </c>
      <c r="X55" s="610" t="s">
        <v>1138</v>
      </c>
      <c r="Y55" s="735" t="s">
        <v>1043</v>
      </c>
      <c r="Z55" s="636" t="s">
        <v>431</v>
      </c>
      <c r="AA55" s="633" t="s">
        <v>607</v>
      </c>
      <c r="AB55" s="610">
        <v>38</v>
      </c>
      <c r="AC55" s="610"/>
    </row>
    <row r="56" spans="1:29" ht="15" customHeight="1">
      <c r="A56" s="663" t="s">
        <v>833</v>
      </c>
      <c r="B56" s="682">
        <v>29282.762341773621</v>
      </c>
      <c r="C56" s="682">
        <v>47545.674661071032</v>
      </c>
      <c r="D56" s="682">
        <v>47308.661193408116</v>
      </c>
      <c r="E56" s="628">
        <v>750</v>
      </c>
      <c r="F56" s="561">
        <v>4</v>
      </c>
      <c r="G56" s="629">
        <v>2399.0881935315097</v>
      </c>
      <c r="H56" s="623">
        <v>483</v>
      </c>
      <c r="I56" s="629">
        <v>475</v>
      </c>
      <c r="J56" s="629">
        <v>950</v>
      </c>
      <c r="K56" s="630">
        <v>0.83636937536254774</v>
      </c>
      <c r="L56" s="817">
        <v>7.4373665821982848E-2</v>
      </c>
      <c r="M56" s="631">
        <v>1.1344640137963142</v>
      </c>
      <c r="N56" s="631">
        <v>6.2831853071795862</v>
      </c>
      <c r="O56" s="631">
        <v>0.94001537653403078</v>
      </c>
      <c r="P56" s="635">
        <v>2.1274470490412378</v>
      </c>
      <c r="Q56" s="635">
        <v>1.3385826181840366</v>
      </c>
      <c r="R56" s="635">
        <v>1.0605055753474733</v>
      </c>
      <c r="S56" s="682"/>
      <c r="T56" s="632" t="s">
        <v>833</v>
      </c>
      <c r="U56" s="632"/>
      <c r="V56" s="610"/>
      <c r="W56" s="743" t="s">
        <v>690</v>
      </c>
      <c r="X56" s="610" t="s">
        <v>1139</v>
      </c>
      <c r="Y56" s="735" t="s">
        <v>1044</v>
      </c>
      <c r="Z56" s="636" t="s">
        <v>432</v>
      </c>
      <c r="AA56" s="633" t="s">
        <v>608</v>
      </c>
      <c r="AB56" s="610">
        <v>39</v>
      </c>
      <c r="AC56" s="610"/>
    </row>
    <row r="57" spans="1:29" ht="15" customHeight="1">
      <c r="A57" s="663" t="s">
        <v>834</v>
      </c>
      <c r="B57" s="682">
        <v>31958.56172797714</v>
      </c>
      <c r="C57" s="682">
        <v>50627.414407025739</v>
      </c>
      <c r="D57" s="682">
        <v>50393.500939362828</v>
      </c>
      <c r="E57" s="628">
        <v>900</v>
      </c>
      <c r="F57" s="561">
        <v>4</v>
      </c>
      <c r="G57" s="629">
        <v>2399.0881935315097</v>
      </c>
      <c r="H57" s="623">
        <v>683</v>
      </c>
      <c r="I57" s="629">
        <v>675</v>
      </c>
      <c r="J57" s="629">
        <v>950</v>
      </c>
      <c r="K57" s="630">
        <v>0.83636937536254774</v>
      </c>
      <c r="L57" s="817">
        <v>7.4373665821982834E-2</v>
      </c>
      <c r="M57" s="631">
        <v>1.1344640137963142</v>
      </c>
      <c r="N57" s="631">
        <v>6.2831853071795862</v>
      </c>
      <c r="O57" s="631">
        <v>0.94001537653403078</v>
      </c>
      <c r="P57" s="635">
        <v>2.1274470490412378</v>
      </c>
      <c r="Q57" s="635">
        <v>1.3385826181840366</v>
      </c>
      <c r="R57" s="635">
        <v>1.0605055753474733</v>
      </c>
      <c r="S57" s="682"/>
      <c r="T57" s="632" t="s">
        <v>834</v>
      </c>
      <c r="U57" s="632"/>
      <c r="V57" s="610"/>
      <c r="W57" s="743" t="s">
        <v>690</v>
      </c>
      <c r="X57" s="610" t="s">
        <v>1140</v>
      </c>
      <c r="Y57" s="735" t="s">
        <v>1045</v>
      </c>
      <c r="Z57" s="636" t="s">
        <v>433</v>
      </c>
      <c r="AA57" s="633" t="s">
        <v>609</v>
      </c>
      <c r="AB57" s="610">
        <v>40</v>
      </c>
      <c r="AC57" s="610"/>
    </row>
    <row r="58" spans="1:29" ht="15" customHeight="1">
      <c r="A58" s="663" t="s">
        <v>835</v>
      </c>
      <c r="B58" s="682">
        <v>36472.461091080091</v>
      </c>
      <c r="C58" s="682">
        <v>55701.015123359313</v>
      </c>
      <c r="D58" s="682">
        <v>55468.23464810208</v>
      </c>
      <c r="E58" s="628">
        <v>1100</v>
      </c>
      <c r="F58" s="561">
        <v>4</v>
      </c>
      <c r="G58" s="629">
        <v>2417.1898665284161</v>
      </c>
      <c r="H58" s="623">
        <v>933</v>
      </c>
      <c r="I58" s="629">
        <v>925</v>
      </c>
      <c r="J58" s="629">
        <v>1025</v>
      </c>
      <c r="K58" s="630">
        <v>0.82859187541575252</v>
      </c>
      <c r="L58" s="817">
        <v>7.7820020477869262E-2</v>
      </c>
      <c r="M58" s="631">
        <v>1.2042771838760873</v>
      </c>
      <c r="N58" s="631">
        <v>6.2831853071795862</v>
      </c>
      <c r="O58" s="631">
        <v>0.93632920250404428</v>
      </c>
      <c r="P58" s="635">
        <v>2.1319800177126105</v>
      </c>
      <c r="Q58" s="635">
        <v>1.3551148340862234</v>
      </c>
      <c r="R58" s="635">
        <v>1.0620750324421928</v>
      </c>
      <c r="S58" s="682"/>
      <c r="T58" s="632" t="s">
        <v>835</v>
      </c>
      <c r="U58" s="632"/>
      <c r="V58" s="610"/>
      <c r="W58" s="743" t="s">
        <v>690</v>
      </c>
      <c r="X58" s="610" t="s">
        <v>1141</v>
      </c>
      <c r="Y58" s="735" t="s">
        <v>1046</v>
      </c>
      <c r="Z58" s="636" t="s">
        <v>434</v>
      </c>
      <c r="AA58" s="633" t="s">
        <v>610</v>
      </c>
      <c r="AB58" s="610">
        <v>41</v>
      </c>
      <c r="AC58" s="610"/>
    </row>
    <row r="59" spans="1:29" ht="15" customHeight="1">
      <c r="A59" s="663" t="s">
        <v>836</v>
      </c>
      <c r="B59" s="682">
        <v>35906.620758680918</v>
      </c>
      <c r="C59" s="682">
        <v>54789.887761712213</v>
      </c>
      <c r="D59" s="682">
        <v>54579.473271266346</v>
      </c>
      <c r="E59" s="628">
        <v>1000</v>
      </c>
      <c r="F59" s="561">
        <v>4</v>
      </c>
      <c r="G59" s="629">
        <v>2399.0881935315097</v>
      </c>
      <c r="H59" s="623">
        <v>833</v>
      </c>
      <c r="I59" s="629">
        <v>825</v>
      </c>
      <c r="J59" s="629">
        <v>950</v>
      </c>
      <c r="K59" s="630">
        <v>0.83636937536254774</v>
      </c>
      <c r="L59" s="817">
        <v>7.4373665821982848E-2</v>
      </c>
      <c r="M59" s="631">
        <v>1.1344640137963142</v>
      </c>
      <c r="N59" s="631">
        <v>6.2831853071795862</v>
      </c>
      <c r="O59" s="631">
        <v>0.94001537653403078</v>
      </c>
      <c r="P59" s="635">
        <v>2.1274470490412378</v>
      </c>
      <c r="Q59" s="635">
        <v>1.3385826181840366</v>
      </c>
      <c r="R59" s="635">
        <v>1.0605055753474733</v>
      </c>
      <c r="S59" s="682"/>
      <c r="T59" s="632" t="s">
        <v>836</v>
      </c>
      <c r="U59" s="632"/>
      <c r="V59" s="610"/>
      <c r="W59" s="743" t="s">
        <v>690</v>
      </c>
      <c r="X59" s="610" t="s">
        <v>1142</v>
      </c>
      <c r="Y59" s="735" t="s">
        <v>1047</v>
      </c>
      <c r="Z59" s="636" t="s">
        <v>435</v>
      </c>
      <c r="AA59" s="633" t="s">
        <v>611</v>
      </c>
      <c r="AB59" s="610">
        <v>42</v>
      </c>
      <c r="AC59" s="610"/>
    </row>
    <row r="60" spans="1:29" ht="15" customHeight="1">
      <c r="A60" s="663" t="s">
        <v>837</v>
      </c>
      <c r="B60" s="682">
        <v>40500.508648090617</v>
      </c>
      <c r="C60" s="682">
        <v>62902.042587265365</v>
      </c>
      <c r="D60" s="682">
        <v>62686.305858945918</v>
      </c>
      <c r="E60" s="628">
        <v>700</v>
      </c>
      <c r="F60" s="561">
        <v>5</v>
      </c>
      <c r="G60" s="629">
        <v>2793.9877065270625</v>
      </c>
      <c r="H60" s="623">
        <v>360</v>
      </c>
      <c r="I60" s="629">
        <v>350</v>
      </c>
      <c r="J60" s="629">
        <v>1125</v>
      </c>
      <c r="K60" s="630">
        <v>0.95050964215147715</v>
      </c>
      <c r="L60" s="817">
        <v>7.9312948555555277E-2</v>
      </c>
      <c r="M60" s="631">
        <v>1.1344640137963142</v>
      </c>
      <c r="N60" s="631">
        <v>6.2831853071795862</v>
      </c>
      <c r="O60" s="631">
        <v>1.0766210889730672</v>
      </c>
      <c r="P60" s="635">
        <v>2.4578815943585397</v>
      </c>
      <c r="Q60" s="635">
        <v>1.5695229922103275</v>
      </c>
      <c r="R60" s="635">
        <v>1.2244647143167351</v>
      </c>
      <c r="S60" s="682"/>
      <c r="T60" s="632" t="s">
        <v>837</v>
      </c>
      <c r="U60" s="632"/>
      <c r="V60" s="610"/>
      <c r="W60" s="743" t="s">
        <v>690</v>
      </c>
      <c r="X60" s="610" t="s">
        <v>1143</v>
      </c>
      <c r="Y60" s="735" t="s">
        <v>1048</v>
      </c>
      <c r="Z60" s="636" t="s">
        <v>436</v>
      </c>
      <c r="AA60" s="633" t="s">
        <v>612</v>
      </c>
      <c r="AB60" s="610">
        <v>43</v>
      </c>
      <c r="AC60" s="610"/>
    </row>
    <row r="61" spans="1:29" ht="15" customHeight="1">
      <c r="A61" s="663" t="s">
        <v>838</v>
      </c>
      <c r="B61" s="682">
        <v>43512.905583610205</v>
      </c>
      <c r="C61" s="682">
        <v>66223.306502088613</v>
      </c>
      <c r="D61" s="682">
        <v>65989.036781363495</v>
      </c>
      <c r="E61" s="628">
        <v>800</v>
      </c>
      <c r="F61" s="561">
        <v>5</v>
      </c>
      <c r="G61" s="629">
        <v>2793.9877065270625</v>
      </c>
      <c r="H61" s="623">
        <v>460</v>
      </c>
      <c r="I61" s="629">
        <v>450</v>
      </c>
      <c r="J61" s="629">
        <v>1125</v>
      </c>
      <c r="K61" s="630">
        <v>0.95050964215147715</v>
      </c>
      <c r="L61" s="817">
        <v>7.9312948555555277E-2</v>
      </c>
      <c r="M61" s="631">
        <v>1.1344640137963142</v>
      </c>
      <c r="N61" s="631">
        <v>6.2831853071795862</v>
      </c>
      <c r="O61" s="631">
        <v>1.0766210889730672</v>
      </c>
      <c r="P61" s="635">
        <v>2.4578815943585397</v>
      </c>
      <c r="Q61" s="635">
        <v>1.5695229922103275</v>
      </c>
      <c r="R61" s="635">
        <v>1.2244647143167351</v>
      </c>
      <c r="S61" s="682"/>
      <c r="T61" s="632" t="s">
        <v>838</v>
      </c>
      <c r="U61" s="632"/>
      <c r="V61" s="610"/>
      <c r="W61" s="743" t="s">
        <v>690</v>
      </c>
      <c r="X61" s="610" t="s">
        <v>1144</v>
      </c>
      <c r="Y61" s="735" t="s">
        <v>1049</v>
      </c>
      <c r="Z61" s="636" t="s">
        <v>437</v>
      </c>
      <c r="AA61" s="633" t="s">
        <v>613</v>
      </c>
      <c r="AB61" s="610">
        <v>44</v>
      </c>
      <c r="AC61" s="610"/>
    </row>
    <row r="62" spans="1:29" ht="15" customHeight="1">
      <c r="A62" s="663" t="s">
        <v>839</v>
      </c>
      <c r="B62" s="682">
        <v>47157.181694818857</v>
      </c>
      <c r="C62" s="682">
        <v>70431.452714339393</v>
      </c>
      <c r="D62" s="682">
        <v>70178.250001208566</v>
      </c>
      <c r="E62" s="628">
        <v>950</v>
      </c>
      <c r="F62" s="561">
        <v>5</v>
      </c>
      <c r="G62" s="629">
        <v>2793.9877065270625</v>
      </c>
      <c r="H62" s="623">
        <v>640</v>
      </c>
      <c r="I62" s="629">
        <v>630</v>
      </c>
      <c r="J62" s="629">
        <v>1125</v>
      </c>
      <c r="K62" s="630">
        <v>0.95050964215147715</v>
      </c>
      <c r="L62" s="817">
        <v>7.9312948555555277E-2</v>
      </c>
      <c r="M62" s="631">
        <v>1.1344640137963142</v>
      </c>
      <c r="N62" s="631">
        <v>6.2831853071795862</v>
      </c>
      <c r="O62" s="631">
        <v>1.0766210889730672</v>
      </c>
      <c r="P62" s="635">
        <v>2.4578815943585397</v>
      </c>
      <c r="Q62" s="635">
        <v>1.5695229922103275</v>
      </c>
      <c r="R62" s="635">
        <v>1.2244647143167351</v>
      </c>
      <c r="S62" s="682"/>
      <c r="T62" s="632" t="s">
        <v>839</v>
      </c>
      <c r="U62" s="632"/>
      <c r="V62" s="610"/>
      <c r="W62" s="743" t="s">
        <v>690</v>
      </c>
      <c r="X62" s="610" t="s">
        <v>1145</v>
      </c>
      <c r="Y62" s="735" t="s">
        <v>1050</v>
      </c>
      <c r="Z62" s="636" t="s">
        <v>438</v>
      </c>
      <c r="AA62" s="633" t="s">
        <v>614</v>
      </c>
      <c r="AB62" s="610">
        <v>45</v>
      </c>
      <c r="AC62" s="610"/>
    </row>
    <row r="63" spans="1:29" ht="15" customHeight="1">
      <c r="A63" s="663" t="s">
        <v>840</v>
      </c>
      <c r="B63" s="682">
        <v>51856.101296090055</v>
      </c>
      <c r="C63" s="682">
        <v>75899.644041991007</v>
      </c>
      <c r="D63" s="682">
        <v>75625.341328860188</v>
      </c>
      <c r="E63" s="628">
        <v>1100</v>
      </c>
      <c r="F63" s="561">
        <v>5</v>
      </c>
      <c r="G63" s="629">
        <v>2793.9877065270625</v>
      </c>
      <c r="H63" s="623">
        <v>860</v>
      </c>
      <c r="I63" s="629">
        <v>850</v>
      </c>
      <c r="J63" s="629">
        <v>1125</v>
      </c>
      <c r="K63" s="630">
        <v>0.95050964215147715</v>
      </c>
      <c r="L63" s="817">
        <v>7.9312948555555277E-2</v>
      </c>
      <c r="M63" s="631">
        <v>1.1344640137963142</v>
      </c>
      <c r="N63" s="631">
        <v>6.2831853071795862</v>
      </c>
      <c r="O63" s="631">
        <v>1.0766210889730672</v>
      </c>
      <c r="P63" s="635">
        <v>2.4578815943585397</v>
      </c>
      <c r="Q63" s="635">
        <v>1.5695229922103275</v>
      </c>
      <c r="R63" s="635">
        <v>1.2244647143167351</v>
      </c>
      <c r="S63" s="682"/>
      <c r="T63" s="632" t="s">
        <v>840</v>
      </c>
      <c r="U63" s="632"/>
      <c r="V63" s="610"/>
      <c r="W63" s="743" t="s">
        <v>690</v>
      </c>
      <c r="X63" s="610" t="s">
        <v>1146</v>
      </c>
      <c r="Y63" s="735" t="s">
        <v>1051</v>
      </c>
      <c r="Z63" s="636" t="s">
        <v>439</v>
      </c>
      <c r="AA63" s="633" t="s">
        <v>615</v>
      </c>
      <c r="AB63" s="610">
        <v>46</v>
      </c>
      <c r="AC63" s="610"/>
    </row>
    <row r="64" spans="1:29" ht="15" customHeight="1">
      <c r="A64" s="663" t="s">
        <v>841</v>
      </c>
      <c r="B64" s="682">
        <v>54891.877470190964</v>
      </c>
      <c r="C64" s="682">
        <v>79398.508514085595</v>
      </c>
      <c r="D64" s="682">
        <v>79102.605800954771</v>
      </c>
      <c r="E64" s="628">
        <v>1200</v>
      </c>
      <c r="F64" s="561">
        <v>5</v>
      </c>
      <c r="G64" s="629">
        <v>2793.9877065270625</v>
      </c>
      <c r="H64" s="623">
        <v>1010</v>
      </c>
      <c r="I64" s="629">
        <v>1000</v>
      </c>
      <c r="J64" s="629">
        <v>1125</v>
      </c>
      <c r="K64" s="630">
        <v>0.95050964215147715</v>
      </c>
      <c r="L64" s="817">
        <v>7.9312948555555277E-2</v>
      </c>
      <c r="M64" s="631">
        <v>1.1344640137963142</v>
      </c>
      <c r="N64" s="631">
        <v>6.2831853071795862</v>
      </c>
      <c r="O64" s="631">
        <v>1.0766210889730672</v>
      </c>
      <c r="P64" s="635">
        <v>2.4578815943585397</v>
      </c>
      <c r="Q64" s="635">
        <v>1.5695229922103275</v>
      </c>
      <c r="R64" s="635">
        <v>1.2244647143167351</v>
      </c>
      <c r="S64" s="682"/>
      <c r="T64" s="632" t="s">
        <v>841</v>
      </c>
      <c r="U64" s="632"/>
      <c r="V64" s="610"/>
      <c r="W64" s="743" t="s">
        <v>690</v>
      </c>
      <c r="X64" s="610" t="s">
        <v>1147</v>
      </c>
      <c r="Y64" s="735" t="s">
        <v>1052</v>
      </c>
      <c r="Z64" s="636" t="s">
        <v>440</v>
      </c>
      <c r="AA64" s="633" t="s">
        <v>616</v>
      </c>
      <c r="AB64" s="610">
        <v>47</v>
      </c>
      <c r="AC64" s="610"/>
    </row>
    <row r="65" spans="1:29" ht="15" customHeight="1">
      <c r="A65" s="663" t="s">
        <v>842</v>
      </c>
      <c r="B65" s="682">
        <v>56396.85247070052</v>
      </c>
      <c r="C65" s="682">
        <v>80765.388633936076</v>
      </c>
      <c r="D65" s="682">
        <v>80448.852928399559</v>
      </c>
      <c r="E65" s="628">
        <v>1200</v>
      </c>
      <c r="F65" s="561">
        <v>5</v>
      </c>
      <c r="G65" s="629">
        <v>2793.9877065270625</v>
      </c>
      <c r="H65" s="623">
        <v>1010</v>
      </c>
      <c r="I65" s="629">
        <v>1000</v>
      </c>
      <c r="J65" s="629">
        <v>1125</v>
      </c>
      <c r="K65" s="630">
        <v>0.95050964215147715</v>
      </c>
      <c r="L65" s="817">
        <v>7.9312948555555277E-2</v>
      </c>
      <c r="M65" s="631">
        <v>1.1344640137963142</v>
      </c>
      <c r="N65" s="631">
        <v>6.2831853071795862</v>
      </c>
      <c r="O65" s="631">
        <v>1.0766210889730672</v>
      </c>
      <c r="P65" s="635">
        <v>2.4578815943585397</v>
      </c>
      <c r="Q65" s="635">
        <v>1.5695229922103275</v>
      </c>
      <c r="R65" s="635">
        <v>1.2244647143167351</v>
      </c>
      <c r="S65" s="682"/>
      <c r="T65" s="632" t="s">
        <v>842</v>
      </c>
      <c r="U65" s="632"/>
      <c r="V65" s="610"/>
      <c r="W65" s="743" t="s">
        <v>690</v>
      </c>
      <c r="X65" s="610" t="s">
        <v>1147</v>
      </c>
      <c r="Y65" s="735" t="s">
        <v>1052</v>
      </c>
      <c r="Z65" s="636" t="s">
        <v>441</v>
      </c>
      <c r="AA65" s="633" t="s">
        <v>617</v>
      </c>
      <c r="AB65" s="610">
        <v>48</v>
      </c>
      <c r="AC65" s="610"/>
    </row>
    <row r="66" spans="1:29" ht="15" customHeight="1">
      <c r="A66" s="663" t="s">
        <v>843</v>
      </c>
      <c r="B66" s="682">
        <v>53330.248908212052</v>
      </c>
      <c r="C66" s="682">
        <v>79743.573843408754</v>
      </c>
      <c r="D66" s="682">
        <v>79363.083930375942</v>
      </c>
      <c r="E66" s="628">
        <v>850</v>
      </c>
      <c r="F66" s="561">
        <v>5</v>
      </c>
      <c r="G66" s="629">
        <v>3088.9291369814141</v>
      </c>
      <c r="H66" s="623">
        <v>485</v>
      </c>
      <c r="I66" s="629">
        <v>475</v>
      </c>
      <c r="J66" s="629">
        <v>1225</v>
      </c>
      <c r="K66" s="630">
        <v>1.0748395215140718</v>
      </c>
      <c r="L66" s="817">
        <v>7.4777498144136437E-2</v>
      </c>
      <c r="M66" s="631">
        <v>1.1344640137963142</v>
      </c>
      <c r="N66" s="631">
        <v>6.2831853071795862</v>
      </c>
      <c r="O66" s="631">
        <v>1.2088041770866345</v>
      </c>
      <c r="P66" s="635">
        <v>2.7377095340163251</v>
      </c>
      <c r="Q66" s="635">
        <v>1.7244633662366182</v>
      </c>
      <c r="R66" s="635">
        <v>1.3644657707447958</v>
      </c>
      <c r="S66" s="682"/>
      <c r="T66" s="632" t="s">
        <v>843</v>
      </c>
      <c r="U66" s="632"/>
      <c r="V66" s="610"/>
      <c r="W66" s="743" t="s">
        <v>690</v>
      </c>
      <c r="X66" s="610" t="s">
        <v>1148</v>
      </c>
      <c r="Y66" s="735" t="s">
        <v>1053</v>
      </c>
      <c r="Z66" s="636" t="s">
        <v>442</v>
      </c>
      <c r="AA66" s="633" t="s">
        <v>618</v>
      </c>
      <c r="AB66" s="610">
        <v>49</v>
      </c>
      <c r="AC66" s="610"/>
    </row>
    <row r="67" spans="1:29" ht="15" customHeight="1">
      <c r="A67" s="663" t="s">
        <v>844</v>
      </c>
      <c r="B67" s="682">
        <v>56652.763106608429</v>
      </c>
      <c r="C67" s="682">
        <v>83714.040256520486</v>
      </c>
      <c r="D67" s="682">
        <v>83332.850343487677</v>
      </c>
      <c r="E67" s="628">
        <v>950</v>
      </c>
      <c r="F67" s="561">
        <v>5</v>
      </c>
      <c r="G67" s="629">
        <v>3088.9291369814141</v>
      </c>
      <c r="H67" s="623">
        <v>585</v>
      </c>
      <c r="I67" s="629">
        <v>575</v>
      </c>
      <c r="J67" s="629">
        <v>1225</v>
      </c>
      <c r="K67" s="630">
        <v>1.0748395215140718</v>
      </c>
      <c r="L67" s="817">
        <v>7.4777498144136423E-2</v>
      </c>
      <c r="M67" s="631">
        <v>1.1344640137963142</v>
      </c>
      <c r="N67" s="631">
        <v>6.2831853071795862</v>
      </c>
      <c r="O67" s="631">
        <v>1.2088041770866345</v>
      </c>
      <c r="P67" s="635">
        <v>2.7377095340163251</v>
      </c>
      <c r="Q67" s="635">
        <v>1.7244633662366182</v>
      </c>
      <c r="R67" s="635">
        <v>1.3644657707447958</v>
      </c>
      <c r="S67" s="682"/>
      <c r="T67" s="632" t="s">
        <v>844</v>
      </c>
      <c r="U67" s="632"/>
      <c r="V67" s="610"/>
      <c r="W67" s="743" t="s">
        <v>690</v>
      </c>
      <c r="X67" s="610" t="s">
        <v>1149</v>
      </c>
      <c r="Y67" s="735" t="s">
        <v>1054</v>
      </c>
      <c r="Z67" s="636" t="s">
        <v>443</v>
      </c>
      <c r="AA67" s="633" t="s">
        <v>619</v>
      </c>
      <c r="AB67" s="610">
        <v>50</v>
      </c>
      <c r="AC67" s="610"/>
    </row>
    <row r="68" spans="1:29" ht="15" customHeight="1">
      <c r="A68" s="663" t="s">
        <v>845</v>
      </c>
      <c r="B68" s="682">
        <v>57545.587053638279</v>
      </c>
      <c r="C68" s="682">
        <v>84742.574452267349</v>
      </c>
      <c r="D68" s="682">
        <v>84362.251546828833</v>
      </c>
      <c r="E68" s="628">
        <v>1000</v>
      </c>
      <c r="F68" s="561">
        <v>5</v>
      </c>
      <c r="G68" s="629">
        <v>3088.9291369814141</v>
      </c>
      <c r="H68" s="623">
        <v>650</v>
      </c>
      <c r="I68" s="629">
        <v>640</v>
      </c>
      <c r="J68" s="629">
        <v>1225</v>
      </c>
      <c r="K68" s="630">
        <v>1.0748395215140718</v>
      </c>
      <c r="L68" s="817">
        <v>7.4777498144136437E-2</v>
      </c>
      <c r="M68" s="631">
        <v>1.1344640137963142</v>
      </c>
      <c r="N68" s="631">
        <v>6.2831853071795862</v>
      </c>
      <c r="O68" s="631">
        <v>1.2088041770866345</v>
      </c>
      <c r="P68" s="635">
        <v>2.7377095340163251</v>
      </c>
      <c r="Q68" s="635">
        <v>1.7244633662366182</v>
      </c>
      <c r="R68" s="635">
        <v>1.3644657707447958</v>
      </c>
      <c r="S68" s="682"/>
      <c r="T68" s="632" t="s">
        <v>845</v>
      </c>
      <c r="U68" s="632"/>
      <c r="V68" s="610"/>
      <c r="W68" s="743" t="s">
        <v>690</v>
      </c>
      <c r="X68" s="610" t="s">
        <v>1150</v>
      </c>
      <c r="Y68" s="735" t="s">
        <v>1055</v>
      </c>
      <c r="Z68" s="636" t="s">
        <v>444</v>
      </c>
      <c r="AA68" s="633" t="s">
        <v>620</v>
      </c>
      <c r="AB68" s="610">
        <v>51</v>
      </c>
      <c r="AC68" s="610"/>
    </row>
    <row r="69" spans="1:29" ht="15" customHeight="1">
      <c r="A69" s="663" t="s">
        <v>846</v>
      </c>
      <c r="B69" s="682">
        <v>66867.083046351516</v>
      </c>
      <c r="C69" s="682">
        <v>95742.148495553789</v>
      </c>
      <c r="D69" s="682">
        <v>95362.792597709602</v>
      </c>
      <c r="E69" s="628">
        <v>1300</v>
      </c>
      <c r="F69" s="561">
        <v>5</v>
      </c>
      <c r="G69" s="629">
        <v>3088.9291369814141</v>
      </c>
      <c r="H69" s="623">
        <v>1085</v>
      </c>
      <c r="I69" s="629">
        <v>1075</v>
      </c>
      <c r="J69" s="629">
        <v>1225</v>
      </c>
      <c r="K69" s="630">
        <v>1.0748395215140718</v>
      </c>
      <c r="L69" s="817">
        <v>7.4777498144136437E-2</v>
      </c>
      <c r="M69" s="631">
        <v>1.1344640137963142</v>
      </c>
      <c r="N69" s="631">
        <v>6.2831853071795862</v>
      </c>
      <c r="O69" s="631">
        <v>1.2088041770866345</v>
      </c>
      <c r="P69" s="635">
        <v>2.7377095340163251</v>
      </c>
      <c r="Q69" s="635">
        <v>1.7244633662366182</v>
      </c>
      <c r="R69" s="635">
        <v>1.3644657707447958</v>
      </c>
      <c r="S69" s="682"/>
      <c r="T69" s="632" t="s">
        <v>846</v>
      </c>
      <c r="U69" s="632"/>
      <c r="V69" s="610"/>
      <c r="W69" s="743" t="s">
        <v>690</v>
      </c>
      <c r="X69" s="610" t="s">
        <v>1151</v>
      </c>
      <c r="Y69" s="735" t="s">
        <v>1056</v>
      </c>
      <c r="Z69" s="636" t="s">
        <v>445</v>
      </c>
      <c r="AA69" s="633" t="s">
        <v>621</v>
      </c>
      <c r="AB69" s="610">
        <v>52</v>
      </c>
      <c r="AC69" s="610"/>
    </row>
    <row r="70" spans="1:29" ht="15" customHeight="1">
      <c r="A70" s="663" t="s">
        <v>847</v>
      </c>
      <c r="B70" s="682">
        <v>66404.332098661776</v>
      </c>
      <c r="C70" s="682">
        <v>94965.092703616654</v>
      </c>
      <c r="D70" s="682">
        <v>94583.469798178121</v>
      </c>
      <c r="E70" s="628">
        <v>1250</v>
      </c>
      <c r="F70" s="561">
        <v>5</v>
      </c>
      <c r="G70" s="629">
        <v>3088.9291369814141</v>
      </c>
      <c r="H70" s="623">
        <v>1010</v>
      </c>
      <c r="I70" s="629">
        <v>1000</v>
      </c>
      <c r="J70" s="629">
        <v>1225</v>
      </c>
      <c r="K70" s="630">
        <v>1.0748395215140718</v>
      </c>
      <c r="L70" s="817">
        <v>7.4777498144136437E-2</v>
      </c>
      <c r="M70" s="631">
        <v>1.1344640137963142</v>
      </c>
      <c r="N70" s="631">
        <v>6.2831853071795862</v>
      </c>
      <c r="O70" s="631">
        <v>1.2088041770866345</v>
      </c>
      <c r="P70" s="635">
        <v>2.7377095340163251</v>
      </c>
      <c r="Q70" s="635">
        <v>1.7244633662366182</v>
      </c>
      <c r="R70" s="635">
        <v>1.3644657707447958</v>
      </c>
      <c r="S70" s="682"/>
      <c r="T70" s="632" t="s">
        <v>847</v>
      </c>
      <c r="U70" s="632"/>
      <c r="V70" s="610"/>
      <c r="W70" s="743" t="s">
        <v>690</v>
      </c>
      <c r="X70" s="610" t="s">
        <v>1152</v>
      </c>
      <c r="Y70" s="735" t="s">
        <v>1057</v>
      </c>
      <c r="Z70" s="636" t="s">
        <v>446</v>
      </c>
      <c r="AA70" s="633" t="s">
        <v>622</v>
      </c>
      <c r="AB70" s="610">
        <v>53</v>
      </c>
      <c r="AC70" s="610"/>
    </row>
    <row r="71" spans="1:29" ht="15" customHeight="1">
      <c r="A71" s="663" t="s">
        <v>848</v>
      </c>
      <c r="B71" s="682">
        <v>68161.244201282476</v>
      </c>
      <c r="C71" s="682">
        <v>96395.632785107126</v>
      </c>
      <c r="D71" s="682">
        <v>96014.876887262915</v>
      </c>
      <c r="E71" s="628">
        <v>1200</v>
      </c>
      <c r="F71" s="561">
        <v>5</v>
      </c>
      <c r="G71" s="629">
        <v>3088.9291369814141</v>
      </c>
      <c r="H71" s="623">
        <v>935</v>
      </c>
      <c r="I71" s="629">
        <v>925</v>
      </c>
      <c r="J71" s="629">
        <v>1225</v>
      </c>
      <c r="K71" s="630">
        <v>1.0748395215140718</v>
      </c>
      <c r="L71" s="817">
        <v>7.4777498144136437E-2</v>
      </c>
      <c r="M71" s="631">
        <v>1.1344640137963142</v>
      </c>
      <c r="N71" s="631">
        <v>6.2831853071795862</v>
      </c>
      <c r="O71" s="631">
        <v>1.2088041770866345</v>
      </c>
      <c r="P71" s="635">
        <v>2.7377095340163251</v>
      </c>
      <c r="Q71" s="635">
        <v>1.7244633662366182</v>
      </c>
      <c r="R71" s="635">
        <v>1.3644657707447958</v>
      </c>
      <c r="S71" s="682"/>
      <c r="T71" s="632" t="s">
        <v>848</v>
      </c>
      <c r="U71" s="632"/>
      <c r="V71" s="610"/>
      <c r="W71" s="743" t="s">
        <v>690</v>
      </c>
      <c r="X71" s="610" t="s">
        <v>1153</v>
      </c>
      <c r="Y71" s="735" t="s">
        <v>1058</v>
      </c>
      <c r="Z71" s="636" t="s">
        <v>447</v>
      </c>
      <c r="AA71" s="633" t="s">
        <v>623</v>
      </c>
      <c r="AB71" s="610">
        <v>54</v>
      </c>
      <c r="AC71" s="610"/>
    </row>
    <row r="72" spans="1:29" ht="15" customHeight="1">
      <c r="A72" s="663" t="s">
        <v>849</v>
      </c>
      <c r="B72" s="682">
        <v>62038.264907300567</v>
      </c>
      <c r="C72" s="682">
        <v>91760.543427064011</v>
      </c>
      <c r="D72" s="682">
        <v>91341.705443232553</v>
      </c>
      <c r="E72" s="628">
        <v>750</v>
      </c>
      <c r="F72" s="561">
        <v>5</v>
      </c>
      <c r="G72" s="629">
        <v>3418.7434851893327</v>
      </c>
      <c r="H72" s="623">
        <v>385</v>
      </c>
      <c r="I72" s="629">
        <v>375</v>
      </c>
      <c r="J72" s="629">
        <v>1200</v>
      </c>
      <c r="K72" s="630">
        <v>1.1959490512932169</v>
      </c>
      <c r="L72" s="817">
        <v>7.3754618658396887E-2</v>
      </c>
      <c r="M72" s="631">
        <v>0.99483767363676789</v>
      </c>
      <c r="N72" s="631">
        <v>6.2831853071795862</v>
      </c>
      <c r="O72" s="631">
        <v>1.3428490846910701</v>
      </c>
      <c r="P72" s="635">
        <v>3.0358463834020344</v>
      </c>
      <c r="Q72" s="635">
        <v>1.9059504380643397</v>
      </c>
      <c r="R72" s="635">
        <v>1.5127930471249931</v>
      </c>
      <c r="S72" s="682"/>
      <c r="T72" s="632" t="s">
        <v>849</v>
      </c>
      <c r="U72" s="632"/>
      <c r="V72" s="610"/>
      <c r="W72" s="743" t="s">
        <v>690</v>
      </c>
      <c r="X72" s="610" t="s">
        <v>1154</v>
      </c>
      <c r="Y72" s="735" t="s">
        <v>1059</v>
      </c>
      <c r="Z72" s="636" t="s">
        <v>448</v>
      </c>
      <c r="AA72" s="633" t="s">
        <v>624</v>
      </c>
      <c r="AB72" s="610">
        <v>55</v>
      </c>
      <c r="AC72" s="610"/>
    </row>
    <row r="73" spans="1:29" ht="15" customHeight="1">
      <c r="A73" s="663" t="s">
        <v>850</v>
      </c>
      <c r="B73" s="682">
        <v>66241.187421935596</v>
      </c>
      <c r="C73" s="682">
        <v>96566.554448565599</v>
      </c>
      <c r="D73" s="682">
        <v>96158.184495111418</v>
      </c>
      <c r="E73" s="628">
        <v>950</v>
      </c>
      <c r="F73" s="561">
        <v>5</v>
      </c>
      <c r="G73" s="629">
        <v>3432.7606062896016</v>
      </c>
      <c r="H73" s="623">
        <v>535</v>
      </c>
      <c r="I73" s="629">
        <v>525</v>
      </c>
      <c r="J73" s="629">
        <v>1375</v>
      </c>
      <c r="K73" s="630">
        <v>1.1785690261371593</v>
      </c>
      <c r="L73" s="817">
        <v>7.7581055620570785E-2</v>
      </c>
      <c r="M73" s="631">
        <v>1.1344640137963142</v>
      </c>
      <c r="N73" s="631">
        <v>6.2831853071795862</v>
      </c>
      <c r="O73" s="631">
        <v>1.3313121702704376</v>
      </c>
      <c r="P73" s="635">
        <v>3.0300629142719595</v>
      </c>
      <c r="Q73" s="635">
        <v>1.9239097028602805</v>
      </c>
      <c r="R73" s="635">
        <v>1.5088509034293212</v>
      </c>
      <c r="S73" s="682"/>
      <c r="T73" s="632" t="s">
        <v>850</v>
      </c>
      <c r="U73" s="632"/>
      <c r="V73" s="610"/>
      <c r="W73" s="743" t="s">
        <v>690</v>
      </c>
      <c r="X73" s="610" t="s">
        <v>1155</v>
      </c>
      <c r="Y73" s="735" t="s">
        <v>1060</v>
      </c>
      <c r="Z73" s="636" t="s">
        <v>449</v>
      </c>
      <c r="AA73" s="633" t="s">
        <v>625</v>
      </c>
      <c r="AB73" s="610">
        <v>56</v>
      </c>
      <c r="AC73" s="610"/>
    </row>
    <row r="74" spans="1:29" ht="15" customHeight="1">
      <c r="A74" s="663" t="s">
        <v>851</v>
      </c>
      <c r="B74" s="682">
        <v>76388.318285623856</v>
      </c>
      <c r="C74" s="682">
        <v>108501.30406975375</v>
      </c>
      <c r="D74" s="682">
        <v>108100.36813148818</v>
      </c>
      <c r="E74" s="628">
        <v>1300</v>
      </c>
      <c r="F74" s="561">
        <v>5</v>
      </c>
      <c r="G74" s="629">
        <v>3432.7606062896016</v>
      </c>
      <c r="H74" s="623">
        <v>985</v>
      </c>
      <c r="I74" s="629">
        <v>975</v>
      </c>
      <c r="J74" s="629">
        <v>1375</v>
      </c>
      <c r="K74" s="630">
        <v>1.1785690261371593</v>
      </c>
      <c r="L74" s="817">
        <v>7.7581055620570771E-2</v>
      </c>
      <c r="M74" s="631">
        <v>1.1344640137963142</v>
      </c>
      <c r="N74" s="631">
        <v>6.2831853071795862</v>
      </c>
      <c r="O74" s="631">
        <v>1.3313121702704376</v>
      </c>
      <c r="P74" s="635">
        <v>3.0300629142719595</v>
      </c>
      <c r="Q74" s="635">
        <v>1.9239097028602801</v>
      </c>
      <c r="R74" s="635">
        <v>1.5088509034293216</v>
      </c>
      <c r="S74" s="682"/>
      <c r="T74" s="632" t="s">
        <v>851</v>
      </c>
      <c r="U74" s="632"/>
      <c r="V74" s="610"/>
      <c r="W74" s="743" t="s">
        <v>690</v>
      </c>
      <c r="X74" s="610" t="s">
        <v>1156</v>
      </c>
      <c r="Y74" s="735" t="s">
        <v>1061</v>
      </c>
      <c r="Z74" s="636" t="s">
        <v>450</v>
      </c>
      <c r="AA74" s="633" t="s">
        <v>626</v>
      </c>
      <c r="AB74" s="610">
        <v>57</v>
      </c>
      <c r="AC74" s="610"/>
    </row>
    <row r="75" spans="1:29" ht="15" customHeight="1">
      <c r="A75" s="663" t="s">
        <v>852</v>
      </c>
      <c r="B75" s="682">
        <v>76799.261740571645</v>
      </c>
      <c r="C75" s="682">
        <v>108862.32564488334</v>
      </c>
      <c r="D75" s="682">
        <v>108472.15773699505</v>
      </c>
      <c r="E75" s="628">
        <v>1300</v>
      </c>
      <c r="F75" s="561">
        <v>5</v>
      </c>
      <c r="G75" s="629">
        <v>3432.7606062896016</v>
      </c>
      <c r="H75" s="623">
        <v>985</v>
      </c>
      <c r="I75" s="629">
        <v>975</v>
      </c>
      <c r="J75" s="629">
        <v>1375</v>
      </c>
      <c r="K75" s="630">
        <v>1.1785690261371593</v>
      </c>
      <c r="L75" s="817">
        <v>7.7581055620570771E-2</v>
      </c>
      <c r="M75" s="631">
        <v>1.1344640137963142</v>
      </c>
      <c r="N75" s="631">
        <v>6.2831853071795862</v>
      </c>
      <c r="O75" s="631">
        <v>1.3313121702704376</v>
      </c>
      <c r="P75" s="635">
        <v>3.0300629142719595</v>
      </c>
      <c r="Q75" s="635">
        <v>1.9239097028602801</v>
      </c>
      <c r="R75" s="635">
        <v>1.5088509034293216</v>
      </c>
      <c r="S75" s="682"/>
      <c r="T75" s="632" t="s">
        <v>852</v>
      </c>
      <c r="U75" s="632"/>
      <c r="V75" s="610"/>
      <c r="W75" s="743" t="s">
        <v>690</v>
      </c>
      <c r="X75" s="610" t="s">
        <v>1156</v>
      </c>
      <c r="Y75" s="735" t="s">
        <v>1061</v>
      </c>
      <c r="Z75" s="636" t="s">
        <v>451</v>
      </c>
      <c r="AA75" s="633" t="s">
        <v>627</v>
      </c>
      <c r="AB75" s="610">
        <v>58</v>
      </c>
      <c r="AC75" s="610"/>
    </row>
    <row r="76" spans="1:29" ht="15" customHeight="1">
      <c r="A76" s="663" t="s">
        <v>853</v>
      </c>
      <c r="B76" s="682">
        <v>76574.168787596078</v>
      </c>
      <c r="C76" s="682">
        <v>108553.37339123731</v>
      </c>
      <c r="D76" s="682">
        <v>108171.03949853766</v>
      </c>
      <c r="E76" s="628">
        <v>1250</v>
      </c>
      <c r="F76" s="561">
        <v>5</v>
      </c>
      <c r="G76" s="629">
        <v>3432.7606062896016</v>
      </c>
      <c r="H76" s="623">
        <v>910</v>
      </c>
      <c r="I76" s="629">
        <v>900</v>
      </c>
      <c r="J76" s="629">
        <v>1375</v>
      </c>
      <c r="K76" s="630">
        <v>1.1785690261371593</v>
      </c>
      <c r="L76" s="817">
        <v>7.7581055620570771E-2</v>
      </c>
      <c r="M76" s="631">
        <v>1.1344640137963142</v>
      </c>
      <c r="N76" s="631">
        <v>6.2831853071795862</v>
      </c>
      <c r="O76" s="631">
        <v>1.3313121702704376</v>
      </c>
      <c r="P76" s="635">
        <v>3.0300629142719595</v>
      </c>
      <c r="Q76" s="635">
        <v>1.9239097028602801</v>
      </c>
      <c r="R76" s="635">
        <v>1.5088509034293216</v>
      </c>
      <c r="S76" s="682"/>
      <c r="T76" s="632" t="s">
        <v>853</v>
      </c>
      <c r="U76" s="632"/>
      <c r="V76" s="610"/>
      <c r="W76" s="743" t="s">
        <v>690</v>
      </c>
      <c r="X76" s="610" t="s">
        <v>1157</v>
      </c>
      <c r="Y76" s="735" t="s">
        <v>1062</v>
      </c>
      <c r="Z76" s="636" t="s">
        <v>452</v>
      </c>
      <c r="AA76" s="633" t="s">
        <v>628</v>
      </c>
      <c r="AB76" s="610">
        <v>59</v>
      </c>
      <c r="AC76" s="610"/>
    </row>
    <row r="77" spans="1:29" ht="15" customHeight="1">
      <c r="A77" s="802" t="s">
        <v>854</v>
      </c>
      <c r="B77" s="682">
        <v>4241.8903616004827</v>
      </c>
      <c r="C77" s="682">
        <v>9383.1848198151529</v>
      </c>
      <c r="D77" s="682">
        <v>9300.3702681248051</v>
      </c>
      <c r="E77" s="628">
        <v>225</v>
      </c>
      <c r="F77" s="561">
        <v>3</v>
      </c>
      <c r="G77" s="629">
        <v>732.2806699403302</v>
      </c>
      <c r="H77" s="623">
        <v>181</v>
      </c>
      <c r="I77" s="629">
        <v>175</v>
      </c>
      <c r="J77" s="629">
        <v>250</v>
      </c>
      <c r="K77" s="630">
        <v>0.25683781297886232</v>
      </c>
      <c r="L77" s="817">
        <v>7.2137157829814683E-2</v>
      </c>
      <c r="M77" s="631">
        <v>0.97738438111682457</v>
      </c>
      <c r="N77" s="631">
        <v>6.2831853071795862</v>
      </c>
      <c r="O77" s="631">
        <v>0.28765377601026809</v>
      </c>
      <c r="P77" s="635">
        <v>0.64847519634033501</v>
      </c>
      <c r="Q77" s="635">
        <v>0.40711356419653777</v>
      </c>
      <c r="R77" s="635">
        <v>0.32516710574379248</v>
      </c>
      <c r="S77" s="682"/>
      <c r="T77" s="632" t="s">
        <v>854</v>
      </c>
      <c r="U77" s="632"/>
      <c r="V77" s="610"/>
      <c r="W77" s="740" t="s">
        <v>690</v>
      </c>
      <c r="X77" s="610" t="s">
        <v>1158</v>
      </c>
      <c r="Y77" s="735" t="s">
        <v>1063</v>
      </c>
      <c r="Z77" s="741" t="s">
        <v>367</v>
      </c>
      <c r="AA77" s="627" t="s">
        <v>629</v>
      </c>
      <c r="AB77" s="610" t="e">
        <v>#N/A</v>
      </c>
      <c r="AC77" s="610"/>
    </row>
    <row r="78" spans="1:29" ht="15" customHeight="1">
      <c r="A78" s="802" t="s">
        <v>995</v>
      </c>
      <c r="B78" s="682">
        <v>4531.8663248444482</v>
      </c>
      <c r="C78" s="682">
        <v>10470.475490825625</v>
      </c>
      <c r="D78" s="682">
        <v>10371.739460693336</v>
      </c>
      <c r="E78" s="628">
        <v>225</v>
      </c>
      <c r="F78" s="561">
        <v>4</v>
      </c>
      <c r="G78" s="629">
        <v>737.98717906773231</v>
      </c>
      <c r="H78" s="623">
        <v>158</v>
      </c>
      <c r="I78" s="629">
        <v>150</v>
      </c>
      <c r="J78" s="629">
        <v>250</v>
      </c>
      <c r="K78" s="630">
        <v>0.31575195561764358</v>
      </c>
      <c r="L78" s="817">
        <v>3.0509975909487504E-2</v>
      </c>
      <c r="M78" s="631">
        <v>1.1537800090679124</v>
      </c>
      <c r="N78" s="631">
        <v>6.2831853071795862</v>
      </c>
      <c r="O78" s="631">
        <v>0.33125282741751338</v>
      </c>
      <c r="P78" s="635">
        <v>0.69582765878078412</v>
      </c>
      <c r="Q78" s="635">
        <v>0.38647251219114342</v>
      </c>
      <c r="R78" s="635">
        <v>0.35151466687658894</v>
      </c>
      <c r="S78" s="682"/>
      <c r="T78" s="632" t="s">
        <v>995</v>
      </c>
      <c r="U78" s="632"/>
      <c r="V78" s="610"/>
      <c r="W78" s="740" t="s">
        <v>690</v>
      </c>
      <c r="X78" s="610" t="s">
        <v>995</v>
      </c>
      <c r="Y78" s="735" t="s">
        <v>1064</v>
      </c>
      <c r="Z78" s="741" t="s">
        <v>368</v>
      </c>
      <c r="AA78" s="627" t="s">
        <v>630</v>
      </c>
      <c r="AB78" s="610" t="e">
        <v>#N/A</v>
      </c>
      <c r="AC78" s="610"/>
    </row>
    <row r="79" spans="1:29" ht="15" customHeight="1">
      <c r="A79" s="802" t="s">
        <v>855</v>
      </c>
      <c r="B79" s="682">
        <v>149314.90790713645</v>
      </c>
      <c r="C79" s="682">
        <v>204221.58424190327</v>
      </c>
      <c r="D79" s="682">
        <v>203835.17618212866</v>
      </c>
      <c r="E79" s="628">
        <v>1800</v>
      </c>
      <c r="F79" s="561">
        <v>5</v>
      </c>
      <c r="G79" s="629">
        <v>3581.6139746742992</v>
      </c>
      <c r="H79" s="623">
        <v>1560</v>
      </c>
      <c r="I79" s="629">
        <v>1550</v>
      </c>
      <c r="J79" s="629">
        <v>1650</v>
      </c>
      <c r="K79" s="630">
        <v>1.1669722879964359</v>
      </c>
      <c r="L79" s="817">
        <v>8.8252424743658506E-2</v>
      </c>
      <c r="M79" s="631">
        <v>1.2740903539558606</v>
      </c>
      <c r="N79" s="631">
        <v>6.2831853071795862</v>
      </c>
      <c r="O79" s="631">
        <v>1.34049532512893</v>
      </c>
      <c r="P79" s="635">
        <v>3.1092794236077115</v>
      </c>
      <c r="Q79" s="635">
        <v>2.0367935906121857</v>
      </c>
      <c r="R79" s="635">
        <v>1.5448203840621137</v>
      </c>
      <c r="S79" s="682"/>
      <c r="T79" s="632" t="s">
        <v>855</v>
      </c>
      <c r="U79" s="632"/>
      <c r="V79" s="610"/>
      <c r="W79" s="740" t="s">
        <v>690</v>
      </c>
      <c r="X79" s="610" t="s">
        <v>1159</v>
      </c>
      <c r="Y79" s="735" t="s">
        <v>1065</v>
      </c>
      <c r="Z79" s="741" t="s">
        <v>369</v>
      </c>
      <c r="AA79" s="627" t="s">
        <v>631</v>
      </c>
      <c r="AB79" s="610" t="e">
        <v>#N/A</v>
      </c>
      <c r="AC79" s="610"/>
    </row>
    <row r="80" spans="1:29" ht="15" customHeight="1">
      <c r="A80" s="802" t="s">
        <v>788</v>
      </c>
      <c r="B80" s="682">
        <v>16700.461423971501</v>
      </c>
      <c r="C80" s="682">
        <v>30428.453803510314</v>
      </c>
      <c r="D80" s="682">
        <v>30207.81295343682</v>
      </c>
      <c r="E80" s="628">
        <v>500</v>
      </c>
      <c r="F80" s="561">
        <v>4</v>
      </c>
      <c r="G80" s="629">
        <v>1725.0323813387515</v>
      </c>
      <c r="H80" s="623">
        <v>333</v>
      </c>
      <c r="I80" s="629">
        <v>325</v>
      </c>
      <c r="J80" s="629">
        <v>600</v>
      </c>
      <c r="K80" s="630">
        <v>0.70766404568902352</v>
      </c>
      <c r="L80" s="817">
        <v>4.0575245576384256E-2</v>
      </c>
      <c r="M80" s="631">
        <v>1.1344640137963142</v>
      </c>
      <c r="N80" s="631">
        <v>6.2831853071795862</v>
      </c>
      <c r="O80" s="631">
        <v>0.75423569805444768</v>
      </c>
      <c r="P80" s="635">
        <v>1.6110110999672194</v>
      </c>
      <c r="Q80" s="635">
        <v>0.91716013194985824</v>
      </c>
      <c r="R80" s="635">
        <v>0.80787224938889335</v>
      </c>
      <c r="S80" s="682"/>
      <c r="T80" s="632" t="s">
        <v>788</v>
      </c>
      <c r="U80" s="632"/>
      <c r="V80" s="610"/>
      <c r="W80" s="740" t="s">
        <v>690</v>
      </c>
      <c r="X80" s="610" t="s">
        <v>788</v>
      </c>
      <c r="Y80" s="735" t="s">
        <v>1066</v>
      </c>
      <c r="Z80" s="741" t="s">
        <v>370</v>
      </c>
      <c r="AA80" s="627" t="s">
        <v>632</v>
      </c>
      <c r="AB80" s="610" t="e">
        <v>#N/A</v>
      </c>
      <c r="AC80" s="610"/>
    </row>
    <row r="81" spans="1:29" ht="15" customHeight="1">
      <c r="A81" s="802" t="s">
        <v>996</v>
      </c>
      <c r="B81" s="682">
        <v>13969.678385895413</v>
      </c>
      <c r="C81" s="682">
        <v>26261.436283514773</v>
      </c>
      <c r="D81" s="682">
        <v>26064.727139712712</v>
      </c>
      <c r="E81" s="628">
        <v>350</v>
      </c>
      <c r="F81" s="561">
        <v>6</v>
      </c>
      <c r="G81" s="629">
        <v>1473.0529696742472</v>
      </c>
      <c r="H81" s="623">
        <v>226</v>
      </c>
      <c r="I81" s="629">
        <v>214</v>
      </c>
      <c r="J81" s="629">
        <v>525</v>
      </c>
      <c r="K81" s="630">
        <v>0.61262462095285264</v>
      </c>
      <c r="L81" s="817">
        <v>3.6993072539747908E-2</v>
      </c>
      <c r="M81" s="631">
        <v>1.1728612573401895</v>
      </c>
      <c r="N81" s="631">
        <v>6.2831853071795862</v>
      </c>
      <c r="O81" s="631">
        <v>0.64927799394095931</v>
      </c>
      <c r="P81" s="635">
        <v>1.3785728610726902</v>
      </c>
      <c r="Q81" s="635">
        <v>0.77892862893143555</v>
      </c>
      <c r="R81" s="635">
        <v>0.6941243407428116</v>
      </c>
      <c r="S81" s="682"/>
      <c r="T81" s="632" t="s">
        <v>996</v>
      </c>
      <c r="U81" s="632"/>
      <c r="V81" s="610"/>
      <c r="W81" s="740" t="s">
        <v>690</v>
      </c>
      <c r="X81" s="610" t="s">
        <v>996</v>
      </c>
      <c r="Y81" s="735" t="s">
        <v>1067</v>
      </c>
      <c r="Z81" s="741" t="s">
        <v>371</v>
      </c>
      <c r="AA81" s="627" t="s">
        <v>633</v>
      </c>
      <c r="AB81" s="610" t="e">
        <v>#N/A</v>
      </c>
      <c r="AC81" s="610"/>
    </row>
    <row r="82" spans="1:29" ht="15" customHeight="1">
      <c r="A82" s="802" t="s">
        <v>997</v>
      </c>
      <c r="B82" s="682">
        <v>13394.324269951552</v>
      </c>
      <c r="C82" s="682">
        <v>25870.400146736778</v>
      </c>
      <c r="D82" s="682">
        <v>25662.644714350696</v>
      </c>
      <c r="E82" s="628">
        <v>233</v>
      </c>
      <c r="F82" s="561">
        <v>6</v>
      </c>
      <c r="G82" s="629">
        <v>1438.2446546860856</v>
      </c>
      <c r="H82" s="623">
        <v>188</v>
      </c>
      <c r="I82" s="629">
        <v>176</v>
      </c>
      <c r="J82" s="629">
        <v>472</v>
      </c>
      <c r="K82" s="630">
        <v>0.65480615221004734</v>
      </c>
      <c r="L82" s="817">
        <v>1.8019143992826576E-2</v>
      </c>
      <c r="M82" s="631">
        <v>1.1693705988362009</v>
      </c>
      <c r="N82" s="631">
        <v>6.2831853071795862</v>
      </c>
      <c r="O82" s="631">
        <v>0.67360483867250487</v>
      </c>
      <c r="P82" s="635">
        <v>1.3864416061583493</v>
      </c>
      <c r="Q82" s="635">
        <v>0.73930144217720184</v>
      </c>
      <c r="R82" s="635">
        <v>0.6989432125088838</v>
      </c>
      <c r="S82" s="682"/>
      <c r="T82" s="632" t="s">
        <v>997</v>
      </c>
      <c r="U82" s="632"/>
      <c r="V82" s="610"/>
      <c r="W82" s="740" t="s">
        <v>690</v>
      </c>
      <c r="X82" s="610" t="s">
        <v>1188</v>
      </c>
      <c r="Y82" s="735" t="s">
        <v>1181</v>
      </c>
      <c r="Z82" s="741"/>
      <c r="AA82" s="627" t="s">
        <v>1172</v>
      </c>
      <c r="AB82" s="610"/>
      <c r="AC82" s="610"/>
    </row>
    <row r="83" spans="1:29" ht="15" customHeight="1">
      <c r="A83" s="802" t="s">
        <v>856</v>
      </c>
      <c r="B83" s="682">
        <v>16971.423089055232</v>
      </c>
      <c r="C83" s="682">
        <v>29657.007108581744</v>
      </c>
      <c r="D83" s="682">
        <v>29459.164972374001</v>
      </c>
      <c r="E83" s="628">
        <v>500</v>
      </c>
      <c r="F83" s="561">
        <v>6</v>
      </c>
      <c r="G83" s="629">
        <v>1533.1655984238541</v>
      </c>
      <c r="H83" s="623">
        <v>387</v>
      </c>
      <c r="I83" s="629">
        <v>375</v>
      </c>
      <c r="J83" s="629">
        <v>525</v>
      </c>
      <c r="K83" s="630">
        <v>0.63592552146216241</v>
      </c>
      <c r="L83" s="817">
        <v>3.7615516834078842E-2</v>
      </c>
      <c r="M83" s="631">
        <v>1.1344640137963142</v>
      </c>
      <c r="N83" s="631">
        <v>6.2831853071795862</v>
      </c>
      <c r="O83" s="631">
        <v>0.67463227694809458</v>
      </c>
      <c r="P83" s="635">
        <v>1.4338893341778522</v>
      </c>
      <c r="Q83" s="635">
        <v>0.81147060940421512</v>
      </c>
      <c r="R83" s="635">
        <v>0.72169498901963902</v>
      </c>
      <c r="S83" s="682"/>
      <c r="T83" s="632" t="s">
        <v>856</v>
      </c>
      <c r="U83" s="632"/>
      <c r="V83" s="610"/>
      <c r="W83" s="740" t="s">
        <v>690</v>
      </c>
      <c r="X83" s="610" t="s">
        <v>1160</v>
      </c>
      <c r="Y83" s="735" t="s">
        <v>1068</v>
      </c>
      <c r="Z83" s="741" t="s">
        <v>372</v>
      </c>
      <c r="AA83" s="627" t="s">
        <v>634</v>
      </c>
      <c r="AB83" s="610" t="e">
        <v>#N/A</v>
      </c>
      <c r="AC83" s="610"/>
    </row>
    <row r="84" spans="1:29" ht="15" customHeight="1">
      <c r="A84" s="802" t="s">
        <v>998</v>
      </c>
      <c r="B84" s="682">
        <v>5953.3614116211284</v>
      </c>
      <c r="C84" s="682">
        <v>13002.280095438682</v>
      </c>
      <c r="D84" s="682">
        <v>12885.817472949704</v>
      </c>
      <c r="E84" s="628">
        <v>300</v>
      </c>
      <c r="F84" s="561">
        <v>4</v>
      </c>
      <c r="G84" s="629">
        <v>926.4577890304937</v>
      </c>
      <c r="H84" s="623">
        <v>233</v>
      </c>
      <c r="I84" s="629">
        <v>225</v>
      </c>
      <c r="J84" s="629">
        <v>325</v>
      </c>
      <c r="K84" s="630">
        <v>0.37302632801159591</v>
      </c>
      <c r="L84" s="817">
        <v>4.3619963611536083E-2</v>
      </c>
      <c r="M84" s="631">
        <v>1.1344640137963142</v>
      </c>
      <c r="N84" s="631">
        <v>6.2831853071795862</v>
      </c>
      <c r="O84" s="631">
        <v>0.39948134979539829</v>
      </c>
      <c r="P84" s="635">
        <v>0.85763437179524782</v>
      </c>
      <c r="Q84" s="635">
        <v>0.49464522768926716</v>
      </c>
      <c r="R84" s="635">
        <v>0.43181256134122653</v>
      </c>
      <c r="S84" s="682"/>
      <c r="T84" s="632" t="s">
        <v>998</v>
      </c>
      <c r="U84" s="632"/>
      <c r="V84" s="610"/>
      <c r="W84" s="740" t="s">
        <v>690</v>
      </c>
      <c r="X84" s="610" t="s">
        <v>998</v>
      </c>
      <c r="Y84" s="735" t="s">
        <v>1069</v>
      </c>
      <c r="Z84" s="741" t="s">
        <v>373</v>
      </c>
      <c r="AA84" s="627" t="s">
        <v>635</v>
      </c>
      <c r="AB84" s="610" t="e">
        <v>#N/A</v>
      </c>
      <c r="AC84" s="610"/>
    </row>
    <row r="85" spans="1:29" ht="15" customHeight="1">
      <c r="A85" s="802" t="s">
        <v>857</v>
      </c>
      <c r="B85" s="682">
        <v>102486.20204901663</v>
      </c>
      <c r="C85" s="682">
        <v>143767.49047750604</v>
      </c>
      <c r="D85" s="682">
        <v>143236.48443267506</v>
      </c>
      <c r="E85" s="628">
        <v>1661</v>
      </c>
      <c r="F85" s="561">
        <v>5</v>
      </c>
      <c r="G85" s="629">
        <v>3550</v>
      </c>
      <c r="H85" s="623">
        <v>10</v>
      </c>
      <c r="I85" s="629">
        <v>0</v>
      </c>
      <c r="J85" s="629">
        <v>0</v>
      </c>
      <c r="K85" s="630">
        <v>0</v>
      </c>
      <c r="L85" s="817">
        <v>0</v>
      </c>
      <c r="M85" s="631">
        <v>0</v>
      </c>
      <c r="N85" s="631">
        <v>0</v>
      </c>
      <c r="O85" s="631">
        <v>0</v>
      </c>
      <c r="P85" s="635">
        <v>0</v>
      </c>
      <c r="Q85" s="635">
        <v>5.0000000000000001E-3</v>
      </c>
      <c r="R85" s="635">
        <v>3.5449999999999999</v>
      </c>
      <c r="S85" s="682"/>
      <c r="T85" s="632" t="s">
        <v>857</v>
      </c>
      <c r="U85" s="632"/>
      <c r="V85" s="610"/>
      <c r="W85" s="740" t="s">
        <v>690</v>
      </c>
      <c r="X85" s="610" t="s">
        <v>857</v>
      </c>
      <c r="Y85" s="783" t="s">
        <v>1070</v>
      </c>
      <c r="Z85" s="741" t="s">
        <v>374</v>
      </c>
      <c r="AA85" s="627" t="s">
        <v>636</v>
      </c>
      <c r="AB85" s="610" t="e">
        <v>#N/A</v>
      </c>
      <c r="AC85" s="610"/>
    </row>
    <row r="86" spans="1:29" ht="15" customHeight="1">
      <c r="A86" s="802" t="s">
        <v>858</v>
      </c>
      <c r="B86" s="682">
        <v>7022.9827861882459</v>
      </c>
      <c r="C86" s="682">
        <v>15141.084188113928</v>
      </c>
      <c r="D86" s="682">
        <v>14925.686527653368</v>
      </c>
      <c r="E86" s="628">
        <v>324</v>
      </c>
      <c r="F86" s="561">
        <v>4</v>
      </c>
      <c r="G86" s="629">
        <v>1112</v>
      </c>
      <c r="H86" s="623">
        <v>8</v>
      </c>
      <c r="I86" s="629">
        <v>0</v>
      </c>
      <c r="J86" s="629">
        <v>0</v>
      </c>
      <c r="K86" s="630">
        <v>0</v>
      </c>
      <c r="L86" s="817">
        <v>0</v>
      </c>
      <c r="M86" s="631">
        <v>0</v>
      </c>
      <c r="N86" s="631">
        <v>0</v>
      </c>
      <c r="O86" s="631">
        <v>0</v>
      </c>
      <c r="P86" s="635">
        <v>0</v>
      </c>
      <c r="Q86" s="635">
        <v>4.0000000000000001E-3</v>
      </c>
      <c r="R86" s="635">
        <v>1.1080000000000001</v>
      </c>
      <c r="S86" s="682"/>
      <c r="T86" s="632" t="s">
        <v>858</v>
      </c>
      <c r="U86" s="632"/>
      <c r="V86" s="610"/>
      <c r="W86" s="740" t="s">
        <v>690</v>
      </c>
      <c r="X86" s="610" t="s">
        <v>858</v>
      </c>
      <c r="Y86" s="783" t="s">
        <v>1071</v>
      </c>
      <c r="Z86" s="741" t="s">
        <v>375</v>
      </c>
      <c r="AA86" s="627" t="s">
        <v>637</v>
      </c>
      <c r="AB86" s="610" t="e">
        <v>#N/A</v>
      </c>
      <c r="AC86" s="610"/>
    </row>
    <row r="87" spans="1:29" ht="15" customHeight="1">
      <c r="A87" s="802" t="s">
        <v>859</v>
      </c>
      <c r="B87" s="682">
        <v>8601.4065040215919</v>
      </c>
      <c r="C87" s="682">
        <v>18010.278587694535</v>
      </c>
      <c r="D87" s="682">
        <v>17758.420319688652</v>
      </c>
      <c r="E87" s="628">
        <v>340</v>
      </c>
      <c r="F87" s="561">
        <v>4</v>
      </c>
      <c r="G87" s="629">
        <v>1280</v>
      </c>
      <c r="H87" s="623">
        <v>8</v>
      </c>
      <c r="I87" s="629">
        <v>0</v>
      </c>
      <c r="J87" s="629">
        <v>0</v>
      </c>
      <c r="K87" s="630">
        <v>0</v>
      </c>
      <c r="L87" s="817">
        <v>0</v>
      </c>
      <c r="M87" s="631">
        <v>0</v>
      </c>
      <c r="N87" s="631">
        <v>0</v>
      </c>
      <c r="O87" s="631">
        <v>0</v>
      </c>
      <c r="P87" s="635">
        <v>0</v>
      </c>
      <c r="Q87" s="635">
        <v>4.0000000000000001E-3</v>
      </c>
      <c r="R87" s="635">
        <v>1.276</v>
      </c>
      <c r="S87" s="682"/>
      <c r="T87" s="632" t="s">
        <v>859</v>
      </c>
      <c r="U87" s="632"/>
      <c r="V87" s="610"/>
      <c r="W87" s="740" t="s">
        <v>690</v>
      </c>
      <c r="X87" s="610" t="s">
        <v>859</v>
      </c>
      <c r="Y87" s="783" t="s">
        <v>1072</v>
      </c>
      <c r="Z87" s="741" t="s">
        <v>376</v>
      </c>
      <c r="AA87" s="627" t="s">
        <v>638</v>
      </c>
      <c r="AB87" s="610" t="e">
        <v>#N/A</v>
      </c>
      <c r="AC87" s="610"/>
    </row>
    <row r="88" spans="1:29" ht="15" customHeight="1">
      <c r="A88" s="802" t="s">
        <v>999</v>
      </c>
      <c r="B88" s="682">
        <v>11119.116193242349</v>
      </c>
      <c r="C88" s="682">
        <v>21671.973027610366</v>
      </c>
      <c r="D88" s="682">
        <v>21497.929605268371</v>
      </c>
      <c r="E88" s="628">
        <v>375</v>
      </c>
      <c r="F88" s="561">
        <v>5</v>
      </c>
      <c r="G88" s="629">
        <v>1359.6039577389927</v>
      </c>
      <c r="H88" s="623">
        <v>235</v>
      </c>
      <c r="I88" s="629">
        <v>225</v>
      </c>
      <c r="J88" s="629">
        <v>500</v>
      </c>
      <c r="K88" s="630">
        <v>0.56018549691603237</v>
      </c>
      <c r="L88" s="817">
        <v>3.9102493694212266E-2</v>
      </c>
      <c r="M88" s="631">
        <v>1.1935725715282037</v>
      </c>
      <c r="N88" s="631">
        <v>6.2831853071795862</v>
      </c>
      <c r="O88" s="631">
        <v>0.59567190876180665</v>
      </c>
      <c r="P88" s="635">
        <v>1.2692029833627378</v>
      </c>
      <c r="Q88" s="635">
        <v>0.7211976577877468</v>
      </c>
      <c r="R88" s="635">
        <v>0.63840629995124587</v>
      </c>
      <c r="S88" s="682"/>
      <c r="T88" s="632" t="s">
        <v>999</v>
      </c>
      <c r="U88" s="632"/>
      <c r="V88" s="610"/>
      <c r="W88" s="740" t="s">
        <v>690</v>
      </c>
      <c r="X88" s="610" t="s">
        <v>999</v>
      </c>
      <c r="Y88" s="735" t="s">
        <v>1073</v>
      </c>
      <c r="Z88" s="741" t="s">
        <v>377</v>
      </c>
      <c r="AA88" s="627" t="s">
        <v>639</v>
      </c>
      <c r="AB88" s="610" t="e">
        <v>#N/A</v>
      </c>
      <c r="AC88" s="610"/>
    </row>
    <row r="89" spans="1:29" ht="15" customHeight="1">
      <c r="A89" s="802" t="s">
        <v>1000</v>
      </c>
      <c r="B89" s="682">
        <v>11648.152958789888</v>
      </c>
      <c r="C89" s="682">
        <v>22659.97859766096</v>
      </c>
      <c r="D89" s="682">
        <v>22479.225970272426</v>
      </c>
      <c r="E89" s="628">
        <v>362</v>
      </c>
      <c r="F89" s="561">
        <v>5</v>
      </c>
      <c r="G89" s="629">
        <v>1356.0110300140693</v>
      </c>
      <c r="H89" s="623">
        <v>220</v>
      </c>
      <c r="I89" s="629">
        <v>210</v>
      </c>
      <c r="J89" s="629">
        <v>487</v>
      </c>
      <c r="K89" s="630">
        <v>0.55959316964222949</v>
      </c>
      <c r="L89" s="817">
        <v>3.8768111553819637E-2</v>
      </c>
      <c r="M89" s="631">
        <v>1.1728612573401895</v>
      </c>
      <c r="N89" s="631">
        <v>6.2831853071795862</v>
      </c>
      <c r="O89" s="631">
        <v>0.59472959743539688</v>
      </c>
      <c r="P89" s="635">
        <v>1.2664891438176564</v>
      </c>
      <c r="Q89" s="635">
        <v>0.71893881531601289</v>
      </c>
      <c r="R89" s="635">
        <v>0.63707221469805642</v>
      </c>
      <c r="S89" s="682"/>
      <c r="T89" s="632" t="s">
        <v>1000</v>
      </c>
      <c r="U89" s="632"/>
      <c r="V89" s="610"/>
      <c r="W89" s="740" t="s">
        <v>690</v>
      </c>
      <c r="X89" s="610" t="s">
        <v>1189</v>
      </c>
      <c r="Y89" s="735" t="s">
        <v>1182</v>
      </c>
      <c r="Z89" s="741" t="s">
        <v>378</v>
      </c>
      <c r="AA89" s="627" t="s">
        <v>640</v>
      </c>
      <c r="AB89" s="610" t="e">
        <v>#N/A</v>
      </c>
      <c r="AC89" s="610"/>
    </row>
    <row r="90" spans="1:29" ht="15" customHeight="1">
      <c r="A90" s="802" t="s">
        <v>1001</v>
      </c>
      <c r="B90" s="682">
        <v>4873.5508031290419</v>
      </c>
      <c r="C90" s="682">
        <v>10640.237887601852</v>
      </c>
      <c r="D90" s="682">
        <v>10546.507994167261</v>
      </c>
      <c r="E90" s="628">
        <v>300</v>
      </c>
      <c r="F90" s="561">
        <v>4</v>
      </c>
      <c r="G90" s="629">
        <v>827.6864884584927</v>
      </c>
      <c r="H90" s="623">
        <v>233</v>
      </c>
      <c r="I90" s="629">
        <v>225</v>
      </c>
      <c r="J90" s="629">
        <v>325</v>
      </c>
      <c r="K90" s="630">
        <v>0.28754530996725536</v>
      </c>
      <c r="L90" s="817">
        <v>7.378277784876662E-2</v>
      </c>
      <c r="M90" s="631">
        <v>1.1344640137963142</v>
      </c>
      <c r="N90" s="631">
        <v>6.2831853071795862</v>
      </c>
      <c r="O90" s="631">
        <v>0.32287916921993992</v>
      </c>
      <c r="P90" s="635">
        <v>0.72998517051812506</v>
      </c>
      <c r="Q90" s="635">
        <v>0.46113159953322974</v>
      </c>
      <c r="R90" s="635">
        <v>0.36655488892526294</v>
      </c>
      <c r="S90" s="682"/>
      <c r="T90" s="632" t="s">
        <v>1001</v>
      </c>
      <c r="U90" s="632"/>
      <c r="V90" s="610"/>
      <c r="W90" s="740" t="s">
        <v>690</v>
      </c>
      <c r="X90" s="610" t="s">
        <v>1001</v>
      </c>
      <c r="Y90" s="735" t="s">
        <v>1074</v>
      </c>
      <c r="Z90" s="741" t="s">
        <v>379</v>
      </c>
      <c r="AA90" s="627" t="s">
        <v>641</v>
      </c>
      <c r="AB90" s="610" t="e">
        <v>#N/A</v>
      </c>
      <c r="AC90" s="610"/>
    </row>
    <row r="91" spans="1:29" ht="15" customHeight="1">
      <c r="A91" s="802" t="s">
        <v>1002</v>
      </c>
      <c r="B91" s="682">
        <v>7859.9345303224</v>
      </c>
      <c r="C91" s="682">
        <v>15450.247093060785</v>
      </c>
      <c r="D91" s="682">
        <v>15326.508257930947</v>
      </c>
      <c r="E91" s="628">
        <v>500</v>
      </c>
      <c r="F91" s="561">
        <v>4</v>
      </c>
      <c r="G91" s="629">
        <v>1110.9551003164036</v>
      </c>
      <c r="H91" s="623">
        <v>433</v>
      </c>
      <c r="I91" s="629">
        <v>425</v>
      </c>
      <c r="J91" s="629">
        <v>450</v>
      </c>
      <c r="K91" s="630">
        <v>0.37908269531484556</v>
      </c>
      <c r="L91" s="817">
        <v>7.7957846483745347E-2</v>
      </c>
      <c r="M91" s="631">
        <v>1.1519173063162575</v>
      </c>
      <c r="N91" s="631">
        <v>6.2831853071795862</v>
      </c>
      <c r="O91" s="631">
        <v>0.42846552238668845</v>
      </c>
      <c r="P91" s="635">
        <v>0.97583392453653373</v>
      </c>
      <c r="Q91" s="635">
        <v>0.62267368588353444</v>
      </c>
      <c r="R91" s="635">
        <v>0.4882814144328691</v>
      </c>
      <c r="S91" s="682"/>
      <c r="T91" s="632" t="s">
        <v>1002</v>
      </c>
      <c r="U91" s="632"/>
      <c r="V91" s="610"/>
      <c r="W91" s="740" t="s">
        <v>690</v>
      </c>
      <c r="X91" s="610" t="s">
        <v>1002</v>
      </c>
      <c r="Y91" s="735" t="s">
        <v>1075</v>
      </c>
      <c r="Z91" s="741" t="s">
        <v>380</v>
      </c>
      <c r="AA91" s="627" t="s">
        <v>642</v>
      </c>
      <c r="AB91" s="610" t="e">
        <v>#N/A</v>
      </c>
      <c r="AC91" s="610"/>
    </row>
    <row r="92" spans="1:29" ht="15" customHeight="1">
      <c r="A92" s="802" t="s">
        <v>1003</v>
      </c>
      <c r="B92" s="682">
        <v>8636.8557128452994</v>
      </c>
      <c r="C92" s="682">
        <v>17752.463669445551</v>
      </c>
      <c r="D92" s="682">
        <v>17601.218960969312</v>
      </c>
      <c r="E92" s="628">
        <v>331</v>
      </c>
      <c r="F92" s="561">
        <v>5</v>
      </c>
      <c r="G92" s="629">
        <v>1210.9034354330288</v>
      </c>
      <c r="H92" s="623">
        <v>196</v>
      </c>
      <c r="I92" s="629">
        <v>186</v>
      </c>
      <c r="J92" s="629">
        <v>462</v>
      </c>
      <c r="K92" s="630">
        <v>0.45878917873615682</v>
      </c>
      <c r="L92" s="817">
        <v>5.6274968533847503E-2</v>
      </c>
      <c r="M92" s="631">
        <v>1.1695180620736756</v>
      </c>
      <c r="N92" s="631">
        <v>6.2831853071795862</v>
      </c>
      <c r="O92" s="631">
        <v>0.50119102348978106</v>
      </c>
      <c r="P92" s="635">
        <v>1.0993044070251239</v>
      </c>
      <c r="Q92" s="635">
        <v>0.65839173797167372</v>
      </c>
      <c r="R92" s="635">
        <v>0.55251169746135509</v>
      </c>
      <c r="S92" s="682"/>
      <c r="T92" s="632" t="s">
        <v>1003</v>
      </c>
      <c r="U92" s="632"/>
      <c r="V92" s="610"/>
      <c r="W92" s="740" t="s">
        <v>690</v>
      </c>
      <c r="X92" s="610" t="s">
        <v>1190</v>
      </c>
      <c r="Y92" s="735" t="s">
        <v>1183</v>
      </c>
      <c r="Z92" s="741" t="s">
        <v>381</v>
      </c>
      <c r="AA92" s="627" t="s">
        <v>643</v>
      </c>
      <c r="AB92" s="610" t="e">
        <v>#N/A</v>
      </c>
      <c r="AC92" s="610"/>
    </row>
    <row r="93" spans="1:29" s="768" customFormat="1" ht="13.5">
      <c r="A93" s="802" t="s">
        <v>1004</v>
      </c>
      <c r="B93" s="682">
        <v>16094.030798267881</v>
      </c>
      <c r="C93" s="682">
        <v>29083.188417643549</v>
      </c>
      <c r="D93" s="682">
        <v>28877.902038417677</v>
      </c>
      <c r="E93" s="628">
        <v>450</v>
      </c>
      <c r="F93" s="561">
        <v>5</v>
      </c>
      <c r="G93" s="629">
        <v>1664.3543045494741</v>
      </c>
      <c r="H93" s="623">
        <v>285</v>
      </c>
      <c r="I93" s="629">
        <v>275</v>
      </c>
      <c r="J93" s="629">
        <v>600</v>
      </c>
      <c r="K93" s="630">
        <v>0.65231545640021271</v>
      </c>
      <c r="L93" s="817">
        <v>4.9749767149476931E-2</v>
      </c>
      <c r="M93" s="631">
        <v>1.1344640137963142</v>
      </c>
      <c r="N93" s="631">
        <v>6.2831853071795862</v>
      </c>
      <c r="O93" s="631">
        <v>0.70533652211101383</v>
      </c>
      <c r="P93" s="635">
        <v>1.5299943351721073</v>
      </c>
      <c r="Q93" s="635">
        <v>0.89668709416463932</v>
      </c>
      <c r="R93" s="635">
        <v>0.76766721038483487</v>
      </c>
      <c r="S93" s="682"/>
      <c r="T93" s="632" t="s">
        <v>1004</v>
      </c>
      <c r="U93" s="632"/>
      <c r="V93" s="610"/>
      <c r="W93" s="740" t="s">
        <v>690</v>
      </c>
      <c r="X93" s="610" t="s">
        <v>809</v>
      </c>
      <c r="Y93" s="735" t="s">
        <v>1076</v>
      </c>
      <c r="Z93" s="741" t="s">
        <v>366</v>
      </c>
      <c r="AA93" s="627" t="s">
        <v>644</v>
      </c>
      <c r="AB93" s="610" t="e">
        <v>#N/A</v>
      </c>
      <c r="AC93" s="610"/>
    </row>
    <row r="94" spans="1:29" s="768" customFormat="1" ht="13.5">
      <c r="A94" s="802" t="s">
        <v>1005</v>
      </c>
      <c r="B94" s="682">
        <v>5918.6424039857129</v>
      </c>
      <c r="C94" s="682">
        <v>11978.701466007105</v>
      </c>
      <c r="D94" s="682">
        <v>11880.665435874816</v>
      </c>
      <c r="E94" s="628">
        <v>400</v>
      </c>
      <c r="F94" s="561">
        <v>4</v>
      </c>
      <c r="G94" s="629">
        <v>877.5471186165172</v>
      </c>
      <c r="H94" s="623">
        <v>333</v>
      </c>
      <c r="I94" s="629">
        <v>325</v>
      </c>
      <c r="J94" s="629">
        <v>375</v>
      </c>
      <c r="K94" s="630">
        <v>0.29754139269362068</v>
      </c>
      <c r="L94" s="817">
        <v>7.8860056716875404E-2</v>
      </c>
      <c r="M94" s="631">
        <v>1.2173819362313629</v>
      </c>
      <c r="N94" s="631">
        <v>6.2831853071795862</v>
      </c>
      <c r="O94" s="631">
        <v>0.33677883462582925</v>
      </c>
      <c r="P94" s="635">
        <v>0.76823788814797589</v>
      </c>
      <c r="Q94" s="635">
        <v>0.4923565137559674</v>
      </c>
      <c r="R94" s="635">
        <v>0.38519060486054985</v>
      </c>
      <c r="S94" s="682"/>
      <c r="T94" s="632" t="s">
        <v>1005</v>
      </c>
      <c r="U94" s="632"/>
      <c r="V94" s="610"/>
      <c r="W94" s="740" t="s">
        <v>690</v>
      </c>
      <c r="X94" s="610" t="s">
        <v>1005</v>
      </c>
      <c r="Y94" s="735" t="s">
        <v>1077</v>
      </c>
      <c r="Z94" s="741"/>
      <c r="AA94" s="627" t="s">
        <v>1173</v>
      </c>
      <c r="AB94" s="610"/>
      <c r="AC94" s="610"/>
    </row>
    <row r="95" spans="1:29" s="768" customFormat="1" ht="13.5">
      <c r="A95" s="802" t="s">
        <v>1006</v>
      </c>
      <c r="B95" s="682">
        <v>11525.235216567549</v>
      </c>
      <c r="C95" s="682">
        <v>23228.326942107349</v>
      </c>
      <c r="D95" s="682">
        <v>23029.382760333712</v>
      </c>
      <c r="E95" s="628">
        <v>200</v>
      </c>
      <c r="F95" s="561">
        <v>6</v>
      </c>
      <c r="G95" s="629">
        <v>1341.8333657840433</v>
      </c>
      <c r="H95" s="623">
        <v>162</v>
      </c>
      <c r="I95" s="629">
        <v>150</v>
      </c>
      <c r="J95" s="629">
        <v>425</v>
      </c>
      <c r="K95" s="630">
        <v>0.63609229088442965</v>
      </c>
      <c r="L95" s="817">
        <v>9.3815475648114707E-3</v>
      </c>
      <c r="M95" s="631">
        <v>1.172028628152634</v>
      </c>
      <c r="N95" s="631">
        <v>6.2831853071795862</v>
      </c>
      <c r="O95" s="631">
        <v>0.64553547406169842</v>
      </c>
      <c r="P95" s="635">
        <v>1.3103799653545847</v>
      </c>
      <c r="Q95" s="635">
        <v>0.68071451865471366</v>
      </c>
      <c r="R95" s="635">
        <v>0.66111884712932967</v>
      </c>
      <c r="S95" s="682"/>
      <c r="T95" s="632" t="s">
        <v>1006</v>
      </c>
      <c r="U95" s="632"/>
      <c r="V95" s="610"/>
      <c r="W95" s="740" t="s">
        <v>690</v>
      </c>
      <c r="X95" s="610" t="s">
        <v>1006</v>
      </c>
      <c r="Y95" s="735" t="s">
        <v>1012</v>
      </c>
      <c r="Z95" s="741"/>
      <c r="AA95" s="627" t="s">
        <v>1174</v>
      </c>
      <c r="AB95" s="610"/>
      <c r="AC95" s="610"/>
    </row>
    <row r="96" spans="1:29" s="768" customFormat="1" ht="13.5">
      <c r="A96" s="802" t="s">
        <v>1007</v>
      </c>
      <c r="B96" s="682">
        <v>10137.073650001341</v>
      </c>
      <c r="C96" s="682">
        <v>20453.88588013051</v>
      </c>
      <c r="D96" s="682">
        <v>20283.314579297585</v>
      </c>
      <c r="E96" s="628">
        <v>350</v>
      </c>
      <c r="F96" s="561">
        <v>5</v>
      </c>
      <c r="G96" s="629">
        <v>1319.6207918151017</v>
      </c>
      <c r="H96" s="623">
        <v>235</v>
      </c>
      <c r="I96" s="629">
        <v>225</v>
      </c>
      <c r="J96" s="629">
        <v>450</v>
      </c>
      <c r="K96" s="630">
        <v>0.55023126850631976</v>
      </c>
      <c r="L96" s="817">
        <v>3.6575409143237633E-2</v>
      </c>
      <c r="M96" s="631">
        <v>1.1344640137963142</v>
      </c>
      <c r="N96" s="631">
        <v>6.2831853071795862</v>
      </c>
      <c r="O96" s="631">
        <v>0.58276918354643958</v>
      </c>
      <c r="P96" s="635">
        <v>1.2365003673624275</v>
      </c>
      <c r="Q96" s="635">
        <v>0.69738956427448984</v>
      </c>
      <c r="R96" s="635">
        <v>0.62223122754061189</v>
      </c>
      <c r="S96" s="682"/>
      <c r="T96" s="632" t="s">
        <v>1007</v>
      </c>
      <c r="U96" s="632"/>
      <c r="V96" s="610"/>
      <c r="W96" s="740" t="s">
        <v>690</v>
      </c>
      <c r="X96" s="610" t="s">
        <v>1007</v>
      </c>
      <c r="Y96" s="735" t="s">
        <v>1078</v>
      </c>
      <c r="Z96" s="741"/>
      <c r="AA96" s="627" t="s">
        <v>1175</v>
      </c>
      <c r="AB96" s="610"/>
      <c r="AC96" s="610"/>
    </row>
    <row r="97" spans="1:29" s="768" customFormat="1" ht="13.5">
      <c r="A97" s="802" t="s">
        <v>1184</v>
      </c>
      <c r="B97" s="682">
        <v>10611.404350178167</v>
      </c>
      <c r="C97" s="682">
        <v>21494.72653848576</v>
      </c>
      <c r="D97" s="682">
        <v>21312.838873125642</v>
      </c>
      <c r="E97" s="628">
        <v>278</v>
      </c>
      <c r="F97" s="561">
        <v>5</v>
      </c>
      <c r="G97" s="629">
        <v>1302.6241641649626</v>
      </c>
      <c r="H97" s="623">
        <v>192</v>
      </c>
      <c r="I97" s="629">
        <v>182</v>
      </c>
      <c r="J97" s="629">
        <v>442</v>
      </c>
      <c r="K97" s="630">
        <v>0.57215797844931815</v>
      </c>
      <c r="L97" s="817">
        <v>2.5688342053874179E-2</v>
      </c>
      <c r="M97" s="631">
        <v>1.1693705988362009</v>
      </c>
      <c r="N97" s="631">
        <v>6.2831853071795862</v>
      </c>
      <c r="O97" s="631">
        <v>0.59571733991934539</v>
      </c>
      <c r="P97" s="635">
        <v>1.2415036110305224</v>
      </c>
      <c r="Q97" s="635">
        <v>0.67737737490863448</v>
      </c>
      <c r="R97" s="635">
        <v>0.62524678925632804</v>
      </c>
      <c r="S97" s="682"/>
      <c r="T97" s="632" t="s">
        <v>1184</v>
      </c>
      <c r="U97" s="632"/>
      <c r="V97" s="610"/>
      <c r="W97" s="740" t="s">
        <v>690</v>
      </c>
      <c r="X97" s="610" t="s">
        <v>1184</v>
      </c>
      <c r="Y97" s="735" t="s">
        <v>1185</v>
      </c>
      <c r="Z97" s="741"/>
      <c r="AA97" s="627" t="s">
        <v>1191</v>
      </c>
      <c r="AB97" s="610"/>
      <c r="AC97" s="610"/>
    </row>
    <row r="98" spans="1:29" s="768" customFormat="1" ht="13.5">
      <c r="A98" s="802" t="s">
        <v>1009</v>
      </c>
      <c r="B98" s="682">
        <v>16504.585206202333</v>
      </c>
      <c r="C98" s="682">
        <v>29680.92536178555</v>
      </c>
      <c r="D98" s="682">
        <v>29475.638982559678</v>
      </c>
      <c r="E98" s="628"/>
      <c r="F98" s="561"/>
      <c r="G98" s="629"/>
      <c r="H98" s="623">
        <v>0</v>
      </c>
      <c r="I98" s="629"/>
      <c r="J98" s="629"/>
      <c r="K98" s="630"/>
      <c r="L98" s="817"/>
      <c r="M98" s="631"/>
      <c r="N98" s="631"/>
      <c r="O98" s="631"/>
      <c r="P98" s="635">
        <v>0</v>
      </c>
      <c r="Q98" s="635">
        <v>0</v>
      </c>
      <c r="R98" s="635">
        <v>0</v>
      </c>
      <c r="S98" s="682"/>
      <c r="T98" s="632" t="s">
        <v>1009</v>
      </c>
      <c r="U98" s="632"/>
      <c r="V98" s="610"/>
      <c r="W98" s="740" t="s">
        <v>690</v>
      </c>
      <c r="X98" s="610" t="s">
        <v>1176</v>
      </c>
      <c r="Y98" s="735" t="s">
        <v>1168</v>
      </c>
      <c r="Z98" s="741"/>
      <c r="AA98" s="627"/>
      <c r="AB98" s="610"/>
      <c r="AC98" s="610"/>
    </row>
    <row r="99" spans="1:29" s="768" customFormat="1" ht="13.5">
      <c r="A99" s="802" t="s">
        <v>1010</v>
      </c>
      <c r="B99" s="682">
        <v>47195.592695113679</v>
      </c>
      <c r="C99" s="682">
        <v>68590.855240429169</v>
      </c>
      <c r="D99" s="682">
        <v>68338.501357528628</v>
      </c>
      <c r="E99" s="628">
        <v>1350</v>
      </c>
      <c r="F99" s="561">
        <v>5</v>
      </c>
      <c r="G99" s="629">
        <v>2810.0022741290645</v>
      </c>
      <c r="H99" s="623">
        <v>1010</v>
      </c>
      <c r="I99" s="629">
        <v>1000</v>
      </c>
      <c r="J99" s="629">
        <v>1325</v>
      </c>
      <c r="K99" s="630">
        <v>0.73488128269999475</v>
      </c>
      <c r="L99" s="817">
        <v>0.13222653040182564</v>
      </c>
      <c r="M99" s="631">
        <v>1.1333146975541581</v>
      </c>
      <c r="N99" s="631">
        <v>6.2831853071795862</v>
      </c>
      <c r="O99" s="631">
        <v>0.90452497309739399</v>
      </c>
      <c r="P99" s="635">
        <v>2.2748617495089456</v>
      </c>
      <c r="Q99" s="635">
        <v>1.6916722081477189</v>
      </c>
      <c r="R99" s="635">
        <v>1.1183300659813458</v>
      </c>
      <c r="S99" s="682"/>
      <c r="T99" s="632" t="s">
        <v>1010</v>
      </c>
      <c r="U99" s="632"/>
      <c r="V99" s="610"/>
      <c r="W99" s="740" t="s">
        <v>690</v>
      </c>
      <c r="X99" s="610" t="s">
        <v>1010</v>
      </c>
      <c r="Y99" s="735" t="s">
        <v>1079</v>
      </c>
      <c r="Z99" s="741"/>
      <c r="AA99" s="627" t="s">
        <v>1177</v>
      </c>
      <c r="AB99" s="610"/>
      <c r="AC99" s="610"/>
    </row>
    <row r="100" spans="1:29" s="768" customFormat="1" ht="13.5">
      <c r="A100" s="802" t="s">
        <v>1011</v>
      </c>
      <c r="B100" s="682">
        <v>86896.952539485181</v>
      </c>
      <c r="C100" s="682">
        <v>120699.13837743859</v>
      </c>
      <c r="D100" s="682">
        <v>120391.30778581683</v>
      </c>
      <c r="E100" s="628">
        <v>1700</v>
      </c>
      <c r="F100" s="561">
        <v>5</v>
      </c>
      <c r="G100" s="629">
        <v>3178.0224346160021</v>
      </c>
      <c r="H100" s="623">
        <v>1485</v>
      </c>
      <c r="I100" s="629">
        <v>1475</v>
      </c>
      <c r="J100" s="629">
        <v>1525</v>
      </c>
      <c r="K100" s="630">
        <v>0.89946072035969615</v>
      </c>
      <c r="L100" s="817">
        <v>0.11655513394896098</v>
      </c>
      <c r="M100" s="631">
        <v>1.2312303797444535</v>
      </c>
      <c r="N100" s="631">
        <v>6.2831853071795862</v>
      </c>
      <c r="O100" s="631">
        <v>1.080176529938857</v>
      </c>
      <c r="P100" s="635">
        <v>2.6380056057288006</v>
      </c>
      <c r="Q100" s="635">
        <v>1.8758214458233491</v>
      </c>
      <c r="R100" s="635">
        <v>1.3022009887926531</v>
      </c>
      <c r="S100" s="682"/>
      <c r="T100" s="632" t="s">
        <v>1011</v>
      </c>
      <c r="U100" s="632"/>
      <c r="V100" s="610"/>
      <c r="W100" s="740" t="s">
        <v>690</v>
      </c>
      <c r="X100" s="610" t="s">
        <v>1011</v>
      </c>
      <c r="Y100" s="735" t="s">
        <v>1080</v>
      </c>
      <c r="Z100" s="741"/>
      <c r="AA100" s="627" t="s">
        <v>1178</v>
      </c>
      <c r="AB100" s="610"/>
      <c r="AC100" s="610"/>
    </row>
    <row r="101" spans="1:29" s="768" customFormat="1" ht="13.5">
      <c r="A101" s="802" t="s">
        <v>1162</v>
      </c>
      <c r="B101" s="682">
        <v>63788.230485782442</v>
      </c>
      <c r="C101" s="682">
        <v>89650.269561090798</v>
      </c>
      <c r="D101" s="682">
        <v>89369.543820032501</v>
      </c>
      <c r="E101" s="628">
        <v>1625</v>
      </c>
      <c r="F101" s="561">
        <v>5</v>
      </c>
      <c r="G101" s="629">
        <v>3219.8546682247384</v>
      </c>
      <c r="H101" s="623">
        <v>1285</v>
      </c>
      <c r="I101" s="629">
        <v>1275</v>
      </c>
      <c r="J101" s="629">
        <v>1625</v>
      </c>
      <c r="K101" s="630">
        <v>0.76151635614453639</v>
      </c>
      <c r="L101" s="817">
        <v>0.15219728288207379</v>
      </c>
      <c r="M101" s="631">
        <v>1.1681407662289616</v>
      </c>
      <c r="N101" s="631">
        <v>6.2831853071795862</v>
      </c>
      <c r="O101" s="631">
        <v>0.96717802986980728</v>
      </c>
      <c r="P101" s="635">
        <v>2.5273080603672002</v>
      </c>
      <c r="Q101" s="635">
        <v>1.986472199594878</v>
      </c>
      <c r="R101" s="635">
        <v>1.2333824686298605</v>
      </c>
      <c r="S101" s="682"/>
      <c r="T101" s="632" t="s">
        <v>1162</v>
      </c>
      <c r="U101" s="632"/>
      <c r="V101" s="610"/>
      <c r="W101" s="740" t="s">
        <v>690</v>
      </c>
      <c r="X101" s="610" t="s">
        <v>1162</v>
      </c>
      <c r="Y101" s="735" t="s">
        <v>1161</v>
      </c>
      <c r="Z101" s="741"/>
      <c r="AA101" s="627" t="s">
        <v>1179</v>
      </c>
      <c r="AB101" s="610"/>
      <c r="AC101" s="610"/>
    </row>
    <row r="102" spans="1:29" s="768" customFormat="1" ht="13.5">
      <c r="A102" s="802" t="s">
        <v>1186</v>
      </c>
      <c r="B102" s="682">
        <v>6701.4735667127388</v>
      </c>
      <c r="C102" s="682">
        <v>15158.60884070087</v>
      </c>
      <c r="D102" s="682">
        <v>15014.341367648442</v>
      </c>
      <c r="E102" s="628">
        <v>150</v>
      </c>
      <c r="F102" s="561">
        <v>4</v>
      </c>
      <c r="G102" s="629">
        <v>1064.6476460409735</v>
      </c>
      <c r="H102" s="623">
        <v>147</v>
      </c>
      <c r="I102" s="629">
        <v>139</v>
      </c>
      <c r="J102" s="629">
        <v>376</v>
      </c>
      <c r="K102" s="630">
        <v>0.44624743819776408</v>
      </c>
      <c r="L102" s="817">
        <v>3.5498339487983178E-2</v>
      </c>
      <c r="M102" s="631">
        <v>1.1693705988362009</v>
      </c>
      <c r="N102" s="631">
        <v>6.2831853071795862</v>
      </c>
      <c r="O102" s="631">
        <v>0.4718373145548862</v>
      </c>
      <c r="P102" s="635">
        <v>0.99934085452377308</v>
      </c>
      <c r="Q102" s="635">
        <v>0.56175301416254209</v>
      </c>
      <c r="R102" s="635">
        <v>0.50289463187843142</v>
      </c>
      <c r="S102" s="682"/>
      <c r="T102" s="632" t="s">
        <v>1186</v>
      </c>
      <c r="U102" s="632"/>
      <c r="V102" s="610"/>
      <c r="W102" s="740" t="s">
        <v>690</v>
      </c>
      <c r="X102" s="610" t="s">
        <v>1186</v>
      </c>
      <c r="Y102" s="735" t="s">
        <v>1187</v>
      </c>
      <c r="Z102" s="741"/>
      <c r="AA102" s="627" t="s">
        <v>1192</v>
      </c>
      <c r="AB102" s="610"/>
      <c r="AC102" s="610"/>
    </row>
    <row r="103" spans="1:29" s="768" customFormat="1" ht="13.5">
      <c r="A103" s="802" t="s">
        <v>1193</v>
      </c>
      <c r="B103" s="682">
        <v>10297.209539235548</v>
      </c>
      <c r="C103" s="682">
        <v>21189.58639121486</v>
      </c>
      <c r="D103" s="682">
        <v>20994.56061953431</v>
      </c>
      <c r="E103" s="628">
        <v>298</v>
      </c>
      <c r="F103" s="561">
        <v>5</v>
      </c>
      <c r="G103" s="629">
        <v>1275.3077955136587</v>
      </c>
      <c r="H103" s="623">
        <v>180</v>
      </c>
      <c r="I103" s="629">
        <v>170</v>
      </c>
      <c r="J103" s="629">
        <v>413</v>
      </c>
      <c r="K103" s="630">
        <v>0.58965004872894622</v>
      </c>
      <c r="L103" s="817">
        <v>1.4880168919100583E-2</v>
      </c>
      <c r="M103" s="631">
        <v>1.1693705988362009</v>
      </c>
      <c r="N103" s="631">
        <v>6.2831853071795862</v>
      </c>
      <c r="O103" s="631">
        <v>0.60359469496055018</v>
      </c>
      <c r="P103" s="635">
        <v>1.2360758129766318</v>
      </c>
      <c r="Q103" s="635">
        <v>0.65243867709356429</v>
      </c>
      <c r="R103" s="635">
        <v>0.6228691184200944</v>
      </c>
      <c r="S103" s="682"/>
      <c r="T103" s="632" t="s">
        <v>1193</v>
      </c>
      <c r="U103" s="632"/>
      <c r="V103" s="610"/>
      <c r="W103" s="740" t="s">
        <v>690</v>
      </c>
      <c r="X103" s="610"/>
      <c r="Y103" s="735" t="s">
        <v>1248</v>
      </c>
      <c r="Z103" s="741"/>
      <c r="AA103" s="627" t="s">
        <v>1249</v>
      </c>
      <c r="AB103" s="610"/>
      <c r="AC103" s="610"/>
    </row>
    <row r="104" spans="1:29" s="768" customFormat="1" ht="13.5">
      <c r="A104" s="802" t="s">
        <v>1194</v>
      </c>
      <c r="B104" s="682">
        <v>17520.287517024237</v>
      </c>
      <c r="C104" s="682">
        <v>29637.790865502331</v>
      </c>
      <c r="D104" s="682">
        <v>29471.947443160341</v>
      </c>
      <c r="E104" s="628">
        <v>650</v>
      </c>
      <c r="F104" s="561">
        <v>5</v>
      </c>
      <c r="G104" s="629">
        <v>1642.9213208902806</v>
      </c>
      <c r="H104" s="623">
        <v>485</v>
      </c>
      <c r="I104" s="629">
        <v>475</v>
      </c>
      <c r="J104" s="629">
        <v>700</v>
      </c>
      <c r="K104" s="630">
        <v>0.52812435600783358</v>
      </c>
      <c r="L104" s="817">
        <v>9.0318662176325865E-2</v>
      </c>
      <c r="M104" s="631">
        <v>1.1651668628717871</v>
      </c>
      <c r="N104" s="631">
        <v>6.2831853071795862</v>
      </c>
      <c r="O104" s="631">
        <v>0.60862602675244637</v>
      </c>
      <c r="P104" s="635">
        <v>1.4169382890314819</v>
      </c>
      <c r="Q104" s="635">
        <v>0.93652280323703474</v>
      </c>
      <c r="R104" s="635">
        <v>0.70639851765324591</v>
      </c>
      <c r="S104" s="682"/>
      <c r="T104" s="632" t="s">
        <v>1194</v>
      </c>
      <c r="U104" s="632"/>
      <c r="V104" s="610"/>
      <c r="W104" s="740" t="s">
        <v>690</v>
      </c>
      <c r="X104" s="610"/>
      <c r="Y104" s="735" t="s">
        <v>1250</v>
      </c>
      <c r="Z104" s="741"/>
      <c r="AA104" s="627" t="s">
        <v>1251</v>
      </c>
      <c r="AB104" s="610"/>
      <c r="AC104" s="610"/>
    </row>
    <row r="105" spans="1:29" s="768" customFormat="1" ht="13.5">
      <c r="A105" s="803" t="s">
        <v>1197</v>
      </c>
      <c r="B105" s="682">
        <v>8065.2155581172919</v>
      </c>
      <c r="C105" s="682">
        <v>15386.611000524003</v>
      </c>
      <c r="D105" s="682">
        <v>15285.979324874812</v>
      </c>
      <c r="E105" s="628">
        <v>488</v>
      </c>
      <c r="F105" s="561">
        <v>4</v>
      </c>
      <c r="G105" s="629">
        <v>1147.8869696271706</v>
      </c>
      <c r="H105" s="623">
        <v>379</v>
      </c>
      <c r="I105" s="629">
        <v>371</v>
      </c>
      <c r="J105" s="629">
        <v>504.15220433045459</v>
      </c>
      <c r="K105" s="630">
        <v>0.35469725086656501</v>
      </c>
      <c r="L105" s="817">
        <v>9.8132563740484596E-2</v>
      </c>
      <c r="M105" s="631">
        <v>1.1764406625455939</v>
      </c>
      <c r="N105" s="631">
        <v>6.2831853071795862</v>
      </c>
      <c r="O105" s="631">
        <v>0.41381163477663474</v>
      </c>
      <c r="P105" s="635">
        <v>0.97705028193230037</v>
      </c>
      <c r="Q105" s="635">
        <v>0.66110885770735084</v>
      </c>
      <c r="R105" s="635">
        <v>0.4867781119198199</v>
      </c>
      <c r="S105" s="682"/>
      <c r="T105" s="632" t="s">
        <v>1197</v>
      </c>
      <c r="U105" s="632"/>
      <c r="V105" s="610"/>
      <c r="W105" s="740" t="s">
        <v>690</v>
      </c>
      <c r="X105" s="610"/>
      <c r="Y105" s="735" t="s">
        <v>1252</v>
      </c>
      <c r="Z105" s="741"/>
      <c r="AA105" s="627" t="s">
        <v>1253</v>
      </c>
      <c r="AB105" s="610"/>
      <c r="AC105" s="610"/>
    </row>
    <row r="106" spans="1:29" s="768" customFormat="1" ht="13.5">
      <c r="A106" s="663" t="s">
        <v>860</v>
      </c>
      <c r="B106" s="682">
        <v>2820.0702723372506</v>
      </c>
      <c r="C106" s="682">
        <v>6282.7344933913382</v>
      </c>
      <c r="D106" s="682">
        <v>6230.8969137735048</v>
      </c>
      <c r="E106" s="628">
        <v>98</v>
      </c>
      <c r="F106" s="561">
        <v>3</v>
      </c>
      <c r="G106" s="629">
        <v>394.473027618054</v>
      </c>
      <c r="H106" s="623">
        <v>70</v>
      </c>
      <c r="I106" s="629">
        <v>64</v>
      </c>
      <c r="J106" s="629">
        <v>117.8583366117297</v>
      </c>
      <c r="K106" s="630">
        <v>0.16266468239880821</v>
      </c>
      <c r="L106" s="817">
        <v>3.727878523101251E-2</v>
      </c>
      <c r="M106" s="631">
        <v>1.0249206336432248</v>
      </c>
      <c r="N106" s="631">
        <v>6.2831853071795862</v>
      </c>
      <c r="O106" s="631">
        <v>0.18054966867164146</v>
      </c>
      <c r="P106" s="635">
        <v>0.37445364234748318</v>
      </c>
      <c r="Q106" s="635">
        <v>0.20859751241842803</v>
      </c>
      <c r="R106" s="635">
        <v>0.185875515199626</v>
      </c>
      <c r="S106" s="682"/>
      <c r="T106" s="632" t="s">
        <v>860</v>
      </c>
      <c r="U106" s="632"/>
      <c r="V106" s="610"/>
      <c r="W106" s="742" t="s">
        <v>691</v>
      </c>
      <c r="X106" s="610" t="s">
        <v>860</v>
      </c>
      <c r="Y106" s="735" t="s">
        <v>1198</v>
      </c>
      <c r="Z106" s="636" t="s">
        <v>453</v>
      </c>
      <c r="AA106" s="633" t="s">
        <v>453</v>
      </c>
      <c r="AB106" s="610">
        <v>89</v>
      </c>
      <c r="AC106" s="610"/>
    </row>
    <row r="107" spans="1:29" s="768" customFormat="1" ht="13.5">
      <c r="A107" s="663" t="s">
        <v>861</v>
      </c>
      <c r="B107" s="682">
        <v>3091.1405558177653</v>
      </c>
      <c r="C107" s="682">
        <v>7194.1367851880041</v>
      </c>
      <c r="D107" s="682">
        <v>7128.81481066571</v>
      </c>
      <c r="E107" s="628">
        <v>98</v>
      </c>
      <c r="F107" s="561">
        <v>3</v>
      </c>
      <c r="G107" s="629">
        <v>479.94792270879748</v>
      </c>
      <c r="H107" s="623">
        <v>70</v>
      </c>
      <c r="I107" s="629">
        <v>64</v>
      </c>
      <c r="J107" s="629">
        <v>117.8588659330926</v>
      </c>
      <c r="K107" s="630">
        <v>0.20560070040486636</v>
      </c>
      <c r="L107" s="817">
        <v>2.9902373804087255E-2</v>
      </c>
      <c r="M107" s="631">
        <v>0.90649411987203488</v>
      </c>
      <c r="N107" s="631">
        <v>6.2831853071795862</v>
      </c>
      <c r="O107" s="631">
        <v>0.20790886289767813</v>
      </c>
      <c r="P107" s="635">
        <v>0.4446216546285835</v>
      </c>
      <c r="Q107" s="635">
        <v>0.2510965775465131</v>
      </c>
      <c r="R107" s="635">
        <v>0.22885134516228439</v>
      </c>
      <c r="S107" s="682"/>
      <c r="T107" s="632" t="s">
        <v>861</v>
      </c>
      <c r="U107" s="632"/>
      <c r="V107" s="610"/>
      <c r="W107" s="743" t="s">
        <v>691</v>
      </c>
      <c r="X107" s="610" t="s">
        <v>861</v>
      </c>
      <c r="Y107" s="735" t="s">
        <v>1199</v>
      </c>
      <c r="Z107" s="636" t="s">
        <v>454</v>
      </c>
      <c r="AA107" s="633" t="s">
        <v>454</v>
      </c>
      <c r="AB107" s="610">
        <v>90</v>
      </c>
      <c r="AC107" s="610"/>
    </row>
    <row r="108" spans="1:29" s="768" customFormat="1" ht="13.5">
      <c r="A108" s="663" t="s">
        <v>862</v>
      </c>
      <c r="B108" s="682">
        <v>3062.7012183535262</v>
      </c>
      <c r="C108" s="682">
        <v>7146.2339964188468</v>
      </c>
      <c r="D108" s="682">
        <v>7081.9460370851866</v>
      </c>
      <c r="E108" s="628">
        <v>102</v>
      </c>
      <c r="F108" s="561">
        <v>3</v>
      </c>
      <c r="G108" s="629">
        <v>484.57224661858214</v>
      </c>
      <c r="H108" s="623">
        <v>86</v>
      </c>
      <c r="I108" s="629">
        <v>80</v>
      </c>
      <c r="J108" s="629">
        <v>102.1442736110244</v>
      </c>
      <c r="K108" s="630">
        <v>0.20607816059416359</v>
      </c>
      <c r="L108" s="817">
        <v>3.1445844117781244E-2</v>
      </c>
      <c r="M108" s="631">
        <v>0.78823608476046081</v>
      </c>
      <c r="N108" s="631">
        <v>6.2831853071795862</v>
      </c>
      <c r="O108" s="631">
        <v>0.18724952956001703</v>
      </c>
      <c r="P108" s="635">
        <v>0.426244036102015</v>
      </c>
      <c r="Q108" s="635">
        <v>0.25409606196857815</v>
      </c>
      <c r="R108" s="635">
        <v>0.23047618465000397</v>
      </c>
      <c r="S108" s="682"/>
      <c r="T108" s="632" t="s">
        <v>862</v>
      </c>
      <c r="U108" s="632"/>
      <c r="V108" s="610"/>
      <c r="W108" s="743" t="s">
        <v>691</v>
      </c>
      <c r="X108" s="610" t="s">
        <v>862</v>
      </c>
      <c r="Y108" s="735" t="s">
        <v>1081</v>
      </c>
      <c r="Z108" s="636" t="s">
        <v>455</v>
      </c>
      <c r="AA108" s="633" t="s">
        <v>455</v>
      </c>
      <c r="AB108" s="610">
        <v>91</v>
      </c>
      <c r="AC108" s="610"/>
    </row>
    <row r="109" spans="1:29" s="768" customFormat="1" ht="13.5">
      <c r="A109" s="663" t="s">
        <v>863</v>
      </c>
      <c r="B109" s="682">
        <v>3198.7772471490889</v>
      </c>
      <c r="C109" s="682">
        <v>7298.8545402126965</v>
      </c>
      <c r="D109" s="682">
        <v>7234.5665808790363</v>
      </c>
      <c r="E109" s="628">
        <v>125</v>
      </c>
      <c r="F109" s="561">
        <v>3</v>
      </c>
      <c r="G109" s="629">
        <v>484.4453570601197</v>
      </c>
      <c r="H109" s="623">
        <v>100</v>
      </c>
      <c r="I109" s="629">
        <v>94</v>
      </c>
      <c r="J109" s="629">
        <v>130.55154797121702</v>
      </c>
      <c r="K109" s="630">
        <v>0.20469611982967684</v>
      </c>
      <c r="L109" s="817">
        <v>3.2794837364853162E-2</v>
      </c>
      <c r="M109" s="631">
        <v>0.96099665928496258</v>
      </c>
      <c r="N109" s="631">
        <v>6.2831853071795862</v>
      </c>
      <c r="O109" s="631">
        <v>0.21646860522839281</v>
      </c>
      <c r="P109" s="635">
        <v>0.45537422254242643</v>
      </c>
      <c r="Q109" s="635">
        <v>0.25453510878963359</v>
      </c>
      <c r="R109" s="635">
        <v>0.22991024827048612</v>
      </c>
      <c r="S109" s="682"/>
      <c r="T109" s="632" t="s">
        <v>863</v>
      </c>
      <c r="U109" s="632"/>
      <c r="V109" s="610"/>
      <c r="W109" s="743" t="s">
        <v>691</v>
      </c>
      <c r="X109" s="610" t="s">
        <v>863</v>
      </c>
      <c r="Y109" s="735" t="s">
        <v>1082</v>
      </c>
      <c r="Z109" s="636" t="s">
        <v>456</v>
      </c>
      <c r="AA109" s="633" t="s">
        <v>456</v>
      </c>
      <c r="AB109" s="610">
        <v>92</v>
      </c>
      <c r="AC109" s="610"/>
    </row>
    <row r="110" spans="1:29" ht="15" customHeight="1">
      <c r="A110" s="663" t="s">
        <v>864</v>
      </c>
      <c r="B110" s="682">
        <v>3216.9616660625579</v>
      </c>
      <c r="C110" s="682">
        <v>7954.3507767754945</v>
      </c>
      <c r="D110" s="682">
        <v>7877.1114149430578</v>
      </c>
      <c r="E110" s="628">
        <v>98</v>
      </c>
      <c r="F110" s="561">
        <v>3</v>
      </c>
      <c r="G110" s="629">
        <v>519.6800479867029</v>
      </c>
      <c r="H110" s="623">
        <v>70</v>
      </c>
      <c r="I110" s="629">
        <v>64</v>
      </c>
      <c r="J110" s="629">
        <v>117.85872663762549</v>
      </c>
      <c r="K110" s="630">
        <v>0.25262695713764749</v>
      </c>
      <c r="L110" s="817">
        <v>3.5065704387824618E-3</v>
      </c>
      <c r="M110" s="631">
        <v>0.98383882279058543</v>
      </c>
      <c r="N110" s="631">
        <v>6.2831853071795862</v>
      </c>
      <c r="O110" s="631">
        <v>0.26383949079758218</v>
      </c>
      <c r="P110" s="635">
        <v>0.52067561867290624</v>
      </c>
      <c r="Q110" s="635">
        <v>0.26125471226837793</v>
      </c>
      <c r="R110" s="635">
        <v>0.25842533571832493</v>
      </c>
      <c r="S110" s="682"/>
      <c r="T110" s="632" t="s">
        <v>864</v>
      </c>
      <c r="U110" s="632"/>
      <c r="V110" s="610"/>
      <c r="W110" s="743" t="s">
        <v>691</v>
      </c>
      <c r="X110" s="610" t="s">
        <v>864</v>
      </c>
      <c r="Y110" s="735" t="s">
        <v>1200</v>
      </c>
      <c r="Z110" s="636" t="s">
        <v>457</v>
      </c>
      <c r="AA110" s="633" t="s">
        <v>457</v>
      </c>
      <c r="AB110" s="610">
        <v>93</v>
      </c>
      <c r="AC110" s="610"/>
    </row>
    <row r="111" spans="1:29" ht="15" customHeight="1">
      <c r="A111" s="663" t="s">
        <v>865</v>
      </c>
      <c r="B111" s="682">
        <v>3470.102779316695</v>
      </c>
      <c r="C111" s="682">
        <v>8317.7670354703441</v>
      </c>
      <c r="D111" s="682">
        <v>8238.4916128833756</v>
      </c>
      <c r="E111" s="628">
        <v>160</v>
      </c>
      <c r="F111" s="561">
        <v>3</v>
      </c>
      <c r="G111" s="629">
        <v>519.99177966956609</v>
      </c>
      <c r="H111" s="623">
        <v>130</v>
      </c>
      <c r="I111" s="629">
        <v>124</v>
      </c>
      <c r="J111" s="629">
        <v>167</v>
      </c>
      <c r="K111" s="630">
        <v>0.26130000000000003</v>
      </c>
      <c r="L111" s="817">
        <v>9.9999999999999995E-7</v>
      </c>
      <c r="M111" s="631">
        <v>1.2217304763960306</v>
      </c>
      <c r="N111" s="631">
        <v>6.2831853071795862</v>
      </c>
      <c r="O111" s="631">
        <v>0.26130000000000003</v>
      </c>
      <c r="P111" s="635">
        <v>0.52260123135014191</v>
      </c>
      <c r="Q111" s="635">
        <v>0.26430164180147869</v>
      </c>
      <c r="R111" s="635">
        <v>0.25569013786808742</v>
      </c>
      <c r="S111" s="682"/>
      <c r="T111" s="632" t="s">
        <v>865</v>
      </c>
      <c r="U111" s="632"/>
      <c r="V111" s="610"/>
      <c r="W111" s="743" t="s">
        <v>691</v>
      </c>
      <c r="X111" s="610" t="s">
        <v>865</v>
      </c>
      <c r="Y111" s="735" t="s">
        <v>1201</v>
      </c>
      <c r="Z111" s="636" t="s">
        <v>458</v>
      </c>
      <c r="AA111" s="633" t="s">
        <v>458</v>
      </c>
      <c r="AB111" s="610">
        <v>94</v>
      </c>
      <c r="AC111" s="610"/>
    </row>
    <row r="112" spans="1:29" ht="15" customHeight="1">
      <c r="A112" s="663" t="s">
        <v>866</v>
      </c>
      <c r="B112" s="682">
        <v>3573.6249397237671</v>
      </c>
      <c r="C112" s="682">
        <v>8429.3076473415822</v>
      </c>
      <c r="D112" s="682">
        <v>8350.0322247546173</v>
      </c>
      <c r="E112" s="628">
        <v>200</v>
      </c>
      <c r="F112" s="561">
        <v>3</v>
      </c>
      <c r="G112" s="629">
        <v>520.91174588509273</v>
      </c>
      <c r="H112" s="623">
        <v>170</v>
      </c>
      <c r="I112" s="629">
        <v>164</v>
      </c>
      <c r="J112" s="629">
        <v>196</v>
      </c>
      <c r="K112" s="630">
        <v>0.26101558191811031</v>
      </c>
      <c r="L112" s="817">
        <v>9.9999999999999995E-7</v>
      </c>
      <c r="M112" s="631">
        <v>1.3368348887769652</v>
      </c>
      <c r="N112" s="631">
        <v>6.2831853071795862</v>
      </c>
      <c r="O112" s="631">
        <v>0.26100000000000001</v>
      </c>
      <c r="P112" s="635">
        <v>0.52201681192796046</v>
      </c>
      <c r="Q112" s="635">
        <v>0.2640172219325318</v>
      </c>
      <c r="R112" s="635">
        <v>0.2568945239525609</v>
      </c>
      <c r="S112" s="682"/>
      <c r="T112" s="632" t="s">
        <v>866</v>
      </c>
      <c r="U112" s="632"/>
      <c r="V112" s="610"/>
      <c r="W112" s="743" t="s">
        <v>691</v>
      </c>
      <c r="X112" s="610" t="s">
        <v>866</v>
      </c>
      <c r="Y112" s="735" t="s">
        <v>1202</v>
      </c>
      <c r="Z112" s="636" t="s">
        <v>459</v>
      </c>
      <c r="AA112" s="633" t="s">
        <v>459</v>
      </c>
      <c r="AB112" s="610">
        <v>95</v>
      </c>
      <c r="AC112" s="610"/>
    </row>
    <row r="113" spans="1:29" ht="15" customHeight="1">
      <c r="A113" s="663" t="s">
        <v>867</v>
      </c>
      <c r="B113" s="682">
        <v>3802.3281600008272</v>
      </c>
      <c r="C113" s="682">
        <v>8909.6992530301723</v>
      </c>
      <c r="D113" s="682">
        <v>8826.8506861511923</v>
      </c>
      <c r="E113" s="628">
        <v>250</v>
      </c>
      <c r="F113" s="561">
        <v>3</v>
      </c>
      <c r="G113" s="629">
        <v>520.09101024002416</v>
      </c>
      <c r="H113" s="623">
        <v>210</v>
      </c>
      <c r="I113" s="629">
        <v>204</v>
      </c>
      <c r="J113" s="629">
        <v>269</v>
      </c>
      <c r="K113" s="630">
        <v>0.27800000000000002</v>
      </c>
      <c r="L113" s="817">
        <v>9.9999999999999995E-7</v>
      </c>
      <c r="M113" s="631">
        <v>1.571</v>
      </c>
      <c r="N113" s="631">
        <v>6.2831853071795862</v>
      </c>
      <c r="O113" s="631">
        <v>0.27800000000000002</v>
      </c>
      <c r="P113" s="635">
        <v>0.55600131004722331</v>
      </c>
      <c r="Q113" s="635">
        <v>0.28100174673100292</v>
      </c>
      <c r="R113" s="635">
        <v>0.23908926350902121</v>
      </c>
      <c r="S113" s="682"/>
      <c r="T113" s="632" t="s">
        <v>867</v>
      </c>
      <c r="U113" s="632"/>
      <c r="V113" s="610"/>
      <c r="W113" s="743" t="s">
        <v>691</v>
      </c>
      <c r="X113" s="610" t="s">
        <v>867</v>
      </c>
      <c r="Y113" s="735" t="s">
        <v>1203</v>
      </c>
      <c r="Z113" s="636" t="s">
        <v>460</v>
      </c>
      <c r="AA113" s="633" t="s">
        <v>460</v>
      </c>
      <c r="AB113" s="610">
        <v>96</v>
      </c>
      <c r="AC113" s="610"/>
    </row>
    <row r="114" spans="1:29" ht="15" customHeight="1">
      <c r="A114" s="663" t="s">
        <v>868</v>
      </c>
      <c r="B114" s="682">
        <v>4249.8824603752282</v>
      </c>
      <c r="C114" s="682">
        <v>10111.584970832977</v>
      </c>
      <c r="D114" s="682">
        <v>10014.682955889322</v>
      </c>
      <c r="E114" s="628">
        <v>200</v>
      </c>
      <c r="F114" s="561">
        <v>3</v>
      </c>
      <c r="G114" s="629">
        <v>759.89730271107464</v>
      </c>
      <c r="H114" s="623">
        <v>166</v>
      </c>
      <c r="I114" s="629">
        <v>160</v>
      </c>
      <c r="J114" s="629">
        <v>196.34979877663878</v>
      </c>
      <c r="K114" s="630">
        <v>0.31402871315374142</v>
      </c>
      <c r="L114" s="817">
        <v>3.8368951365070264E-2</v>
      </c>
      <c r="M114" s="631">
        <v>0.8950142293603699</v>
      </c>
      <c r="N114" s="631">
        <v>6.2831853071795862</v>
      </c>
      <c r="O114" s="631">
        <v>0.31696355511600821</v>
      </c>
      <c r="P114" s="635">
        <v>0.69322861761964594</v>
      </c>
      <c r="Q114" s="635">
        <v>0.40263980597340576</v>
      </c>
      <c r="R114" s="635">
        <v>0.35725749673766893</v>
      </c>
      <c r="S114" s="682"/>
      <c r="T114" s="632" t="s">
        <v>868</v>
      </c>
      <c r="U114" s="632"/>
      <c r="V114" s="610"/>
      <c r="W114" s="743" t="s">
        <v>691</v>
      </c>
      <c r="X114" s="610" t="s">
        <v>868</v>
      </c>
      <c r="Y114" s="735" t="s">
        <v>1204</v>
      </c>
      <c r="Z114" s="636" t="s">
        <v>461</v>
      </c>
      <c r="AA114" s="633" t="s">
        <v>461</v>
      </c>
      <c r="AB114" s="610">
        <v>97</v>
      </c>
      <c r="AC114" s="610"/>
    </row>
    <row r="115" spans="1:29" ht="15" customHeight="1">
      <c r="A115" s="663" t="s">
        <v>869</v>
      </c>
      <c r="B115" s="682">
        <v>4405.5864995458733</v>
      </c>
      <c r="C115" s="682">
        <v>10276.167414052519</v>
      </c>
      <c r="D115" s="682">
        <v>10179.265399108861</v>
      </c>
      <c r="E115" s="628">
        <v>250</v>
      </c>
      <c r="F115" s="561">
        <v>3</v>
      </c>
      <c r="G115" s="629">
        <v>759.85011826787843</v>
      </c>
      <c r="H115" s="623">
        <v>182</v>
      </c>
      <c r="I115" s="629">
        <v>176</v>
      </c>
      <c r="J115" s="629">
        <v>278.90553074929073</v>
      </c>
      <c r="K115" s="630">
        <v>0.30944483342455958</v>
      </c>
      <c r="L115" s="817">
        <v>4.1412592407400743E-2</v>
      </c>
      <c r="M115" s="631">
        <v>1.1843100715736801</v>
      </c>
      <c r="N115" s="631">
        <v>6.2831853071795862</v>
      </c>
      <c r="O115" s="631">
        <v>0.37628468821254263</v>
      </c>
      <c r="P115" s="635">
        <v>0.75241365304652696</v>
      </c>
      <c r="Q115" s="635">
        <v>0.40440978939667538</v>
      </c>
      <c r="R115" s="635">
        <v>0.35544032887120303</v>
      </c>
      <c r="S115" s="682"/>
      <c r="T115" s="632" t="s">
        <v>869</v>
      </c>
      <c r="U115" s="632"/>
      <c r="V115" s="610"/>
      <c r="W115" s="743" t="s">
        <v>691</v>
      </c>
      <c r="X115" s="610" t="s">
        <v>869</v>
      </c>
      <c r="Y115" s="735" t="s">
        <v>1205</v>
      </c>
      <c r="Z115" s="636" t="s">
        <v>462</v>
      </c>
      <c r="AA115" s="633" t="s">
        <v>462</v>
      </c>
      <c r="AB115" s="610">
        <v>98</v>
      </c>
      <c r="AC115" s="610"/>
    </row>
    <row r="116" spans="1:29" ht="15" customHeight="1">
      <c r="A116" s="663" t="s">
        <v>870</v>
      </c>
      <c r="B116" s="682">
        <v>4636.0888638130782</v>
      </c>
      <c r="C116" s="682">
        <v>10525.912465234163</v>
      </c>
      <c r="D116" s="682">
        <v>10429.010450290505</v>
      </c>
      <c r="E116" s="628">
        <v>310</v>
      </c>
      <c r="F116" s="561">
        <v>3</v>
      </c>
      <c r="G116" s="629">
        <v>759.8879686722064</v>
      </c>
      <c r="H116" s="623">
        <v>252</v>
      </c>
      <c r="I116" s="629">
        <v>246</v>
      </c>
      <c r="J116" s="629">
        <v>306.81505735708902</v>
      </c>
      <c r="K116" s="630">
        <v>0.30789117739366073</v>
      </c>
      <c r="L116" s="817">
        <v>4.2468226114407252E-2</v>
      </c>
      <c r="M116" s="631">
        <v>1.2733939438204971</v>
      </c>
      <c r="N116" s="631">
        <v>6.2831853071795862</v>
      </c>
      <c r="O116" s="631">
        <v>0.3884159960944723</v>
      </c>
      <c r="P116" s="635">
        <v>0.7645228169827798</v>
      </c>
      <c r="Q116" s="635">
        <v>0.40505228193803144</v>
      </c>
      <c r="R116" s="635">
        <v>0.35483568673417498</v>
      </c>
      <c r="S116" s="682"/>
      <c r="T116" s="632" t="s">
        <v>870</v>
      </c>
      <c r="U116" s="632"/>
      <c r="V116" s="610"/>
      <c r="W116" s="743" t="s">
        <v>691</v>
      </c>
      <c r="X116" s="610" t="s">
        <v>870</v>
      </c>
      <c r="Y116" s="735" t="s">
        <v>1206</v>
      </c>
      <c r="Z116" s="636" t="s">
        <v>463</v>
      </c>
      <c r="AA116" s="633" t="s">
        <v>463</v>
      </c>
      <c r="AB116" s="610">
        <v>99</v>
      </c>
      <c r="AC116" s="610"/>
    </row>
    <row r="117" spans="1:29" ht="15" customHeight="1">
      <c r="A117" s="663" t="s">
        <v>871</v>
      </c>
      <c r="B117" s="682">
        <v>5023.1122310131741</v>
      </c>
      <c r="C117" s="682">
        <v>11901.26890960962</v>
      </c>
      <c r="D117" s="682">
        <v>11785.173294714959</v>
      </c>
      <c r="E117" s="628">
        <v>200</v>
      </c>
      <c r="F117" s="561">
        <v>3</v>
      </c>
      <c r="G117" s="629">
        <v>894.35939023908338</v>
      </c>
      <c r="H117" s="623">
        <v>166</v>
      </c>
      <c r="I117" s="629">
        <v>160</v>
      </c>
      <c r="J117" s="629">
        <v>196.34939539191123</v>
      </c>
      <c r="K117" s="630">
        <v>0.37981716078815242</v>
      </c>
      <c r="L117" s="817">
        <v>3.2934806218538538E-2</v>
      </c>
      <c r="M117" s="631">
        <v>0.80330692826807104</v>
      </c>
      <c r="N117" s="631">
        <v>6.2831853071795862</v>
      </c>
      <c r="O117" s="631">
        <v>0.35083236015422564</v>
      </c>
      <c r="P117" s="635">
        <v>0.79441831756476655</v>
      </c>
      <c r="Q117" s="635">
        <v>0.47013835241179058</v>
      </c>
      <c r="R117" s="635">
        <v>0.42422103782729281</v>
      </c>
      <c r="S117" s="682"/>
      <c r="T117" s="632" t="s">
        <v>871</v>
      </c>
      <c r="U117" s="632"/>
      <c r="V117" s="610"/>
      <c r="W117" s="743" t="s">
        <v>691</v>
      </c>
      <c r="X117" s="610" t="s">
        <v>871</v>
      </c>
      <c r="Y117" s="735" t="s">
        <v>1207</v>
      </c>
      <c r="Z117" s="636" t="s">
        <v>464</v>
      </c>
      <c r="AA117" s="633" t="s">
        <v>464</v>
      </c>
      <c r="AB117" s="610">
        <v>100</v>
      </c>
      <c r="AC117" s="610"/>
    </row>
    <row r="118" spans="1:29" ht="15" customHeight="1">
      <c r="A118" s="663" t="s">
        <v>872</v>
      </c>
      <c r="B118" s="682">
        <v>5029.3490115769782</v>
      </c>
      <c r="C118" s="682">
        <v>11904.595082152293</v>
      </c>
      <c r="D118" s="682">
        <v>11788.499467257636</v>
      </c>
      <c r="E118" s="628">
        <v>250</v>
      </c>
      <c r="F118" s="561">
        <v>3</v>
      </c>
      <c r="G118" s="629">
        <v>894.51624818326263</v>
      </c>
      <c r="H118" s="623">
        <v>182</v>
      </c>
      <c r="I118" s="629">
        <v>176</v>
      </c>
      <c r="J118" s="629">
        <v>278.90553074929073</v>
      </c>
      <c r="K118" s="630">
        <v>0.37566251305119741</v>
      </c>
      <c r="L118" s="817">
        <v>3.5264732684869224E-2</v>
      </c>
      <c r="M118" s="631">
        <v>1.0621254611372668</v>
      </c>
      <c r="N118" s="631">
        <v>6.2831853071795862</v>
      </c>
      <c r="O118" s="631">
        <v>0.42577888748090581</v>
      </c>
      <c r="P118" s="635">
        <v>0.86935628702837731</v>
      </c>
      <c r="Q118" s="635">
        <v>0.47184209106439745</v>
      </c>
      <c r="R118" s="635">
        <v>0.42267415711886513</v>
      </c>
      <c r="S118" s="682"/>
      <c r="T118" s="632" t="s">
        <v>872</v>
      </c>
      <c r="U118" s="632"/>
      <c r="V118" s="610"/>
      <c r="W118" s="743" t="s">
        <v>691</v>
      </c>
      <c r="X118" s="610" t="s">
        <v>872</v>
      </c>
      <c r="Y118" s="735" t="s">
        <v>1208</v>
      </c>
      <c r="Z118" s="636" t="s">
        <v>465</v>
      </c>
      <c r="AA118" s="633" t="s">
        <v>465</v>
      </c>
      <c r="AB118" s="610">
        <v>101</v>
      </c>
      <c r="AC118" s="610"/>
    </row>
    <row r="119" spans="1:29" ht="15" customHeight="1">
      <c r="A119" s="663" t="s">
        <v>873</v>
      </c>
      <c r="B119" s="682">
        <v>4924.6290115769789</v>
      </c>
      <c r="C119" s="682">
        <v>11781.549082152294</v>
      </c>
      <c r="D119" s="682">
        <v>11665.453467257634</v>
      </c>
      <c r="E119" s="628">
        <v>250</v>
      </c>
      <c r="F119" s="561">
        <v>3</v>
      </c>
      <c r="G119" s="629">
        <v>894.51624818326263</v>
      </c>
      <c r="H119" s="623">
        <v>182</v>
      </c>
      <c r="I119" s="629">
        <v>176</v>
      </c>
      <c r="J119" s="629">
        <v>278.90553074929073</v>
      </c>
      <c r="K119" s="630">
        <v>0.37566251305119741</v>
      </c>
      <c r="L119" s="817">
        <v>3.5264732684869224E-2</v>
      </c>
      <c r="M119" s="631">
        <v>1.0621254611372668</v>
      </c>
      <c r="N119" s="631">
        <v>6.2831853071795862</v>
      </c>
      <c r="O119" s="631">
        <v>0.42577888748090581</v>
      </c>
      <c r="P119" s="635">
        <v>0.86935628702837731</v>
      </c>
      <c r="Q119" s="635">
        <v>0.47184209106439745</v>
      </c>
      <c r="R119" s="635">
        <v>0.42267415711886513</v>
      </c>
      <c r="S119" s="682"/>
      <c r="T119" s="632" t="s">
        <v>873</v>
      </c>
      <c r="U119" s="632"/>
      <c r="V119" s="610"/>
      <c r="W119" s="743" t="s">
        <v>691</v>
      </c>
      <c r="X119" s="610" t="s">
        <v>872</v>
      </c>
      <c r="Y119" s="735" t="s">
        <v>1208</v>
      </c>
      <c r="Z119" s="636" t="s">
        <v>466</v>
      </c>
      <c r="AA119" s="633" t="s">
        <v>466</v>
      </c>
      <c r="AB119" s="610">
        <v>102</v>
      </c>
      <c r="AC119" s="610"/>
    </row>
    <row r="120" spans="1:29" ht="15" customHeight="1">
      <c r="A120" s="663" t="s">
        <v>874</v>
      </c>
      <c r="B120" s="682">
        <v>4924.6290115769789</v>
      </c>
      <c r="C120" s="682">
        <v>11781.549082152294</v>
      </c>
      <c r="D120" s="682">
        <v>11665.453467257634</v>
      </c>
      <c r="E120" s="628">
        <v>250</v>
      </c>
      <c r="F120" s="561">
        <v>3</v>
      </c>
      <c r="G120" s="629">
        <v>894.51624818326263</v>
      </c>
      <c r="H120" s="623">
        <v>182</v>
      </c>
      <c r="I120" s="629">
        <v>176</v>
      </c>
      <c r="J120" s="629">
        <v>278.90553074929073</v>
      </c>
      <c r="K120" s="630">
        <v>0.37566251305119741</v>
      </c>
      <c r="L120" s="817">
        <v>3.5264732684869224E-2</v>
      </c>
      <c r="M120" s="631">
        <v>1.0621254611372668</v>
      </c>
      <c r="N120" s="631">
        <v>6.2831853071795862</v>
      </c>
      <c r="O120" s="631">
        <v>0.42577888748090581</v>
      </c>
      <c r="P120" s="635">
        <v>0.86935628702837731</v>
      </c>
      <c r="Q120" s="635">
        <v>0.47184209106439745</v>
      </c>
      <c r="R120" s="635">
        <v>0.42267415711886513</v>
      </c>
      <c r="S120" s="682"/>
      <c r="T120" s="632" t="s">
        <v>874</v>
      </c>
      <c r="U120" s="632"/>
      <c r="V120" s="610"/>
      <c r="W120" s="743" t="s">
        <v>691</v>
      </c>
      <c r="X120" s="610" t="s">
        <v>872</v>
      </c>
      <c r="Y120" s="735" t="s">
        <v>1208</v>
      </c>
      <c r="Z120" s="636" t="s">
        <v>467</v>
      </c>
      <c r="AA120" s="633" t="s">
        <v>467</v>
      </c>
      <c r="AB120" s="610">
        <v>103</v>
      </c>
      <c r="AC120" s="610"/>
    </row>
    <row r="121" spans="1:29" ht="15" customHeight="1">
      <c r="A121" s="663" t="s">
        <v>875</v>
      </c>
      <c r="B121" s="682">
        <v>5592.5356122678659</v>
      </c>
      <c r="C121" s="682">
        <v>12523.580850668312</v>
      </c>
      <c r="D121" s="682">
        <v>12407.485235773654</v>
      </c>
      <c r="E121" s="628">
        <v>310</v>
      </c>
      <c r="F121" s="561">
        <v>3</v>
      </c>
      <c r="G121" s="629">
        <v>895.00319377134269</v>
      </c>
      <c r="H121" s="623">
        <v>252</v>
      </c>
      <c r="I121" s="629">
        <v>246</v>
      </c>
      <c r="J121" s="629">
        <v>306.81505735708907</v>
      </c>
      <c r="K121" s="630">
        <v>0.37425051207801635</v>
      </c>
      <c r="L121" s="817">
        <v>3.6163335881627241E-2</v>
      </c>
      <c r="M121" s="631">
        <v>1.1398657381024488</v>
      </c>
      <c r="N121" s="631">
        <v>6.2831853071795862</v>
      </c>
      <c r="O121" s="631">
        <v>0.44293149268675758</v>
      </c>
      <c r="P121" s="635">
        <v>0.88671688595168408</v>
      </c>
      <c r="Q121" s="635">
        <v>0.47272449042718417</v>
      </c>
      <c r="R121" s="635">
        <v>0.42227870334415857</v>
      </c>
      <c r="S121" s="682"/>
      <c r="T121" s="632" t="s">
        <v>875</v>
      </c>
      <c r="U121" s="632"/>
      <c r="V121" s="610"/>
      <c r="W121" s="743" t="s">
        <v>691</v>
      </c>
      <c r="X121" s="610" t="s">
        <v>875</v>
      </c>
      <c r="Y121" s="735" t="s">
        <v>1209</v>
      </c>
      <c r="Z121" s="636" t="s">
        <v>468</v>
      </c>
      <c r="AA121" s="633" t="s">
        <v>468</v>
      </c>
      <c r="AB121" s="610">
        <v>104</v>
      </c>
      <c r="AC121" s="610"/>
    </row>
    <row r="122" spans="1:29" ht="15" customHeight="1">
      <c r="A122" s="663" t="s">
        <v>876</v>
      </c>
      <c r="B122" s="682">
        <v>5413.0156122678654</v>
      </c>
      <c r="C122" s="682">
        <v>12312.644850668314</v>
      </c>
      <c r="D122" s="682">
        <v>12196.549235773653</v>
      </c>
      <c r="E122" s="628">
        <v>310</v>
      </c>
      <c r="F122" s="561">
        <v>3</v>
      </c>
      <c r="G122" s="629">
        <v>895.00319377134269</v>
      </c>
      <c r="H122" s="623">
        <v>252</v>
      </c>
      <c r="I122" s="629">
        <v>246</v>
      </c>
      <c r="J122" s="629">
        <v>306.81505735708907</v>
      </c>
      <c r="K122" s="630">
        <v>0.37425051207801635</v>
      </c>
      <c r="L122" s="817">
        <v>3.6163335881627241E-2</v>
      </c>
      <c r="M122" s="631">
        <v>1.1398657381024488</v>
      </c>
      <c r="N122" s="631">
        <v>6.2831853071795862</v>
      </c>
      <c r="O122" s="631">
        <v>0.44293149268675758</v>
      </c>
      <c r="P122" s="635">
        <v>0.88671688595168408</v>
      </c>
      <c r="Q122" s="635">
        <v>0.47272449042718417</v>
      </c>
      <c r="R122" s="635">
        <v>0.42227870334415857</v>
      </c>
      <c r="S122" s="682"/>
      <c r="T122" s="632" t="s">
        <v>876</v>
      </c>
      <c r="U122" s="632"/>
      <c r="V122" s="610"/>
      <c r="W122" s="743" t="s">
        <v>691</v>
      </c>
      <c r="X122" s="610" t="s">
        <v>875</v>
      </c>
      <c r="Y122" s="735" t="s">
        <v>1209</v>
      </c>
      <c r="Z122" s="636" t="s">
        <v>469</v>
      </c>
      <c r="AA122" s="633" t="s">
        <v>469</v>
      </c>
      <c r="AB122" s="610">
        <v>105</v>
      </c>
      <c r="AC122" s="610"/>
    </row>
    <row r="123" spans="1:29" ht="15" customHeight="1">
      <c r="A123" s="802" t="s">
        <v>877</v>
      </c>
      <c r="B123" s="682">
        <v>5633.0316189789428</v>
      </c>
      <c r="C123" s="682">
        <v>12544.642842190755</v>
      </c>
      <c r="D123" s="682">
        <v>12429.581242484728</v>
      </c>
      <c r="E123" s="628">
        <v>310</v>
      </c>
      <c r="F123" s="561">
        <v>3</v>
      </c>
      <c r="G123" s="629">
        <v>895.00319377134269</v>
      </c>
      <c r="H123" s="623">
        <v>252</v>
      </c>
      <c r="I123" s="629">
        <v>246</v>
      </c>
      <c r="J123" s="629">
        <v>306.81505735708907</v>
      </c>
      <c r="K123" s="630">
        <v>0.37425051207801635</v>
      </c>
      <c r="L123" s="817">
        <v>3.6163335881627241E-2</v>
      </c>
      <c r="M123" s="631">
        <v>1.1398657381024488</v>
      </c>
      <c r="N123" s="631">
        <v>6.2831853071795862</v>
      </c>
      <c r="O123" s="631">
        <v>0.44293149268675758</v>
      </c>
      <c r="P123" s="635">
        <v>0.88671688595168408</v>
      </c>
      <c r="Q123" s="635">
        <v>0.47272449042718417</v>
      </c>
      <c r="R123" s="635">
        <v>0.42227870334415857</v>
      </c>
      <c r="S123" s="682"/>
      <c r="T123" s="632" t="s">
        <v>877</v>
      </c>
      <c r="U123" s="632"/>
      <c r="V123" s="610"/>
      <c r="W123" s="743" t="s">
        <v>691</v>
      </c>
      <c r="X123" s="610" t="s">
        <v>875</v>
      </c>
      <c r="Y123" s="735" t="s">
        <v>1084</v>
      </c>
      <c r="Z123" s="636" t="s">
        <v>470</v>
      </c>
      <c r="AA123" s="633" t="s">
        <v>470</v>
      </c>
      <c r="AB123" s="610">
        <v>106</v>
      </c>
      <c r="AC123" s="610"/>
    </row>
    <row r="124" spans="1:29" ht="15" customHeight="1">
      <c r="A124" s="663" t="s">
        <v>878</v>
      </c>
      <c r="B124" s="682">
        <v>5813.5156318413574</v>
      </c>
      <c r="C124" s="682">
        <v>12760.856387179479</v>
      </c>
      <c r="D124" s="682">
        <v>12644.760772284822</v>
      </c>
      <c r="E124" s="628">
        <v>350</v>
      </c>
      <c r="F124" s="561">
        <v>3</v>
      </c>
      <c r="G124" s="629">
        <v>894.96117644258334</v>
      </c>
      <c r="H124" s="623">
        <v>312</v>
      </c>
      <c r="I124" s="629">
        <v>306</v>
      </c>
      <c r="J124" s="629">
        <v>314.42169024526714</v>
      </c>
      <c r="K124" s="630">
        <v>0.37388070607980528</v>
      </c>
      <c r="L124" s="817">
        <v>3.635937806054005E-2</v>
      </c>
      <c r="M124" s="631">
        <v>1.1609098544246585</v>
      </c>
      <c r="N124" s="631">
        <v>6.2831853071795862</v>
      </c>
      <c r="O124" s="631">
        <v>0.44711845916329257</v>
      </c>
      <c r="P124" s="635">
        <v>0.89087510239412149</v>
      </c>
      <c r="Q124" s="635">
        <v>0.47283872092171408</v>
      </c>
      <c r="R124" s="635">
        <v>0.42212245552086924</v>
      </c>
      <c r="S124" s="682"/>
      <c r="T124" s="632" t="s">
        <v>878</v>
      </c>
      <c r="U124" s="632"/>
      <c r="V124" s="610"/>
      <c r="W124" s="743" t="s">
        <v>691</v>
      </c>
      <c r="X124" s="610" t="s">
        <v>878</v>
      </c>
      <c r="Y124" s="735" t="s">
        <v>1210</v>
      </c>
      <c r="Z124" s="636" t="s">
        <v>471</v>
      </c>
      <c r="AA124" s="633" t="s">
        <v>471</v>
      </c>
      <c r="AB124" s="610">
        <v>107</v>
      </c>
      <c r="AC124" s="610"/>
    </row>
    <row r="125" spans="1:29" ht="15" customHeight="1">
      <c r="A125" s="663" t="s">
        <v>879</v>
      </c>
      <c r="B125" s="682">
        <v>5633.995631841357</v>
      </c>
      <c r="C125" s="682">
        <v>12549.92038717948</v>
      </c>
      <c r="D125" s="682">
        <v>12433.824772284821</v>
      </c>
      <c r="E125" s="628">
        <v>350</v>
      </c>
      <c r="F125" s="561">
        <v>3</v>
      </c>
      <c r="G125" s="629">
        <v>894.96117644258334</v>
      </c>
      <c r="H125" s="623">
        <v>312</v>
      </c>
      <c r="I125" s="629">
        <v>306</v>
      </c>
      <c r="J125" s="629">
        <v>314.42169024526714</v>
      </c>
      <c r="K125" s="630">
        <v>0.37388070607980528</v>
      </c>
      <c r="L125" s="817">
        <v>3.635937806054005E-2</v>
      </c>
      <c r="M125" s="631">
        <v>1.1609098544246585</v>
      </c>
      <c r="N125" s="631">
        <v>6.2831853071795862</v>
      </c>
      <c r="O125" s="631">
        <v>0.44711845916329257</v>
      </c>
      <c r="P125" s="635">
        <v>0.89087510239412149</v>
      </c>
      <c r="Q125" s="635">
        <v>0.47283872092171408</v>
      </c>
      <c r="R125" s="635">
        <v>0.42212245552086924</v>
      </c>
      <c r="S125" s="682"/>
      <c r="T125" s="632" t="s">
        <v>879</v>
      </c>
      <c r="U125" s="632"/>
      <c r="V125" s="610"/>
      <c r="W125" s="743" t="s">
        <v>691</v>
      </c>
      <c r="X125" s="610" t="s">
        <v>878</v>
      </c>
      <c r="Y125" s="735" t="s">
        <v>1210</v>
      </c>
      <c r="Z125" s="636" t="s">
        <v>472</v>
      </c>
      <c r="AA125" s="633" t="s">
        <v>472</v>
      </c>
      <c r="AB125" s="610">
        <v>108</v>
      </c>
      <c r="AC125" s="610"/>
    </row>
    <row r="126" spans="1:29" ht="15" customHeight="1">
      <c r="A126" s="663" t="s">
        <v>880</v>
      </c>
      <c r="B126" s="682">
        <v>5738.7156318413563</v>
      </c>
      <c r="C126" s="682">
        <v>12672.96638717948</v>
      </c>
      <c r="D126" s="682">
        <v>12556.870772284821</v>
      </c>
      <c r="E126" s="628">
        <v>350</v>
      </c>
      <c r="F126" s="561">
        <v>3</v>
      </c>
      <c r="G126" s="629">
        <v>894.96117644258334</v>
      </c>
      <c r="H126" s="623">
        <v>312</v>
      </c>
      <c r="I126" s="629">
        <v>306</v>
      </c>
      <c r="J126" s="629">
        <v>314.42169024526714</v>
      </c>
      <c r="K126" s="630">
        <v>0.37388070607980528</v>
      </c>
      <c r="L126" s="817">
        <v>3.635937806054005E-2</v>
      </c>
      <c r="M126" s="631">
        <v>1.1609098544246585</v>
      </c>
      <c r="N126" s="631">
        <v>6.2831853071795862</v>
      </c>
      <c r="O126" s="631">
        <v>0.44711845916329257</v>
      </c>
      <c r="P126" s="635">
        <v>0.89087510239412149</v>
      </c>
      <c r="Q126" s="635">
        <v>0.47283872092171408</v>
      </c>
      <c r="R126" s="635">
        <v>0.42212245552086924</v>
      </c>
      <c r="S126" s="682"/>
      <c r="T126" s="632" t="s">
        <v>880</v>
      </c>
      <c r="U126" s="632"/>
      <c r="V126" s="610"/>
      <c r="W126" s="743" t="s">
        <v>691</v>
      </c>
      <c r="X126" s="610" t="s">
        <v>878</v>
      </c>
      <c r="Y126" s="735" t="s">
        <v>1210</v>
      </c>
      <c r="Z126" s="636" t="s">
        <v>473</v>
      </c>
      <c r="AA126" s="633" t="s">
        <v>473</v>
      </c>
      <c r="AB126" s="610">
        <v>109</v>
      </c>
      <c r="AC126" s="610"/>
    </row>
    <row r="127" spans="1:29" ht="15" customHeight="1">
      <c r="A127" s="663" t="s">
        <v>881</v>
      </c>
      <c r="B127" s="682">
        <v>5912.6861657883092</v>
      </c>
      <c r="C127" s="682">
        <v>13589.837304812201</v>
      </c>
      <c r="D127" s="682">
        <v>13458.22123425855</v>
      </c>
      <c r="E127" s="628">
        <v>200</v>
      </c>
      <c r="F127" s="561">
        <v>3</v>
      </c>
      <c r="G127" s="629">
        <v>979.98159378294724</v>
      </c>
      <c r="H127" s="623">
        <v>173</v>
      </c>
      <c r="I127" s="629">
        <v>167</v>
      </c>
      <c r="J127" s="629">
        <v>188.12357579555169</v>
      </c>
      <c r="K127" s="630">
        <v>0.43014435213060687</v>
      </c>
      <c r="L127" s="817">
        <v>2.6160886472992133E-2</v>
      </c>
      <c r="M127" s="631">
        <v>0.75719604605598878</v>
      </c>
      <c r="N127" s="631">
        <v>6.2831853071795862</v>
      </c>
      <c r="O127" s="631">
        <v>0.37671422313397696</v>
      </c>
      <c r="P127" s="635">
        <v>0.86329412588117105</v>
      </c>
      <c r="Q127" s="635">
        <v>0.50999165936096769</v>
      </c>
      <c r="R127" s="635">
        <v>0.46998993442197956</v>
      </c>
      <c r="S127" s="682"/>
      <c r="T127" s="632" t="s">
        <v>881</v>
      </c>
      <c r="U127" s="632"/>
      <c r="V127" s="610"/>
      <c r="W127" s="743" t="s">
        <v>691</v>
      </c>
      <c r="X127" s="610" t="s">
        <v>881</v>
      </c>
      <c r="Y127" s="735" t="s">
        <v>1211</v>
      </c>
      <c r="Z127" s="636" t="s">
        <v>474</v>
      </c>
      <c r="AA127" s="633" t="s">
        <v>474</v>
      </c>
      <c r="AB127" s="610">
        <v>110</v>
      </c>
      <c r="AC127" s="610"/>
    </row>
    <row r="128" spans="1:29" ht="15" customHeight="1">
      <c r="A128" s="663" t="s">
        <v>882</v>
      </c>
      <c r="B128" s="682">
        <v>6052.3253783322471</v>
      </c>
      <c r="C128" s="682">
        <v>13739.330082221109</v>
      </c>
      <c r="D128" s="682">
        <v>13607.71401166746</v>
      </c>
      <c r="E128" s="628">
        <v>250</v>
      </c>
      <c r="F128" s="561">
        <v>3</v>
      </c>
      <c r="G128" s="629">
        <v>979.95600521780329</v>
      </c>
      <c r="H128" s="623">
        <v>183</v>
      </c>
      <c r="I128" s="629">
        <v>177</v>
      </c>
      <c r="J128" s="629">
        <v>277.3333895711109</v>
      </c>
      <c r="K128" s="630">
        <v>0.42646035155583056</v>
      </c>
      <c r="L128" s="817">
        <v>2.7955191067397776E-2</v>
      </c>
      <c r="M128" s="631">
        <v>1.0162826093928645</v>
      </c>
      <c r="N128" s="631">
        <v>6.2831853071795862</v>
      </c>
      <c r="O128" s="631">
        <v>0.46625775105950135</v>
      </c>
      <c r="P128" s="635">
        <v>0.95276662147566027</v>
      </c>
      <c r="Q128" s="635">
        <v>0.51134840343219978</v>
      </c>
      <c r="R128" s="635">
        <v>0.46860760178560357</v>
      </c>
      <c r="S128" s="682"/>
      <c r="T128" s="632" t="s">
        <v>882</v>
      </c>
      <c r="U128" s="632"/>
      <c r="V128" s="610"/>
      <c r="W128" s="743" t="s">
        <v>691</v>
      </c>
      <c r="X128" s="610" t="s">
        <v>882</v>
      </c>
      <c r="Y128" s="735" t="s">
        <v>1212</v>
      </c>
      <c r="Z128" s="636" t="s">
        <v>475</v>
      </c>
      <c r="AA128" s="633" t="s">
        <v>475</v>
      </c>
      <c r="AB128" s="610">
        <v>111</v>
      </c>
      <c r="AC128" s="610"/>
    </row>
    <row r="129" spans="1:29" ht="15" customHeight="1">
      <c r="A129" s="663" t="s">
        <v>883</v>
      </c>
      <c r="B129" s="682">
        <v>6303.1217806938166</v>
      </c>
      <c r="C129" s="682">
        <v>14012.030989968027</v>
      </c>
      <c r="D129" s="682">
        <v>13880.414919414377</v>
      </c>
      <c r="E129" s="628">
        <v>310</v>
      </c>
      <c r="F129" s="561">
        <v>3</v>
      </c>
      <c r="G129" s="629">
        <v>979.815927509944</v>
      </c>
      <c r="H129" s="623">
        <v>253</v>
      </c>
      <c r="I129" s="629">
        <v>247</v>
      </c>
      <c r="J129" s="629">
        <v>305.5735458233587</v>
      </c>
      <c r="K129" s="630">
        <v>0.42534887720977893</v>
      </c>
      <c r="L129" s="817">
        <v>2.847084754628593E-2</v>
      </c>
      <c r="M129" s="631">
        <v>1.0895374644790978</v>
      </c>
      <c r="N129" s="631">
        <v>6.2831853071795862</v>
      </c>
      <c r="O129" s="631">
        <v>0.48614207687568545</v>
      </c>
      <c r="P129" s="635">
        <v>0.97256352628520537</v>
      </c>
      <c r="Q129" s="635">
        <v>0.51166890864151104</v>
      </c>
      <c r="R129" s="635">
        <v>0.46814701886843291</v>
      </c>
      <c r="S129" s="682"/>
      <c r="T129" s="632" t="s">
        <v>883</v>
      </c>
      <c r="U129" s="632"/>
      <c r="V129" s="610"/>
      <c r="W129" s="743" t="s">
        <v>691</v>
      </c>
      <c r="X129" s="610" t="s">
        <v>883</v>
      </c>
      <c r="Y129" s="735" t="s">
        <v>1213</v>
      </c>
      <c r="Z129" s="636" t="s">
        <v>476</v>
      </c>
      <c r="AA129" s="633" t="s">
        <v>476</v>
      </c>
      <c r="AB129" s="610">
        <v>112</v>
      </c>
      <c r="AC129" s="562"/>
    </row>
    <row r="130" spans="1:29" ht="15" customHeight="1">
      <c r="A130" s="663" t="s">
        <v>884</v>
      </c>
      <c r="B130" s="682">
        <v>6374.9521329828103</v>
      </c>
      <c r="C130" s="682">
        <v>14091.855158093669</v>
      </c>
      <c r="D130" s="682">
        <v>13960.239087540018</v>
      </c>
      <c r="E130" s="628">
        <v>350</v>
      </c>
      <c r="F130" s="561">
        <v>3</v>
      </c>
      <c r="G130" s="629">
        <v>980.02349982227327</v>
      </c>
      <c r="H130" s="623">
        <v>263</v>
      </c>
      <c r="I130" s="629">
        <v>257</v>
      </c>
      <c r="J130" s="629">
        <v>374.36823516547099</v>
      </c>
      <c r="K130" s="630">
        <v>0.4225773030765323</v>
      </c>
      <c r="L130" s="817">
        <v>2.9881798935259586E-2</v>
      </c>
      <c r="M130" s="631">
        <v>1.2568647201868288</v>
      </c>
      <c r="N130" s="631">
        <v>6.2831853071795862</v>
      </c>
      <c r="O130" s="631">
        <v>0.52163362744863018</v>
      </c>
      <c r="P130" s="635">
        <v>1.0081093781263495</v>
      </c>
      <c r="Q130" s="635">
        <v>0.51285444139127689</v>
      </c>
      <c r="R130" s="635">
        <v>0.46716905843099632</v>
      </c>
      <c r="S130" s="682"/>
      <c r="T130" s="632" t="s">
        <v>884</v>
      </c>
      <c r="U130" s="632"/>
      <c r="V130" s="610"/>
      <c r="W130" s="743" t="s">
        <v>691</v>
      </c>
      <c r="X130" s="610" t="s">
        <v>884</v>
      </c>
      <c r="Y130" s="735" t="s">
        <v>1214</v>
      </c>
      <c r="Z130" s="636" t="s">
        <v>477</v>
      </c>
      <c r="AA130" s="633" t="s">
        <v>477</v>
      </c>
      <c r="AB130" s="610">
        <v>113</v>
      </c>
      <c r="AC130" s="562"/>
    </row>
    <row r="131" spans="1:29" ht="15" customHeight="1">
      <c r="A131" s="663" t="s">
        <v>885</v>
      </c>
      <c r="B131" s="682">
        <v>6737.6110940899389</v>
      </c>
      <c r="C131" s="682">
        <v>14477.359337589925</v>
      </c>
      <c r="D131" s="682">
        <v>14345.743267036274</v>
      </c>
      <c r="E131" s="628">
        <v>400</v>
      </c>
      <c r="F131" s="561">
        <v>3</v>
      </c>
      <c r="G131" s="629">
        <v>979.55368129123246</v>
      </c>
      <c r="H131" s="623">
        <v>328</v>
      </c>
      <c r="I131" s="629">
        <v>322</v>
      </c>
      <c r="J131" s="629">
        <v>390.25994165991261</v>
      </c>
      <c r="K131" s="630">
        <v>0.42199376229212104</v>
      </c>
      <c r="L131" s="817">
        <v>3.0069710123311586E-2</v>
      </c>
      <c r="M131" s="631">
        <v>1.2949656645147345</v>
      </c>
      <c r="N131" s="631">
        <v>6.2831853071795862</v>
      </c>
      <c r="O131" s="631">
        <v>0.52770617959177768</v>
      </c>
      <c r="P131" s="635">
        <v>1.0139405266414054</v>
      </c>
      <c r="Q131" s="635">
        <v>0.51275187792850074</v>
      </c>
      <c r="R131" s="635">
        <v>0.46680180336273169</v>
      </c>
      <c r="S131" s="682"/>
      <c r="T131" s="632" t="s">
        <v>885</v>
      </c>
      <c r="U131" s="632"/>
      <c r="V131" s="610"/>
      <c r="W131" s="743" t="s">
        <v>691</v>
      </c>
      <c r="X131" s="610" t="s">
        <v>885</v>
      </c>
      <c r="Y131" s="735" t="s">
        <v>1215</v>
      </c>
      <c r="Z131" s="636" t="s">
        <v>478</v>
      </c>
      <c r="AA131" s="633" t="s">
        <v>478</v>
      </c>
      <c r="AB131" s="610">
        <v>114</v>
      </c>
      <c r="AC131" s="610"/>
    </row>
    <row r="132" spans="1:29" ht="15" customHeight="1">
      <c r="A132" s="663" t="s">
        <v>789</v>
      </c>
      <c r="B132" s="682">
        <v>7683.8336092657237</v>
      </c>
      <c r="C132" s="682">
        <v>15975.015468736243</v>
      </c>
      <c r="D132" s="682">
        <v>15834.58610200425</v>
      </c>
      <c r="E132" s="628">
        <v>450</v>
      </c>
      <c r="F132" s="561">
        <v>3</v>
      </c>
      <c r="G132" s="629">
        <v>1074.2318633291713</v>
      </c>
      <c r="H132" s="623">
        <v>364</v>
      </c>
      <c r="I132" s="629">
        <v>358</v>
      </c>
      <c r="J132" s="629">
        <v>444.25459288771049</v>
      </c>
      <c r="K132" s="630">
        <v>0.44929113029339385</v>
      </c>
      <c r="L132" s="817">
        <v>3.635359651966049E-2</v>
      </c>
      <c r="M132" s="631">
        <v>1.3125981640569491</v>
      </c>
      <c r="N132" s="631">
        <v>6.2831853071795862</v>
      </c>
      <c r="O132" s="631">
        <v>0.5695360362073062</v>
      </c>
      <c r="P132" s="635">
        <v>1.1027823061359552</v>
      </c>
      <c r="Q132" s="635">
        <v>0.56758302973957397</v>
      </c>
      <c r="R132" s="635">
        <v>0.50664883358959745</v>
      </c>
      <c r="S132" s="682"/>
      <c r="T132" s="632" t="s">
        <v>789</v>
      </c>
      <c r="U132" s="632"/>
      <c r="V132" s="610"/>
      <c r="W132" s="743" t="s">
        <v>691</v>
      </c>
      <c r="X132" s="610" t="s">
        <v>789</v>
      </c>
      <c r="Y132" s="735" t="s">
        <v>1216</v>
      </c>
      <c r="Z132" s="636" t="s">
        <v>479</v>
      </c>
      <c r="AA132" s="633" t="s">
        <v>479</v>
      </c>
      <c r="AB132" s="610">
        <v>115</v>
      </c>
      <c r="AC132" s="610"/>
    </row>
    <row r="133" spans="1:29" ht="15" customHeight="1">
      <c r="A133" s="663" t="s">
        <v>886</v>
      </c>
      <c r="B133" s="682">
        <v>7336.2825658650863</v>
      </c>
      <c r="C133" s="682">
        <v>16331.752991679468</v>
      </c>
      <c r="D133" s="682">
        <v>16177.370176882798</v>
      </c>
      <c r="E133" s="628">
        <v>200</v>
      </c>
      <c r="F133" s="561">
        <v>3</v>
      </c>
      <c r="G133" s="629">
        <v>1224.8504563879671</v>
      </c>
      <c r="H133" s="623">
        <v>168</v>
      </c>
      <c r="I133" s="629">
        <v>162</v>
      </c>
      <c r="J133" s="629">
        <v>193.92331896702709</v>
      </c>
      <c r="K133" s="630">
        <v>0.50997714730920374</v>
      </c>
      <c r="L133" s="817">
        <v>3.7437951350875229E-2</v>
      </c>
      <c r="M133" s="631">
        <v>0.51987075564828733</v>
      </c>
      <c r="N133" s="631">
        <v>6.2831853071795862</v>
      </c>
      <c r="O133" s="631">
        <v>0.32289918242841958</v>
      </c>
      <c r="P133" s="635">
        <v>0.93127213631901817</v>
      </c>
      <c r="Q133" s="635">
        <v>0.64822268248498871</v>
      </c>
      <c r="R133" s="635">
        <v>0.57662777390297848</v>
      </c>
      <c r="S133" s="682"/>
      <c r="T133" s="632" t="s">
        <v>886</v>
      </c>
      <c r="U133" s="632"/>
      <c r="V133" s="610"/>
      <c r="W133" s="743" t="s">
        <v>691</v>
      </c>
      <c r="X133" s="610" t="s">
        <v>886</v>
      </c>
      <c r="Y133" s="735" t="s">
        <v>1217</v>
      </c>
      <c r="Z133" s="636" t="s">
        <v>480</v>
      </c>
      <c r="AA133" s="633" t="s">
        <v>480</v>
      </c>
      <c r="AB133" s="610">
        <v>116</v>
      </c>
      <c r="AC133" s="610"/>
    </row>
    <row r="134" spans="1:29" ht="15" customHeight="1">
      <c r="A134" s="663" t="s">
        <v>887</v>
      </c>
      <c r="B134" s="682">
        <v>7951.7973434911528</v>
      </c>
      <c r="C134" s="682">
        <v>16981.262867964368</v>
      </c>
      <c r="D134" s="682">
        <v>16826.880053167701</v>
      </c>
      <c r="E134" s="628">
        <v>250</v>
      </c>
      <c r="F134" s="561">
        <v>3</v>
      </c>
      <c r="G134" s="629">
        <v>1224.9860632413588</v>
      </c>
      <c r="H134" s="623">
        <v>184</v>
      </c>
      <c r="I134" s="629">
        <v>178</v>
      </c>
      <c r="J134" s="629">
        <v>275.77272198178275</v>
      </c>
      <c r="K134" s="630">
        <v>0.50421190155060769</v>
      </c>
      <c r="L134" s="817">
        <v>3.982595488411584E-2</v>
      </c>
      <c r="M134" s="631">
        <v>0.77417333417958611</v>
      </c>
      <c r="N134" s="631">
        <v>6.2831853071795862</v>
      </c>
      <c r="O134" s="631">
        <v>0.45443141177130136</v>
      </c>
      <c r="P134" s="635">
        <v>1.062733740894716</v>
      </c>
      <c r="Q134" s="635">
        <v>0.65057231702882812</v>
      </c>
      <c r="R134" s="635">
        <v>0.57441374621253061</v>
      </c>
      <c r="S134" s="682"/>
      <c r="T134" s="632" t="s">
        <v>887</v>
      </c>
      <c r="U134" s="632"/>
      <c r="V134" s="610"/>
      <c r="W134" s="743" t="s">
        <v>691</v>
      </c>
      <c r="X134" s="610" t="s">
        <v>887</v>
      </c>
      <c r="Y134" s="735" t="s">
        <v>1218</v>
      </c>
      <c r="Z134" s="636" t="s">
        <v>481</v>
      </c>
      <c r="AA134" s="633" t="s">
        <v>481</v>
      </c>
      <c r="AB134" s="610">
        <v>117</v>
      </c>
      <c r="AC134" s="610"/>
    </row>
    <row r="135" spans="1:29" ht="15" customHeight="1">
      <c r="A135" s="663" t="s">
        <v>888</v>
      </c>
      <c r="B135" s="682">
        <v>8421.7481224658823</v>
      </c>
      <c r="C135" s="682">
        <v>17478.286394159946</v>
      </c>
      <c r="D135" s="682">
        <v>17323.903579363276</v>
      </c>
      <c r="E135" s="628">
        <v>310</v>
      </c>
      <c r="F135" s="561">
        <v>3</v>
      </c>
      <c r="G135" s="629">
        <v>1224.589484704378</v>
      </c>
      <c r="H135" s="623">
        <v>254</v>
      </c>
      <c r="I135" s="629">
        <v>248</v>
      </c>
      <c r="J135" s="629">
        <v>304.3420507393148</v>
      </c>
      <c r="K135" s="630">
        <v>0.50243042747922284</v>
      </c>
      <c r="L135" s="817">
        <v>4.0493970109448295E-2</v>
      </c>
      <c r="M135" s="631">
        <v>0.84880869701039652</v>
      </c>
      <c r="N135" s="631">
        <v>6.2831853071795862</v>
      </c>
      <c r="O135" s="631">
        <v>0.48782086100924482</v>
      </c>
      <c r="P135" s="635">
        <v>1.0958850899463575</v>
      </c>
      <c r="Q135" s="635">
        <v>0.65099844430865805</v>
      </c>
      <c r="R135" s="635">
        <v>0.57359104039572006</v>
      </c>
      <c r="S135" s="682"/>
      <c r="T135" s="632" t="s">
        <v>888</v>
      </c>
      <c r="U135" s="632"/>
      <c r="V135" s="610"/>
      <c r="W135" s="743" t="s">
        <v>691</v>
      </c>
      <c r="X135" s="610" t="s">
        <v>888</v>
      </c>
      <c r="Y135" s="735" t="s">
        <v>1219</v>
      </c>
      <c r="Z135" s="636" t="s">
        <v>482</v>
      </c>
      <c r="AA135" s="633" t="s">
        <v>482</v>
      </c>
      <c r="AB135" s="610">
        <v>118</v>
      </c>
      <c r="AC135" s="610"/>
    </row>
    <row r="136" spans="1:29" ht="15" customHeight="1">
      <c r="A136" s="663" t="s">
        <v>790</v>
      </c>
      <c r="B136" s="682">
        <v>8650.3065450260201</v>
      </c>
      <c r="C136" s="682">
        <v>17716.97629831206</v>
      </c>
      <c r="D136" s="682">
        <v>17562.593483515386</v>
      </c>
      <c r="E136" s="628">
        <v>350</v>
      </c>
      <c r="F136" s="561">
        <v>3</v>
      </c>
      <c r="G136" s="629">
        <v>1224.9397493665806</v>
      </c>
      <c r="H136" s="623">
        <v>264</v>
      </c>
      <c r="I136" s="629">
        <v>258</v>
      </c>
      <c r="J136" s="629">
        <v>372.91196013933904</v>
      </c>
      <c r="K136" s="630">
        <v>0.49828375250419715</v>
      </c>
      <c r="L136" s="817">
        <v>4.2275074193378268E-2</v>
      </c>
      <c r="M136" s="631">
        <v>1.0090842768498118</v>
      </c>
      <c r="N136" s="631">
        <v>6.2831853071795862</v>
      </c>
      <c r="O136" s="631">
        <v>0.55012389409634699</v>
      </c>
      <c r="P136" s="635">
        <v>1.1582524453972824</v>
      </c>
      <c r="Q136" s="635">
        <v>0.65288266027264474</v>
      </c>
      <c r="R136" s="635">
        <v>0.57205708909393582</v>
      </c>
      <c r="S136" s="682"/>
      <c r="T136" s="632" t="s">
        <v>790</v>
      </c>
      <c r="U136" s="632"/>
      <c r="V136" s="610"/>
      <c r="W136" s="743" t="s">
        <v>691</v>
      </c>
      <c r="X136" s="610" t="s">
        <v>790</v>
      </c>
      <c r="Y136" s="735" t="s">
        <v>1220</v>
      </c>
      <c r="Z136" s="636" t="s">
        <v>483</v>
      </c>
      <c r="AA136" s="633" t="s">
        <v>483</v>
      </c>
      <c r="AB136" s="610">
        <v>119</v>
      </c>
      <c r="AC136" s="610"/>
    </row>
    <row r="137" spans="1:29" ht="15" customHeight="1">
      <c r="A137" s="663" t="s">
        <v>889</v>
      </c>
      <c r="B137" s="682">
        <v>8836.9975423831856</v>
      </c>
      <c r="C137" s="682">
        <v>17916.496080529738</v>
      </c>
      <c r="D137" s="682">
        <v>17762.113265733064</v>
      </c>
      <c r="E137" s="628">
        <v>400</v>
      </c>
      <c r="F137" s="561">
        <v>3</v>
      </c>
      <c r="G137" s="629">
        <v>1225.0215370386984</v>
      </c>
      <c r="H137" s="623">
        <v>264</v>
      </c>
      <c r="I137" s="629">
        <v>258</v>
      </c>
      <c r="J137" s="629">
        <v>487.07205741124477</v>
      </c>
      <c r="K137" s="630">
        <v>0.49156345998374146</v>
      </c>
      <c r="L137" s="817">
        <v>4.5106129227125327E-2</v>
      </c>
      <c r="M137" s="631">
        <v>1.2467876620169844</v>
      </c>
      <c r="N137" s="631">
        <v>6.2831853071795862</v>
      </c>
      <c r="O137" s="631">
        <v>0.61617842179360682</v>
      </c>
      <c r="P137" s="635">
        <v>1.2241624866418137</v>
      </c>
      <c r="Q137" s="635">
        <v>0.65562403598655983</v>
      </c>
      <c r="R137" s="635">
        <v>0.56939750105213849</v>
      </c>
      <c r="S137" s="682"/>
      <c r="T137" s="632" t="s">
        <v>889</v>
      </c>
      <c r="U137" s="632"/>
      <c r="V137" s="610"/>
      <c r="W137" s="743" t="s">
        <v>691</v>
      </c>
      <c r="X137" s="610" t="s">
        <v>889</v>
      </c>
      <c r="Y137" s="735" t="s">
        <v>1221</v>
      </c>
      <c r="Z137" s="636" t="s">
        <v>484</v>
      </c>
      <c r="AA137" s="633" t="s">
        <v>484</v>
      </c>
      <c r="AB137" s="610">
        <v>120</v>
      </c>
      <c r="AC137" s="610"/>
    </row>
    <row r="138" spans="1:29" ht="15" customHeight="1">
      <c r="A138" s="663" t="s">
        <v>791</v>
      </c>
      <c r="B138" s="682">
        <v>9610.4256079325387</v>
      </c>
      <c r="C138" s="682">
        <v>18764.267240195721</v>
      </c>
      <c r="D138" s="682">
        <v>18609.88442539905</v>
      </c>
      <c r="E138" s="628">
        <v>500</v>
      </c>
      <c r="F138" s="561">
        <v>3</v>
      </c>
      <c r="G138" s="629">
        <v>1225.0157696748308</v>
      </c>
      <c r="H138" s="623">
        <v>414</v>
      </c>
      <c r="I138" s="629">
        <v>408</v>
      </c>
      <c r="J138" s="629">
        <v>481.2488916755338</v>
      </c>
      <c r="K138" s="630">
        <v>0.49190852982360789</v>
      </c>
      <c r="L138" s="817">
        <v>4.4959659688814026E-2</v>
      </c>
      <c r="M138" s="631">
        <v>1.2352412750576005</v>
      </c>
      <c r="N138" s="631">
        <v>6.2831853071795862</v>
      </c>
      <c r="O138" s="631">
        <v>0.61374799217224785</v>
      </c>
      <c r="P138" s="635">
        <v>1.2217390589720352</v>
      </c>
      <c r="Q138" s="635">
        <v>0.6554814158842891</v>
      </c>
      <c r="R138" s="635">
        <v>0.56953435379054185</v>
      </c>
      <c r="S138" s="682"/>
      <c r="T138" s="632" t="s">
        <v>791</v>
      </c>
      <c r="U138" s="632"/>
      <c r="V138" s="610"/>
      <c r="W138" s="743" t="s">
        <v>691</v>
      </c>
      <c r="X138" s="610" t="s">
        <v>791</v>
      </c>
      <c r="Y138" s="735" t="s">
        <v>1222</v>
      </c>
      <c r="Z138" s="636" t="s">
        <v>485</v>
      </c>
      <c r="AA138" s="633" t="s">
        <v>485</v>
      </c>
      <c r="AB138" s="610">
        <v>121</v>
      </c>
      <c r="AC138" s="610"/>
    </row>
    <row r="139" spans="1:29" ht="15" customHeight="1">
      <c r="A139" s="803" t="s">
        <v>792</v>
      </c>
      <c r="B139" s="682">
        <v>11645.555246863518</v>
      </c>
      <c r="C139" s="682">
        <v>21880.628552132825</v>
      </c>
      <c r="D139" s="682">
        <v>21706.952137385149</v>
      </c>
      <c r="E139" s="628">
        <v>550</v>
      </c>
      <c r="F139" s="561">
        <v>3</v>
      </c>
      <c r="G139" s="629">
        <v>1375.0270818020535</v>
      </c>
      <c r="H139" s="623">
        <v>439</v>
      </c>
      <c r="I139" s="629">
        <v>433</v>
      </c>
      <c r="J139" s="629">
        <v>548.69162746102927</v>
      </c>
      <c r="K139" s="630">
        <v>0.55319475494655868</v>
      </c>
      <c r="L139" s="817">
        <v>4.4677500949511867E-2</v>
      </c>
      <c r="M139" s="631">
        <v>1.2512277453984382</v>
      </c>
      <c r="N139" s="631">
        <v>6.2831853071795862</v>
      </c>
      <c r="O139" s="631">
        <v>0.69422757271315372</v>
      </c>
      <c r="P139" s="635">
        <v>1.3770589075844013</v>
      </c>
      <c r="Q139" s="635">
        <v>0.7354734803798465</v>
      </c>
      <c r="R139" s="635">
        <v>0.63955360142220707</v>
      </c>
      <c r="S139" s="682"/>
      <c r="T139" s="632" t="s">
        <v>792</v>
      </c>
      <c r="U139" s="632"/>
      <c r="V139" s="610"/>
      <c r="W139" s="743" t="s">
        <v>691</v>
      </c>
      <c r="X139" s="610" t="s">
        <v>792</v>
      </c>
      <c r="Y139" s="735" t="s">
        <v>1223</v>
      </c>
      <c r="Z139" s="636" t="s">
        <v>486</v>
      </c>
      <c r="AA139" s="633" t="s">
        <v>486</v>
      </c>
      <c r="AB139" s="610">
        <v>122</v>
      </c>
      <c r="AC139" s="610"/>
    </row>
    <row r="140" spans="1:29" ht="15" customHeight="1">
      <c r="A140" s="802" t="s">
        <v>793</v>
      </c>
      <c r="B140" s="682">
        <v>12801.272706372863</v>
      </c>
      <c r="C140" s="682">
        <v>23645.111997723852</v>
      </c>
      <c r="D140" s="682">
        <v>23460.622286797832</v>
      </c>
      <c r="E140" s="628">
        <v>625</v>
      </c>
      <c r="F140" s="561">
        <v>3</v>
      </c>
      <c r="G140" s="629">
        <v>1439.2216353018744</v>
      </c>
      <c r="H140" s="623">
        <v>516</v>
      </c>
      <c r="I140" s="629">
        <v>510</v>
      </c>
      <c r="J140" s="629">
        <v>601.58023031152641</v>
      </c>
      <c r="K140" s="630">
        <v>0.58385733033216425</v>
      </c>
      <c r="L140" s="817">
        <v>4.299255733109425E-2</v>
      </c>
      <c r="M140" s="631">
        <v>1.3030723542300895</v>
      </c>
      <c r="N140" s="631">
        <v>6.2831853071795862</v>
      </c>
      <c r="O140" s="631">
        <v>0.74437732949042923</v>
      </c>
      <c r="P140" s="635">
        <v>1.4593571426927237</v>
      </c>
      <c r="Q140" s="635">
        <v>0.76793193816316185</v>
      </c>
      <c r="R140" s="635">
        <v>0.67128969713871245</v>
      </c>
      <c r="S140" s="682"/>
      <c r="T140" s="632" t="s">
        <v>793</v>
      </c>
      <c r="U140" s="632"/>
      <c r="V140" s="610"/>
      <c r="W140" s="743" t="s">
        <v>691</v>
      </c>
      <c r="X140" s="610" t="s">
        <v>793</v>
      </c>
      <c r="Y140" s="735" t="s">
        <v>1086</v>
      </c>
      <c r="Z140" s="636" t="s">
        <v>487</v>
      </c>
      <c r="AA140" s="633" t="s">
        <v>487</v>
      </c>
      <c r="AB140" s="610">
        <v>123</v>
      </c>
      <c r="AC140" s="610"/>
    </row>
    <row r="141" spans="1:29" ht="15" customHeight="1">
      <c r="A141" s="802" t="s">
        <v>890</v>
      </c>
      <c r="B141" s="682">
        <v>18494.234851701414</v>
      </c>
      <c r="C141" s="682">
        <v>31380.963757980531</v>
      </c>
      <c r="D141" s="682">
        <v>31168.567150925166</v>
      </c>
      <c r="E141" s="628">
        <v>700</v>
      </c>
      <c r="F141" s="561">
        <v>3</v>
      </c>
      <c r="G141" s="629">
        <v>1979.1903409284942</v>
      </c>
      <c r="H141" s="623">
        <v>541</v>
      </c>
      <c r="I141" s="629">
        <v>535</v>
      </c>
      <c r="J141" s="629">
        <v>719.34912727702624</v>
      </c>
      <c r="K141" s="630">
        <v>0.65834977103967884</v>
      </c>
      <c r="L141" s="817">
        <v>8.4000592361377177E-2</v>
      </c>
      <c r="M141" s="631">
        <v>0.98268575673395708</v>
      </c>
      <c r="N141" s="631">
        <v>6.2831853071795862</v>
      </c>
      <c r="O141" s="631">
        <v>0.74359142039530401</v>
      </c>
      <c r="P141" s="635">
        <v>1.7216600322188049</v>
      </c>
      <c r="Q141" s="635">
        <v>1.1190239962683404</v>
      </c>
      <c r="R141" s="635">
        <v>0.86016634466015374</v>
      </c>
      <c r="S141" s="682"/>
      <c r="T141" s="632" t="s">
        <v>890</v>
      </c>
      <c r="U141" s="632"/>
      <c r="V141" s="610"/>
      <c r="W141" s="743" t="s">
        <v>691</v>
      </c>
      <c r="X141" s="610" t="s">
        <v>890</v>
      </c>
      <c r="Y141" s="735" t="s">
        <v>1087</v>
      </c>
      <c r="Z141" s="636" t="s">
        <v>488</v>
      </c>
      <c r="AA141" s="633" t="s">
        <v>488</v>
      </c>
      <c r="AB141" s="610">
        <v>124</v>
      </c>
      <c r="AC141" s="610"/>
    </row>
    <row r="142" spans="1:29" ht="15" customHeight="1">
      <c r="A142" s="802" t="s">
        <v>891</v>
      </c>
      <c r="B142" s="682">
        <v>23800.545216209488</v>
      </c>
      <c r="C142" s="682">
        <v>38457.625160731892</v>
      </c>
      <c r="D142" s="682">
        <v>38220.225748678975</v>
      </c>
      <c r="E142" s="628">
        <v>800</v>
      </c>
      <c r="F142" s="561">
        <v>4</v>
      </c>
      <c r="G142" s="629">
        <v>2149.8915634272244</v>
      </c>
      <c r="H142" s="623">
        <v>606</v>
      </c>
      <c r="I142" s="629">
        <v>598</v>
      </c>
      <c r="J142" s="629">
        <v>840.5493493975855</v>
      </c>
      <c r="K142" s="630">
        <v>0.73660414108767402</v>
      </c>
      <c r="L142" s="817">
        <v>7.7835501197502946E-2</v>
      </c>
      <c r="M142" s="631">
        <v>1.1048005827252063</v>
      </c>
      <c r="N142" s="631">
        <v>6.2831853071795862</v>
      </c>
      <c r="O142" s="631">
        <v>0.89644558343621328</v>
      </c>
      <c r="P142" s="635">
        <v>1.9594364477067185</v>
      </c>
      <c r="Q142" s="635">
        <v>1.2052350362499096</v>
      </c>
      <c r="R142" s="635">
        <v>0.94465652717731463</v>
      </c>
      <c r="S142" s="682"/>
      <c r="T142" s="632" t="s">
        <v>891</v>
      </c>
      <c r="U142" s="632"/>
      <c r="V142" s="610"/>
      <c r="W142" s="743" t="s">
        <v>691</v>
      </c>
      <c r="X142" s="610" t="s">
        <v>891</v>
      </c>
      <c r="Y142" s="735" t="s">
        <v>1088</v>
      </c>
      <c r="Z142" s="636" t="s">
        <v>489</v>
      </c>
      <c r="AA142" s="633" t="s">
        <v>489</v>
      </c>
      <c r="AB142" s="610">
        <v>125</v>
      </c>
      <c r="AC142" s="610"/>
    </row>
    <row r="143" spans="1:29" ht="15" customHeight="1">
      <c r="A143" s="782" t="s">
        <v>892</v>
      </c>
      <c r="B143" s="682">
        <v>2383.4106262419168</v>
      </c>
      <c r="C143" s="682">
        <v>3364.3332843139274</v>
      </c>
      <c r="D143" s="682">
        <v>3364.3332843139274</v>
      </c>
      <c r="E143" s="628">
        <v>160</v>
      </c>
      <c r="F143" s="561">
        <v>3</v>
      </c>
      <c r="G143" s="629">
        <v>580</v>
      </c>
      <c r="H143" s="623">
        <v>130</v>
      </c>
      <c r="I143" s="629">
        <v>124</v>
      </c>
      <c r="J143" s="629"/>
      <c r="K143" s="630"/>
      <c r="L143" s="817"/>
      <c r="M143" s="631"/>
      <c r="N143" s="631"/>
      <c r="O143" s="631"/>
      <c r="P143" s="635">
        <v>0</v>
      </c>
      <c r="Q143" s="635">
        <v>3.0000000000000001E-3</v>
      </c>
      <c r="R143" s="635">
        <v>0.57699999999999996</v>
      </c>
      <c r="S143" s="682"/>
      <c r="T143" s="629" t="s">
        <v>892</v>
      </c>
      <c r="U143" s="629"/>
      <c r="V143" s="610"/>
      <c r="W143" s="742" t="s">
        <v>692</v>
      </c>
      <c r="X143" s="610" t="s">
        <v>892</v>
      </c>
      <c r="Y143" s="735" t="s">
        <v>1089</v>
      </c>
      <c r="Z143" s="636" t="s">
        <v>490</v>
      </c>
      <c r="AA143" s="633" t="s">
        <v>490</v>
      </c>
      <c r="AB143" s="610">
        <v>126</v>
      </c>
      <c r="AC143" s="610"/>
    </row>
    <row r="144" spans="1:29" s="634" customFormat="1" ht="15" customHeight="1">
      <c r="A144" s="782" t="s">
        <v>893</v>
      </c>
      <c r="B144" s="682">
        <v>2477.5481261405889</v>
      </c>
      <c r="C144" s="682">
        <v>3458.4707842125995</v>
      </c>
      <c r="D144" s="682">
        <v>3458.4707842125995</v>
      </c>
      <c r="E144" s="628">
        <v>160</v>
      </c>
      <c r="F144" s="561">
        <v>3</v>
      </c>
      <c r="G144" s="629">
        <v>580</v>
      </c>
      <c r="H144" s="623">
        <v>130</v>
      </c>
      <c r="I144" s="629">
        <v>124</v>
      </c>
      <c r="J144" s="629"/>
      <c r="K144" s="630"/>
      <c r="L144" s="817"/>
      <c r="M144" s="631"/>
      <c r="N144" s="631"/>
      <c r="O144" s="631"/>
      <c r="P144" s="635">
        <v>0</v>
      </c>
      <c r="Q144" s="635">
        <v>3.0000000000000001E-3</v>
      </c>
      <c r="R144" s="635">
        <v>0.57699999999999996</v>
      </c>
      <c r="S144" s="682"/>
      <c r="T144" s="629" t="s">
        <v>893</v>
      </c>
      <c r="U144" s="629"/>
      <c r="V144" s="610"/>
      <c r="W144" s="743" t="s">
        <v>692</v>
      </c>
      <c r="X144" s="610" t="s">
        <v>892</v>
      </c>
      <c r="Y144" s="735" t="s">
        <v>1089</v>
      </c>
      <c r="Z144" s="636" t="s">
        <v>491</v>
      </c>
      <c r="AA144" s="633" t="s">
        <v>491</v>
      </c>
      <c r="AB144" s="610">
        <v>127</v>
      </c>
      <c r="AC144" s="610"/>
    </row>
    <row r="145" spans="1:29" s="634" customFormat="1" ht="15" customHeight="1">
      <c r="A145" s="663" t="s">
        <v>894</v>
      </c>
      <c r="B145" s="682">
        <v>2896.7194012514792</v>
      </c>
      <c r="C145" s="682">
        <v>7708.6904819104575</v>
      </c>
      <c r="D145" s="682">
        <v>7629.4150593234899</v>
      </c>
      <c r="E145" s="628">
        <v>160</v>
      </c>
      <c r="F145" s="561">
        <v>3</v>
      </c>
      <c r="G145" s="629">
        <v>580</v>
      </c>
      <c r="H145" s="623">
        <v>130</v>
      </c>
      <c r="I145" s="629">
        <v>124</v>
      </c>
      <c r="J145" s="629"/>
      <c r="K145" s="630"/>
      <c r="L145" s="817"/>
      <c r="M145" s="631"/>
      <c r="N145" s="631"/>
      <c r="O145" s="631"/>
      <c r="P145" s="635">
        <v>0</v>
      </c>
      <c r="Q145" s="635">
        <v>3.0000000000000001E-3</v>
      </c>
      <c r="R145" s="635">
        <v>0.57699999999999996</v>
      </c>
      <c r="S145" s="682"/>
      <c r="T145" s="629" t="s">
        <v>894</v>
      </c>
      <c r="U145" s="629"/>
      <c r="V145" s="610"/>
      <c r="W145" s="743" t="s">
        <v>692</v>
      </c>
      <c r="X145" s="610" t="s">
        <v>892</v>
      </c>
      <c r="Y145" s="735" t="s">
        <v>1201</v>
      </c>
      <c r="Z145" s="636" t="s">
        <v>492</v>
      </c>
      <c r="AA145" s="633" t="s">
        <v>492</v>
      </c>
      <c r="AB145" s="610">
        <v>128</v>
      </c>
      <c r="AC145" s="610"/>
    </row>
    <row r="146" spans="1:29" ht="15" customHeight="1">
      <c r="A146" s="663" t="s">
        <v>895</v>
      </c>
      <c r="B146" s="682">
        <v>3345.9839768783627</v>
      </c>
      <c r="C146" s="682">
        <v>8202.1094307484236</v>
      </c>
      <c r="D146" s="682">
        <v>8122.8340081614569</v>
      </c>
      <c r="E146" s="628">
        <v>200</v>
      </c>
      <c r="F146" s="561">
        <v>3</v>
      </c>
      <c r="G146" s="629">
        <v>580</v>
      </c>
      <c r="H146" s="623">
        <v>170</v>
      </c>
      <c r="I146" s="629">
        <v>164</v>
      </c>
      <c r="J146" s="629"/>
      <c r="K146" s="630"/>
      <c r="L146" s="817"/>
      <c r="M146" s="631"/>
      <c r="N146" s="631"/>
      <c r="O146" s="631"/>
      <c r="P146" s="635">
        <v>0</v>
      </c>
      <c r="Q146" s="635">
        <v>3.0000000000000001E-3</v>
      </c>
      <c r="R146" s="635">
        <v>0.57699999999999996</v>
      </c>
      <c r="S146" s="682"/>
      <c r="T146" s="629" t="s">
        <v>895</v>
      </c>
      <c r="U146" s="629"/>
      <c r="V146" s="610"/>
      <c r="W146" s="743" t="s">
        <v>692</v>
      </c>
      <c r="X146" s="610" t="s">
        <v>895</v>
      </c>
      <c r="Y146" s="735" t="s">
        <v>1202</v>
      </c>
      <c r="Z146" s="636" t="s">
        <v>493</v>
      </c>
      <c r="AA146" s="633" t="s">
        <v>493</v>
      </c>
      <c r="AB146" s="610">
        <v>129</v>
      </c>
      <c r="AC146" s="610"/>
    </row>
    <row r="147" spans="1:29" ht="15" customHeight="1">
      <c r="A147" s="663" t="s">
        <v>896</v>
      </c>
      <c r="B147" s="682">
        <v>3544.9482303381787</v>
      </c>
      <c r="C147" s="682">
        <v>8654.6720621827444</v>
      </c>
      <c r="D147" s="682">
        <v>8571.8234953037609</v>
      </c>
      <c r="E147" s="628">
        <v>250</v>
      </c>
      <c r="F147" s="561">
        <v>3</v>
      </c>
      <c r="G147" s="629">
        <v>695</v>
      </c>
      <c r="H147" s="623">
        <v>210</v>
      </c>
      <c r="I147" s="629">
        <v>204</v>
      </c>
      <c r="J147" s="629"/>
      <c r="K147" s="630"/>
      <c r="L147" s="817"/>
      <c r="M147" s="631"/>
      <c r="N147" s="631"/>
      <c r="O147" s="631"/>
      <c r="P147" s="635">
        <v>0</v>
      </c>
      <c r="Q147" s="635">
        <v>3.0000000000000001E-3</v>
      </c>
      <c r="R147" s="635">
        <v>0.69199999999999995</v>
      </c>
      <c r="S147" s="682"/>
      <c r="T147" s="629" t="s">
        <v>896</v>
      </c>
      <c r="U147" s="629"/>
      <c r="V147" s="610"/>
      <c r="W147" s="743" t="s">
        <v>692</v>
      </c>
      <c r="X147" s="610" t="s">
        <v>896</v>
      </c>
      <c r="Y147" s="735" t="s">
        <v>1203</v>
      </c>
      <c r="Z147" s="636" t="s">
        <v>494</v>
      </c>
      <c r="AA147" s="633" t="s">
        <v>494</v>
      </c>
      <c r="AB147" s="610">
        <v>130</v>
      </c>
      <c r="AC147" s="610"/>
    </row>
    <row r="148" spans="1:29" ht="15" customHeight="1">
      <c r="A148" s="663" t="s">
        <v>897</v>
      </c>
      <c r="B148" s="682">
        <v>4053.5658610255241</v>
      </c>
      <c r="C148" s="682">
        <v>9926.2391314484885</v>
      </c>
      <c r="D148" s="682">
        <v>9829.337116504832</v>
      </c>
      <c r="E148" s="628">
        <v>250</v>
      </c>
      <c r="F148" s="561">
        <v>3</v>
      </c>
      <c r="G148" s="629">
        <v>760</v>
      </c>
      <c r="H148" s="623">
        <v>182</v>
      </c>
      <c r="I148" s="629">
        <v>176</v>
      </c>
      <c r="J148" s="629"/>
      <c r="K148" s="630"/>
      <c r="L148" s="817"/>
      <c r="M148" s="631"/>
      <c r="N148" s="631"/>
      <c r="O148" s="631"/>
      <c r="P148" s="635">
        <v>0</v>
      </c>
      <c r="Q148" s="635">
        <v>3.0000000000000001E-3</v>
      </c>
      <c r="R148" s="635">
        <v>0.75700000000000001</v>
      </c>
      <c r="S148" s="682"/>
      <c r="T148" s="629" t="s">
        <v>897</v>
      </c>
      <c r="U148" s="629"/>
      <c r="V148" s="610"/>
      <c r="W148" s="743" t="s">
        <v>692</v>
      </c>
      <c r="X148" s="610" t="s">
        <v>897</v>
      </c>
      <c r="Y148" s="735" t="s">
        <v>1205</v>
      </c>
      <c r="Z148" s="636" t="s">
        <v>495</v>
      </c>
      <c r="AA148" s="633" t="s">
        <v>495</v>
      </c>
      <c r="AB148" s="610">
        <v>131</v>
      </c>
      <c r="AC148" s="610"/>
    </row>
    <row r="149" spans="1:29" ht="15" customHeight="1">
      <c r="A149" s="663" t="s">
        <v>898</v>
      </c>
      <c r="B149" s="682">
        <v>4278.8264472468763</v>
      </c>
      <c r="C149" s="682">
        <v>10171.354194670304</v>
      </c>
      <c r="D149" s="682">
        <v>10074.452179726648</v>
      </c>
      <c r="E149" s="628">
        <v>310</v>
      </c>
      <c r="F149" s="561">
        <v>3</v>
      </c>
      <c r="G149" s="629">
        <v>760</v>
      </c>
      <c r="H149" s="623">
        <v>252</v>
      </c>
      <c r="I149" s="629">
        <v>246</v>
      </c>
      <c r="J149" s="629"/>
      <c r="K149" s="630"/>
      <c r="L149" s="817"/>
      <c r="M149" s="631"/>
      <c r="N149" s="631"/>
      <c r="O149" s="631"/>
      <c r="P149" s="635">
        <v>0</v>
      </c>
      <c r="Q149" s="635">
        <v>3.0000000000000001E-3</v>
      </c>
      <c r="R149" s="635">
        <v>0.75700000000000001</v>
      </c>
      <c r="S149" s="682"/>
      <c r="T149" s="629" t="s">
        <v>898</v>
      </c>
      <c r="U149" s="629"/>
      <c r="V149" s="610"/>
      <c r="W149" s="743" t="s">
        <v>692</v>
      </c>
      <c r="X149" s="610" t="s">
        <v>898</v>
      </c>
      <c r="Y149" s="735" t="s">
        <v>1206</v>
      </c>
      <c r="Z149" s="636" t="s">
        <v>496</v>
      </c>
      <c r="AA149" s="633" t="s">
        <v>496</v>
      </c>
      <c r="AB149" s="610">
        <v>132</v>
      </c>
      <c r="AC149" s="610"/>
    </row>
    <row r="150" spans="1:29" ht="15" customHeight="1">
      <c r="A150" s="663" t="s">
        <v>899</v>
      </c>
      <c r="B150" s="682">
        <v>4827.1352088840995</v>
      </c>
      <c r="C150" s="682">
        <v>11707.124427140412</v>
      </c>
      <c r="D150" s="682">
        <v>11592.062827434384</v>
      </c>
      <c r="E150" s="628">
        <v>250</v>
      </c>
      <c r="F150" s="561">
        <v>3</v>
      </c>
      <c r="G150" s="629">
        <v>895</v>
      </c>
      <c r="H150" s="623">
        <v>182</v>
      </c>
      <c r="I150" s="629">
        <v>176</v>
      </c>
      <c r="J150" s="629"/>
      <c r="K150" s="630"/>
      <c r="L150" s="817"/>
      <c r="M150" s="631"/>
      <c r="N150" s="631"/>
      <c r="O150" s="631"/>
      <c r="P150" s="635">
        <v>0</v>
      </c>
      <c r="Q150" s="635">
        <v>3.0000000000000001E-3</v>
      </c>
      <c r="R150" s="635">
        <v>0.89200000000000002</v>
      </c>
      <c r="S150" s="682"/>
      <c r="T150" s="629" t="s">
        <v>899</v>
      </c>
      <c r="U150" s="629"/>
      <c r="V150" s="610"/>
      <c r="W150" s="743" t="s">
        <v>692</v>
      </c>
      <c r="X150" s="610" t="s">
        <v>899</v>
      </c>
      <c r="Y150" s="735" t="s">
        <v>1083</v>
      </c>
      <c r="Z150" s="636" t="s">
        <v>497</v>
      </c>
      <c r="AA150" s="633" t="s">
        <v>497</v>
      </c>
      <c r="AB150" s="610">
        <v>133</v>
      </c>
      <c r="AC150" s="610"/>
    </row>
    <row r="151" spans="1:29" ht="15" customHeight="1">
      <c r="A151" s="663" t="s">
        <v>900</v>
      </c>
      <c r="B151" s="682">
        <v>5387.1418893445716</v>
      </c>
      <c r="C151" s="682">
        <v>12320.298266640662</v>
      </c>
      <c r="D151" s="682">
        <v>12205.236666934634</v>
      </c>
      <c r="E151" s="628">
        <v>350</v>
      </c>
      <c r="F151" s="561">
        <v>3</v>
      </c>
      <c r="G151" s="629">
        <v>895</v>
      </c>
      <c r="H151" s="623">
        <v>312</v>
      </c>
      <c r="I151" s="629">
        <v>306</v>
      </c>
      <c r="J151" s="629"/>
      <c r="K151" s="630"/>
      <c r="L151" s="817"/>
      <c r="M151" s="631"/>
      <c r="N151" s="631"/>
      <c r="O151" s="631"/>
      <c r="P151" s="635">
        <v>0</v>
      </c>
      <c r="Q151" s="635">
        <v>3.0000000000000001E-3</v>
      </c>
      <c r="R151" s="635">
        <v>0.89200000000000002</v>
      </c>
      <c r="S151" s="682"/>
      <c r="T151" s="629" t="s">
        <v>900</v>
      </c>
      <c r="U151" s="629"/>
      <c r="V151" s="610"/>
      <c r="W151" s="743" t="s">
        <v>692</v>
      </c>
      <c r="X151" s="610" t="s">
        <v>900</v>
      </c>
      <c r="Y151" s="735" t="s">
        <v>1085</v>
      </c>
      <c r="Z151" s="636" t="s">
        <v>498</v>
      </c>
      <c r="AA151" s="633" t="s">
        <v>498</v>
      </c>
      <c r="AB151" s="610">
        <v>134</v>
      </c>
      <c r="AC151" s="610"/>
    </row>
    <row r="152" spans="1:29" ht="15" customHeight="1">
      <c r="A152" s="663" t="s">
        <v>901</v>
      </c>
      <c r="B152" s="682">
        <v>5882.7201019233498</v>
      </c>
      <c r="C152" s="682">
        <v>13602.259997528379</v>
      </c>
      <c r="D152" s="682">
        <v>13470.64392697473</v>
      </c>
      <c r="E152" s="628">
        <v>350</v>
      </c>
      <c r="F152" s="561">
        <v>3</v>
      </c>
      <c r="G152" s="629">
        <v>980</v>
      </c>
      <c r="H152" s="623">
        <v>263</v>
      </c>
      <c r="I152" s="629">
        <v>257</v>
      </c>
      <c r="J152" s="629"/>
      <c r="K152" s="630"/>
      <c r="L152" s="817"/>
      <c r="M152" s="631"/>
      <c r="N152" s="631"/>
      <c r="O152" s="631"/>
      <c r="P152" s="635">
        <v>0</v>
      </c>
      <c r="Q152" s="635">
        <v>3.0000000000000001E-3</v>
      </c>
      <c r="R152" s="635">
        <v>0.97699999999999998</v>
      </c>
      <c r="S152" s="682"/>
      <c r="T152" s="629" t="s">
        <v>901</v>
      </c>
      <c r="U152" s="629"/>
      <c r="V152" s="610"/>
      <c r="W152" s="743" t="s">
        <v>692</v>
      </c>
      <c r="X152" s="610" t="s">
        <v>901</v>
      </c>
      <c r="Y152" s="735" t="s">
        <v>1214</v>
      </c>
      <c r="Z152" s="636" t="s">
        <v>499</v>
      </c>
      <c r="AA152" s="633" t="s">
        <v>499</v>
      </c>
      <c r="AB152" s="610">
        <v>135</v>
      </c>
      <c r="AC152" s="610"/>
    </row>
    <row r="153" spans="1:29" ht="15" customHeight="1">
      <c r="A153" s="663" t="s">
        <v>902</v>
      </c>
      <c r="B153" s="682">
        <v>6360.0193879028157</v>
      </c>
      <c r="C153" s="682">
        <v>14139.302602186648</v>
      </c>
      <c r="D153" s="682">
        <v>14007.686531632999</v>
      </c>
      <c r="E153" s="628">
        <v>400</v>
      </c>
      <c r="F153" s="561">
        <v>3</v>
      </c>
      <c r="G153" s="629">
        <v>980</v>
      </c>
      <c r="H153" s="623">
        <v>6</v>
      </c>
      <c r="I153" s="629"/>
      <c r="J153" s="629"/>
      <c r="K153" s="630"/>
      <c r="L153" s="817"/>
      <c r="M153" s="631"/>
      <c r="N153" s="631"/>
      <c r="O153" s="631"/>
      <c r="P153" s="635">
        <v>0</v>
      </c>
      <c r="Q153" s="635">
        <v>3.0000000000000001E-3</v>
      </c>
      <c r="R153" s="635">
        <v>0.97699999999999998</v>
      </c>
      <c r="S153" s="682"/>
      <c r="T153" s="629" t="s">
        <v>902</v>
      </c>
      <c r="U153" s="629"/>
      <c r="V153" s="610"/>
      <c r="W153" s="743" t="s">
        <v>692</v>
      </c>
      <c r="X153" s="610" t="s">
        <v>902</v>
      </c>
      <c r="Y153" s="735" t="s">
        <v>1215</v>
      </c>
      <c r="Z153" s="636" t="s">
        <v>500</v>
      </c>
      <c r="AA153" s="633" t="s">
        <v>500</v>
      </c>
      <c r="AB153" s="610">
        <v>136</v>
      </c>
      <c r="AC153" s="610"/>
    </row>
    <row r="154" spans="1:29" ht="15" customHeight="1">
      <c r="A154" s="663" t="s">
        <v>903</v>
      </c>
      <c r="B154" s="682">
        <v>6926.9857510563625</v>
      </c>
      <c r="C154" s="682">
        <v>15221.771855440664</v>
      </c>
      <c r="D154" s="682">
        <v>15081.342488708671</v>
      </c>
      <c r="E154" s="628">
        <v>450</v>
      </c>
      <c r="F154" s="561">
        <v>3</v>
      </c>
      <c r="G154" s="629">
        <v>1075</v>
      </c>
      <c r="H154" s="623">
        <v>364</v>
      </c>
      <c r="I154" s="629">
        <v>358</v>
      </c>
      <c r="J154" s="629"/>
      <c r="K154" s="630"/>
      <c r="L154" s="817"/>
      <c r="M154" s="631"/>
      <c r="N154" s="631"/>
      <c r="O154" s="631"/>
      <c r="P154" s="635">
        <v>0</v>
      </c>
      <c r="Q154" s="635">
        <v>3.0000000000000001E-3</v>
      </c>
      <c r="R154" s="635">
        <v>1.0720000000000001</v>
      </c>
      <c r="S154" s="682"/>
      <c r="T154" s="629" t="s">
        <v>903</v>
      </c>
      <c r="U154" s="629"/>
      <c r="V154" s="610"/>
      <c r="W154" s="743" t="s">
        <v>692</v>
      </c>
      <c r="X154" s="610" t="s">
        <v>903</v>
      </c>
      <c r="Y154" s="735" t="s">
        <v>1216</v>
      </c>
      <c r="Z154" s="636" t="s">
        <v>501</v>
      </c>
      <c r="AA154" s="633" t="s">
        <v>501</v>
      </c>
      <c r="AB154" s="610">
        <v>137</v>
      </c>
      <c r="AC154" s="610"/>
    </row>
    <row r="155" spans="1:29" ht="15" customHeight="1">
      <c r="A155" s="663" t="s">
        <v>904</v>
      </c>
      <c r="B155" s="682">
        <v>8046.1240705289083</v>
      </c>
      <c r="C155" s="682">
        <v>17133.5960805289</v>
      </c>
      <c r="D155" s="682">
        <v>16979.213265732229</v>
      </c>
      <c r="E155" s="628">
        <v>400</v>
      </c>
      <c r="F155" s="561">
        <v>3</v>
      </c>
      <c r="G155" s="629">
        <v>1225</v>
      </c>
      <c r="H155" s="623">
        <v>264</v>
      </c>
      <c r="I155" s="629">
        <v>258</v>
      </c>
      <c r="J155" s="629"/>
      <c r="K155" s="630"/>
      <c r="L155" s="817"/>
      <c r="M155" s="631"/>
      <c r="N155" s="631"/>
      <c r="O155" s="631"/>
      <c r="P155" s="635">
        <v>0</v>
      </c>
      <c r="Q155" s="635">
        <v>3.0000000000000001E-3</v>
      </c>
      <c r="R155" s="635">
        <v>1.2220000000000002</v>
      </c>
      <c r="S155" s="682"/>
      <c r="T155" s="629" t="s">
        <v>904</v>
      </c>
      <c r="U155" s="629"/>
      <c r="V155" s="610"/>
      <c r="W155" s="743" t="s">
        <v>692</v>
      </c>
      <c r="X155" s="610" t="s">
        <v>904</v>
      </c>
      <c r="Y155" s="735" t="s">
        <v>1221</v>
      </c>
      <c r="Z155" s="636" t="s">
        <v>502</v>
      </c>
      <c r="AA155" s="633" t="s">
        <v>502</v>
      </c>
      <c r="AB155" s="610">
        <v>138</v>
      </c>
      <c r="AC155" s="610"/>
    </row>
    <row r="156" spans="1:29" ht="15" customHeight="1">
      <c r="A156" s="663" t="s">
        <v>905</v>
      </c>
      <c r="B156" s="682">
        <v>8726.3005529600414</v>
      </c>
      <c r="C156" s="682">
        <v>17929.651227678685</v>
      </c>
      <c r="D156" s="682">
        <v>17775.268412882018</v>
      </c>
      <c r="E156" s="628">
        <v>500</v>
      </c>
      <c r="F156" s="561">
        <v>3</v>
      </c>
      <c r="G156" s="629">
        <v>1225</v>
      </c>
      <c r="H156" s="623">
        <v>414</v>
      </c>
      <c r="I156" s="629">
        <v>408</v>
      </c>
      <c r="J156" s="629"/>
      <c r="K156" s="630"/>
      <c r="L156" s="817"/>
      <c r="M156" s="631"/>
      <c r="N156" s="631"/>
      <c r="O156" s="631"/>
      <c r="P156" s="635">
        <v>0</v>
      </c>
      <c r="Q156" s="635">
        <v>3.0000000000000001E-3</v>
      </c>
      <c r="R156" s="635">
        <v>1.2220000000000002</v>
      </c>
      <c r="S156" s="682"/>
      <c r="T156" s="629" t="s">
        <v>905</v>
      </c>
      <c r="U156" s="629"/>
      <c r="V156" s="610"/>
      <c r="W156" s="743" t="s">
        <v>692</v>
      </c>
      <c r="X156" s="610" t="s">
        <v>905</v>
      </c>
      <c r="Y156" s="735" t="s">
        <v>1222</v>
      </c>
      <c r="Z156" s="636" t="s">
        <v>503</v>
      </c>
      <c r="AA156" s="633" t="s">
        <v>503</v>
      </c>
      <c r="AB156" s="610">
        <v>139</v>
      </c>
      <c r="AC156" s="610"/>
    </row>
    <row r="157" spans="1:29" ht="15" customHeight="1">
      <c r="A157" s="663" t="s">
        <v>906</v>
      </c>
      <c r="B157" s="682">
        <v>9703.0983376081767</v>
      </c>
      <c r="C157" s="682">
        <v>19945.985889194926</v>
      </c>
      <c r="D157" s="682">
        <v>19772.309474447251</v>
      </c>
      <c r="E157" s="628">
        <v>550</v>
      </c>
      <c r="F157" s="561">
        <v>3</v>
      </c>
      <c r="G157" s="629">
        <v>1375</v>
      </c>
      <c r="H157" s="623">
        <v>439</v>
      </c>
      <c r="I157" s="629">
        <v>433</v>
      </c>
      <c r="J157" s="629"/>
      <c r="K157" s="630"/>
      <c r="L157" s="817"/>
      <c r="M157" s="631"/>
      <c r="N157" s="631"/>
      <c r="O157" s="631"/>
      <c r="P157" s="635">
        <v>0</v>
      </c>
      <c r="Q157" s="635">
        <v>3.0000000000000001E-3</v>
      </c>
      <c r="R157" s="635">
        <v>1.3720000000000001</v>
      </c>
      <c r="S157" s="682"/>
      <c r="T157" s="629" t="s">
        <v>906</v>
      </c>
      <c r="U157" s="629"/>
      <c r="V157" s="562"/>
      <c r="W157" s="743" t="s">
        <v>692</v>
      </c>
      <c r="X157" s="562" t="s">
        <v>906</v>
      </c>
      <c r="Y157" s="739" t="s">
        <v>1223</v>
      </c>
      <c r="Z157" s="636" t="s">
        <v>504</v>
      </c>
      <c r="AA157" s="633" t="s">
        <v>504</v>
      </c>
      <c r="AB157" s="610">
        <v>140</v>
      </c>
      <c r="AC157" s="610"/>
    </row>
    <row r="158" spans="1:29" ht="15" customHeight="1">
      <c r="A158" s="663" t="s">
        <v>907</v>
      </c>
      <c r="B158" s="682">
        <v>10611.834146995554</v>
      </c>
      <c r="C158" s="682">
        <v>21431.24730290331</v>
      </c>
      <c r="D158" s="682">
        <v>21247.290584382972</v>
      </c>
      <c r="E158" s="628">
        <v>625</v>
      </c>
      <c r="F158" s="561">
        <v>3</v>
      </c>
      <c r="G158" s="629">
        <v>1440</v>
      </c>
      <c r="H158" s="623">
        <v>516</v>
      </c>
      <c r="I158" s="629">
        <v>510</v>
      </c>
      <c r="J158" s="629"/>
      <c r="K158" s="630"/>
      <c r="L158" s="817"/>
      <c r="M158" s="631"/>
      <c r="N158" s="631"/>
      <c r="O158" s="631"/>
      <c r="P158" s="635">
        <v>0</v>
      </c>
      <c r="Q158" s="635">
        <v>3.0000000000000001E-3</v>
      </c>
      <c r="R158" s="635">
        <v>1.4370000000000001</v>
      </c>
      <c r="S158" s="682"/>
      <c r="T158" s="629" t="s">
        <v>907</v>
      </c>
      <c r="U158" s="629"/>
      <c r="V158" s="562"/>
      <c r="W158" s="743" t="s">
        <v>692</v>
      </c>
      <c r="X158" s="562" t="s">
        <v>907</v>
      </c>
      <c r="Y158" s="739" t="s">
        <v>1224</v>
      </c>
      <c r="Z158" s="636" t="s">
        <v>505</v>
      </c>
      <c r="AA158" s="633" t="s">
        <v>505</v>
      </c>
      <c r="AB158" s="610">
        <v>141</v>
      </c>
      <c r="AC158" s="610"/>
    </row>
    <row r="159" spans="1:29" ht="15" customHeight="1">
      <c r="A159" s="663" t="s">
        <v>908</v>
      </c>
      <c r="B159" s="682">
        <v>16856.433891995002</v>
      </c>
      <c r="C159" s="682">
        <v>29850.426251239402</v>
      </c>
      <c r="D159" s="682">
        <v>29638.46263658972</v>
      </c>
      <c r="E159" s="628">
        <v>700</v>
      </c>
      <c r="F159" s="561">
        <v>3</v>
      </c>
      <c r="G159" s="629">
        <v>1980</v>
      </c>
      <c r="H159" s="623">
        <v>541</v>
      </c>
      <c r="I159" s="629">
        <v>535</v>
      </c>
      <c r="J159" s="629"/>
      <c r="K159" s="630"/>
      <c r="L159" s="817"/>
      <c r="M159" s="631"/>
      <c r="N159" s="631"/>
      <c r="O159" s="631"/>
      <c r="P159" s="635">
        <v>0</v>
      </c>
      <c r="Q159" s="635">
        <v>3.0000000000000001E-3</v>
      </c>
      <c r="R159" s="635">
        <v>1.9770000000000001</v>
      </c>
      <c r="S159" s="682"/>
      <c r="T159" s="629" t="s">
        <v>908</v>
      </c>
      <c r="U159" s="629"/>
      <c r="V159" s="610"/>
      <c r="W159" s="743" t="s">
        <v>692</v>
      </c>
      <c r="X159" s="610" t="s">
        <v>908</v>
      </c>
      <c r="Y159" s="735" t="s">
        <v>1225</v>
      </c>
      <c r="Z159" s="636" t="s">
        <v>506</v>
      </c>
      <c r="AA159" s="633" t="s">
        <v>506</v>
      </c>
      <c r="AB159" s="610">
        <v>142</v>
      </c>
      <c r="AC159" s="610"/>
    </row>
    <row r="160" spans="1:29" ht="15" customHeight="1">
      <c r="A160" s="782" t="s">
        <v>909</v>
      </c>
      <c r="B160" s="682">
        <v>19279.89087407515</v>
      </c>
      <c r="C160" s="682">
        <v>33808.40088377794</v>
      </c>
      <c r="D160" s="682">
        <v>33571.001471725031</v>
      </c>
      <c r="E160" s="628">
        <v>800</v>
      </c>
      <c r="F160" s="561">
        <v>4</v>
      </c>
      <c r="G160" s="629">
        <v>2150</v>
      </c>
      <c r="H160" s="623">
        <v>606</v>
      </c>
      <c r="I160" s="629">
        <v>598</v>
      </c>
      <c r="J160" s="629"/>
      <c r="K160" s="630"/>
      <c r="L160" s="817"/>
      <c r="M160" s="631"/>
      <c r="N160" s="631"/>
      <c r="O160" s="631"/>
      <c r="P160" s="635">
        <v>0</v>
      </c>
      <c r="Q160" s="635">
        <v>4.0000000000000001E-3</v>
      </c>
      <c r="R160" s="635">
        <v>2.1459999999999999</v>
      </c>
      <c r="S160" s="682"/>
      <c r="T160" s="629" t="s">
        <v>909</v>
      </c>
      <c r="U160" s="629"/>
      <c r="V160" s="610"/>
      <c r="W160" s="743" t="s">
        <v>692</v>
      </c>
      <c r="X160" s="610" t="s">
        <v>909</v>
      </c>
      <c r="Y160" s="735" t="s">
        <v>1088</v>
      </c>
      <c r="Z160" s="636" t="s">
        <v>507</v>
      </c>
      <c r="AA160" s="633" t="s">
        <v>507</v>
      </c>
      <c r="AB160" s="610">
        <v>143</v>
      </c>
      <c r="AC160" s="610"/>
    </row>
    <row r="161" spans="1:29" ht="15" customHeight="1">
      <c r="A161" s="663" t="s">
        <v>910</v>
      </c>
      <c r="B161" s="682">
        <v>3963.3995883939624</v>
      </c>
      <c r="C161" s="682">
        <v>9469.900970829538</v>
      </c>
      <c r="D161" s="682">
        <v>9378.7081609324287</v>
      </c>
      <c r="E161" s="628">
        <v>102</v>
      </c>
      <c r="F161" s="561">
        <v>3</v>
      </c>
      <c r="G161" s="629">
        <v>634.06817234392827</v>
      </c>
      <c r="H161" s="623">
        <v>66</v>
      </c>
      <c r="I161" s="629">
        <v>60</v>
      </c>
      <c r="J161" s="629">
        <v>100</v>
      </c>
      <c r="K161" s="630">
        <v>0.30003713500245432</v>
      </c>
      <c r="L161" s="817">
        <v>9.6512351309920846E-3</v>
      </c>
      <c r="M161" s="631">
        <v>0.76137810943135409</v>
      </c>
      <c r="N161" s="631">
        <v>6.2831853071795862</v>
      </c>
      <c r="O161" s="631">
        <v>0.26066028436754213</v>
      </c>
      <c r="P161" s="635">
        <v>0.57465828686519571</v>
      </c>
      <c r="Q161" s="635">
        <v>0.32179451738605452</v>
      </c>
      <c r="R161" s="635">
        <v>0.31227365495787379</v>
      </c>
      <c r="S161" s="682"/>
      <c r="T161" s="629" t="s">
        <v>910</v>
      </c>
      <c r="U161" s="629"/>
      <c r="V161" s="610"/>
      <c r="W161" s="742" t="s">
        <v>693</v>
      </c>
      <c r="X161" s="610" t="s">
        <v>910</v>
      </c>
      <c r="Y161" s="735" t="s">
        <v>1226</v>
      </c>
      <c r="Z161" s="636" t="s">
        <v>508</v>
      </c>
      <c r="AA161" s="633" t="s">
        <v>508</v>
      </c>
      <c r="AB161" s="610">
        <v>144</v>
      </c>
      <c r="AC161" s="610"/>
    </row>
    <row r="162" spans="1:29" ht="15" customHeight="1">
      <c r="A162" s="663" t="s">
        <v>911</v>
      </c>
      <c r="B162" s="682">
        <v>3993.2176656232618</v>
      </c>
      <c r="C162" s="682">
        <v>9503.5596153359093</v>
      </c>
      <c r="D162" s="682">
        <v>9412.3668054387981</v>
      </c>
      <c r="E162" s="628">
        <v>150</v>
      </c>
      <c r="F162" s="561">
        <v>3</v>
      </c>
      <c r="G162" s="629">
        <v>634.06817234392827</v>
      </c>
      <c r="H162" s="623">
        <v>66</v>
      </c>
      <c r="I162" s="629">
        <v>60</v>
      </c>
      <c r="J162" s="629">
        <v>100</v>
      </c>
      <c r="K162" s="630">
        <v>0.30003713500245432</v>
      </c>
      <c r="L162" s="817">
        <v>9.6512351309920846E-3</v>
      </c>
      <c r="M162" s="631">
        <v>0.76137810943135409</v>
      </c>
      <c r="N162" s="631">
        <v>6.2831853071795862</v>
      </c>
      <c r="O162" s="631">
        <v>0.26066028436754213</v>
      </c>
      <c r="P162" s="635">
        <v>0.57465828686519571</v>
      </c>
      <c r="Q162" s="635">
        <v>0.32179451738605452</v>
      </c>
      <c r="R162" s="635">
        <v>0.31227365495787379</v>
      </c>
      <c r="S162" s="682"/>
      <c r="T162" s="629" t="s">
        <v>911</v>
      </c>
      <c r="U162" s="629"/>
      <c r="V162" s="610"/>
      <c r="W162" s="743" t="s">
        <v>693</v>
      </c>
      <c r="X162" s="610" t="s">
        <v>911</v>
      </c>
      <c r="Y162" s="735" t="s">
        <v>1227</v>
      </c>
      <c r="Z162" s="636" t="s">
        <v>508</v>
      </c>
      <c r="AA162" s="633" t="s">
        <v>508</v>
      </c>
      <c r="AB162" s="610">
        <v>144</v>
      </c>
      <c r="AC162" s="610"/>
    </row>
    <row r="163" spans="1:29" ht="15" customHeight="1">
      <c r="A163" s="663" t="s">
        <v>912</v>
      </c>
      <c r="B163" s="682">
        <v>4054.103909619073</v>
      </c>
      <c r="C163" s="682">
        <v>9563.4258399172195</v>
      </c>
      <c r="D163" s="682">
        <v>9472.2330300201102</v>
      </c>
      <c r="E163" s="628">
        <v>102</v>
      </c>
      <c r="F163" s="561">
        <v>3</v>
      </c>
      <c r="G163" s="629">
        <v>634.06817234392827</v>
      </c>
      <c r="H163" s="623">
        <v>86</v>
      </c>
      <c r="I163" s="629">
        <v>80</v>
      </c>
      <c r="J163" s="629">
        <v>100</v>
      </c>
      <c r="K163" s="630">
        <v>0.30003713500245432</v>
      </c>
      <c r="L163" s="817">
        <v>9.6512351309920863E-3</v>
      </c>
      <c r="M163" s="631">
        <v>0.76137810943135409</v>
      </c>
      <c r="N163" s="631">
        <v>6.2831853071795862</v>
      </c>
      <c r="O163" s="631">
        <v>0.26066028436754213</v>
      </c>
      <c r="P163" s="635">
        <v>0.57465828686519571</v>
      </c>
      <c r="Q163" s="635">
        <v>0.32179451738605452</v>
      </c>
      <c r="R163" s="635">
        <v>0.31227365495787379</v>
      </c>
      <c r="S163" s="682"/>
      <c r="T163" s="629" t="s">
        <v>912</v>
      </c>
      <c r="U163" s="629"/>
      <c r="V163" s="610"/>
      <c r="W163" s="743" t="s">
        <v>693</v>
      </c>
      <c r="X163" s="610" t="s">
        <v>910</v>
      </c>
      <c r="Y163" s="735" t="s">
        <v>1226</v>
      </c>
      <c r="Z163" s="636" t="s">
        <v>509</v>
      </c>
      <c r="AA163" s="633" t="s">
        <v>509</v>
      </c>
      <c r="AB163" s="610">
        <v>146</v>
      </c>
      <c r="AC163" s="562"/>
    </row>
    <row r="164" spans="1:29" ht="15" customHeight="1">
      <c r="A164" s="663" t="s">
        <v>913</v>
      </c>
      <c r="B164" s="682">
        <v>4083.9219868483719</v>
      </c>
      <c r="C164" s="682">
        <v>9597.0844844235908</v>
      </c>
      <c r="D164" s="682">
        <v>9505.8916745264796</v>
      </c>
      <c r="E164" s="628">
        <v>150</v>
      </c>
      <c r="F164" s="561">
        <v>3</v>
      </c>
      <c r="G164" s="629">
        <v>634.06817234392827</v>
      </c>
      <c r="H164" s="623">
        <v>86</v>
      </c>
      <c r="I164" s="629">
        <v>80</v>
      </c>
      <c r="J164" s="629">
        <v>100</v>
      </c>
      <c r="K164" s="630">
        <v>0.30003713500245432</v>
      </c>
      <c r="L164" s="817">
        <v>9.6512351309920863E-3</v>
      </c>
      <c r="M164" s="631">
        <v>0.76137810943135409</v>
      </c>
      <c r="N164" s="631">
        <v>6.2831853071795862</v>
      </c>
      <c r="O164" s="631">
        <v>0.26066028436754213</v>
      </c>
      <c r="P164" s="635">
        <v>0.57465828686519571</v>
      </c>
      <c r="Q164" s="635">
        <v>0.32179451738605452</v>
      </c>
      <c r="R164" s="635">
        <v>0.31227365495787379</v>
      </c>
      <c r="S164" s="682"/>
      <c r="T164" s="629" t="s">
        <v>913</v>
      </c>
      <c r="U164" s="629"/>
      <c r="V164" s="610"/>
      <c r="W164" s="743" t="s">
        <v>693</v>
      </c>
      <c r="X164" s="610" t="s">
        <v>911</v>
      </c>
      <c r="Y164" s="735" t="s">
        <v>1227</v>
      </c>
      <c r="Z164" s="636" t="s">
        <v>509</v>
      </c>
      <c r="AA164" s="633" t="s">
        <v>509</v>
      </c>
      <c r="AB164" s="610">
        <v>146</v>
      </c>
      <c r="AC164" s="562"/>
    </row>
    <row r="165" spans="1:29" ht="15" customHeight="1">
      <c r="A165" s="663" t="s">
        <v>914</v>
      </c>
      <c r="B165" s="682">
        <v>4050.8650056624624</v>
      </c>
      <c r="C165" s="682">
        <v>9564.4846250835926</v>
      </c>
      <c r="D165" s="682">
        <v>9473.2918151864815</v>
      </c>
      <c r="E165" s="628">
        <v>125</v>
      </c>
      <c r="F165" s="561">
        <v>3</v>
      </c>
      <c r="G165" s="629">
        <v>634.06817234392827</v>
      </c>
      <c r="H165" s="623">
        <v>106</v>
      </c>
      <c r="I165" s="629">
        <v>100</v>
      </c>
      <c r="J165" s="629">
        <v>100</v>
      </c>
      <c r="K165" s="630">
        <v>0.30003713500245432</v>
      </c>
      <c r="L165" s="817">
        <v>9.6512351309920863E-3</v>
      </c>
      <c r="M165" s="631">
        <v>0.76137810943135409</v>
      </c>
      <c r="N165" s="631">
        <v>6.2831853071795862</v>
      </c>
      <c r="O165" s="631">
        <v>0.26066028436754213</v>
      </c>
      <c r="P165" s="635">
        <v>0.57465828686519571</v>
      </c>
      <c r="Q165" s="635">
        <v>0.32179451738605452</v>
      </c>
      <c r="R165" s="635">
        <v>0.31227365495787379</v>
      </c>
      <c r="S165" s="682"/>
      <c r="T165" s="629" t="s">
        <v>914</v>
      </c>
      <c r="U165" s="629"/>
      <c r="V165" s="610"/>
      <c r="W165" s="743" t="s">
        <v>693</v>
      </c>
      <c r="X165" s="610" t="s">
        <v>914</v>
      </c>
      <c r="Y165" s="735" t="s">
        <v>1228</v>
      </c>
      <c r="Z165" s="636" t="s">
        <v>510</v>
      </c>
      <c r="AA165" s="633" t="s">
        <v>510</v>
      </c>
      <c r="AB165" s="610">
        <v>148</v>
      </c>
      <c r="AC165" s="610"/>
    </row>
    <row r="166" spans="1:29" ht="15" customHeight="1">
      <c r="A166" s="663" t="s">
        <v>915</v>
      </c>
      <c r="B166" s="682">
        <v>4080.0694364415872</v>
      </c>
      <c r="C166" s="682">
        <v>9595.3093400175931</v>
      </c>
      <c r="D166" s="682">
        <v>9504.1165301204837</v>
      </c>
      <c r="E166" s="628">
        <v>150</v>
      </c>
      <c r="F166" s="561">
        <v>3</v>
      </c>
      <c r="G166" s="629">
        <v>634.06817234392827</v>
      </c>
      <c r="H166" s="623">
        <v>106</v>
      </c>
      <c r="I166" s="629">
        <v>100</v>
      </c>
      <c r="J166" s="629">
        <v>100</v>
      </c>
      <c r="K166" s="630">
        <v>0.30003713500245432</v>
      </c>
      <c r="L166" s="817">
        <v>9.6512351309920863E-3</v>
      </c>
      <c r="M166" s="631">
        <v>0.76137810943135409</v>
      </c>
      <c r="N166" s="631">
        <v>6.2831853071795862</v>
      </c>
      <c r="O166" s="631">
        <v>0.26066028436754213</v>
      </c>
      <c r="P166" s="635">
        <v>0.57465828686519571</v>
      </c>
      <c r="Q166" s="635">
        <v>0.32179451738605452</v>
      </c>
      <c r="R166" s="635">
        <v>0.31227365495787379</v>
      </c>
      <c r="S166" s="682"/>
      <c r="T166" s="629" t="s">
        <v>915</v>
      </c>
      <c r="U166" s="629"/>
      <c r="V166" s="610"/>
      <c r="W166" s="743" t="s">
        <v>693</v>
      </c>
      <c r="X166" s="610" t="s">
        <v>911</v>
      </c>
      <c r="Y166" s="735" t="s">
        <v>1227</v>
      </c>
      <c r="Z166" s="636" t="s">
        <v>510</v>
      </c>
      <c r="AA166" s="633" t="s">
        <v>510</v>
      </c>
      <c r="AB166" s="610">
        <v>148</v>
      </c>
      <c r="AC166" s="610"/>
    </row>
    <row r="167" spans="1:29" ht="15" customHeight="1">
      <c r="A167" s="663" t="s">
        <v>916</v>
      </c>
      <c r="B167" s="682">
        <v>4320.8172053827484</v>
      </c>
      <c r="C167" s="682">
        <v>9847.0159518504697</v>
      </c>
      <c r="D167" s="682">
        <v>9755.8231419533586</v>
      </c>
      <c r="E167" s="628">
        <v>160</v>
      </c>
      <c r="F167" s="561">
        <v>3</v>
      </c>
      <c r="G167" s="629">
        <v>679.97317304498631</v>
      </c>
      <c r="H167" s="623">
        <v>124</v>
      </c>
      <c r="I167" s="629">
        <v>118</v>
      </c>
      <c r="J167" s="629">
        <v>174</v>
      </c>
      <c r="K167" s="630">
        <v>0.29423363190275964</v>
      </c>
      <c r="L167" s="817">
        <v>2.8576145245986673E-2</v>
      </c>
      <c r="M167" s="631">
        <v>0.94065771184429059</v>
      </c>
      <c r="N167" s="631">
        <v>6.2831853071795862</v>
      </c>
      <c r="O167" s="631">
        <v>0.30525203626883057</v>
      </c>
      <c r="P167" s="635">
        <v>0.64189941547973906</v>
      </c>
      <c r="Q167" s="635">
        <v>0.35510285479572984</v>
      </c>
      <c r="R167" s="635">
        <v>0.32487031824925644</v>
      </c>
      <c r="S167" s="682"/>
      <c r="T167" s="629" t="s">
        <v>916</v>
      </c>
      <c r="U167" s="629"/>
      <c r="V167" s="610"/>
      <c r="W167" s="743" t="s">
        <v>693</v>
      </c>
      <c r="X167" s="610" t="s">
        <v>916</v>
      </c>
      <c r="Y167" s="735" t="s">
        <v>1229</v>
      </c>
      <c r="Z167" s="636" t="s">
        <v>511</v>
      </c>
      <c r="AA167" s="633" t="s">
        <v>511</v>
      </c>
      <c r="AB167" s="610">
        <v>150</v>
      </c>
      <c r="AC167" s="610"/>
    </row>
    <row r="168" spans="1:29" ht="15" customHeight="1">
      <c r="A168" s="663" t="s">
        <v>917</v>
      </c>
      <c r="B168" s="682">
        <v>4232.9840886276588</v>
      </c>
      <c r="C168" s="682">
        <v>9768.854503442155</v>
      </c>
      <c r="D168" s="682">
        <v>9677.6616935450438</v>
      </c>
      <c r="E168" s="628">
        <v>200</v>
      </c>
      <c r="F168" s="561">
        <v>3</v>
      </c>
      <c r="G168" s="629">
        <v>679.97226610923951</v>
      </c>
      <c r="H168" s="623">
        <v>166</v>
      </c>
      <c r="I168" s="629">
        <v>160</v>
      </c>
      <c r="J168" s="629">
        <v>194</v>
      </c>
      <c r="K168" s="630">
        <v>0.2933967367892289</v>
      </c>
      <c r="L168" s="817">
        <v>2.917131182002897E-2</v>
      </c>
      <c r="M168" s="631">
        <v>1.0191089823356563</v>
      </c>
      <c r="N168" s="631">
        <v>6.2831853071795862</v>
      </c>
      <c r="O168" s="631">
        <v>0.32176074960746903</v>
      </c>
      <c r="P168" s="635">
        <v>0.65839341155734799</v>
      </c>
      <c r="Q168" s="635">
        <v>0.35541677722926118</v>
      </c>
      <c r="R168" s="635">
        <v>0.32455548887997837</v>
      </c>
      <c r="S168" s="682"/>
      <c r="T168" s="629" t="s">
        <v>917</v>
      </c>
      <c r="U168" s="629"/>
      <c r="V168" s="610"/>
      <c r="W168" s="743" t="s">
        <v>693</v>
      </c>
      <c r="X168" s="610" t="s">
        <v>917</v>
      </c>
      <c r="Y168" s="735" t="s">
        <v>1230</v>
      </c>
      <c r="Z168" s="636" t="s">
        <v>512</v>
      </c>
      <c r="AA168" s="633" t="s">
        <v>512</v>
      </c>
      <c r="AB168" s="610">
        <v>151</v>
      </c>
      <c r="AC168" s="610"/>
    </row>
    <row r="169" spans="1:29" ht="15" customHeight="1">
      <c r="A169" s="663" t="s">
        <v>918</v>
      </c>
      <c r="B169" s="682">
        <v>3529.6940886276589</v>
      </c>
      <c r="C169" s="682">
        <v>9002.7325034421538</v>
      </c>
      <c r="D169" s="682">
        <v>8911.5396935450444</v>
      </c>
      <c r="E169" s="628">
        <v>200</v>
      </c>
      <c r="F169" s="561">
        <v>3</v>
      </c>
      <c r="G169" s="629">
        <v>679.97226610923951</v>
      </c>
      <c r="H169" s="623">
        <v>166</v>
      </c>
      <c r="I169" s="629">
        <v>160</v>
      </c>
      <c r="J169" s="629">
        <v>194</v>
      </c>
      <c r="K169" s="630">
        <v>0.2933967367892289</v>
      </c>
      <c r="L169" s="817">
        <v>2.917131182002897E-2</v>
      </c>
      <c r="M169" s="631">
        <v>1.0191089823356563</v>
      </c>
      <c r="N169" s="631">
        <v>6.2831853071795862</v>
      </c>
      <c r="O169" s="631">
        <v>0.32176074960746903</v>
      </c>
      <c r="P169" s="635">
        <v>0.65839341155734799</v>
      </c>
      <c r="Q169" s="635">
        <v>0.35541677722926118</v>
      </c>
      <c r="R169" s="635">
        <v>0.32455548887997837</v>
      </c>
      <c r="S169" s="682"/>
      <c r="T169" s="629" t="s">
        <v>918</v>
      </c>
      <c r="U169" s="629"/>
      <c r="V169" s="610"/>
      <c r="W169" s="743" t="s">
        <v>693</v>
      </c>
      <c r="X169" s="610" t="s">
        <v>917</v>
      </c>
      <c r="Y169" s="735" t="s">
        <v>1230</v>
      </c>
      <c r="Z169" s="636" t="s">
        <v>513</v>
      </c>
      <c r="AA169" s="633" t="s">
        <v>513</v>
      </c>
      <c r="AB169" s="610">
        <v>152</v>
      </c>
      <c r="AC169" s="610"/>
    </row>
    <row r="170" spans="1:29" ht="15" customHeight="1">
      <c r="A170" s="663" t="s">
        <v>919</v>
      </c>
      <c r="B170" s="682">
        <v>3527.0780024573451</v>
      </c>
      <c r="C170" s="682">
        <v>9000.1164172718381</v>
      </c>
      <c r="D170" s="682">
        <v>8908.9236073747288</v>
      </c>
      <c r="E170" s="628">
        <v>200</v>
      </c>
      <c r="F170" s="561">
        <v>3</v>
      </c>
      <c r="G170" s="629">
        <v>679.97226610923951</v>
      </c>
      <c r="H170" s="623">
        <v>166</v>
      </c>
      <c r="I170" s="629">
        <v>160</v>
      </c>
      <c r="J170" s="629">
        <v>194</v>
      </c>
      <c r="K170" s="630">
        <v>0.2933967367892289</v>
      </c>
      <c r="L170" s="817">
        <v>2.917131182002897E-2</v>
      </c>
      <c r="M170" s="631">
        <v>1.0191089823356563</v>
      </c>
      <c r="N170" s="631">
        <v>6.2831853071795862</v>
      </c>
      <c r="O170" s="631">
        <v>0.32176074960746903</v>
      </c>
      <c r="P170" s="635">
        <v>0.65839341155734799</v>
      </c>
      <c r="Q170" s="635">
        <v>0.35541677722926118</v>
      </c>
      <c r="R170" s="635">
        <v>0.32455548887997837</v>
      </c>
      <c r="S170" s="682"/>
      <c r="T170" s="629" t="s">
        <v>919</v>
      </c>
      <c r="U170" s="629"/>
      <c r="V170" s="610"/>
      <c r="W170" s="743" t="s">
        <v>693</v>
      </c>
      <c r="X170" s="610" t="s">
        <v>917</v>
      </c>
      <c r="Y170" s="735" t="s">
        <v>1230</v>
      </c>
      <c r="Z170" s="636" t="s">
        <v>514</v>
      </c>
      <c r="AA170" s="633" t="s">
        <v>514</v>
      </c>
      <c r="AB170" s="610">
        <v>153</v>
      </c>
      <c r="AC170" s="610"/>
    </row>
    <row r="171" spans="1:29" ht="15" customHeight="1">
      <c r="A171" s="663" t="s">
        <v>920</v>
      </c>
      <c r="B171" s="682">
        <v>4068.9620758216283</v>
      </c>
      <c r="C171" s="682">
        <v>10207.449939775923</v>
      </c>
      <c r="D171" s="682">
        <v>10102.772734974353</v>
      </c>
      <c r="E171" s="628">
        <v>102</v>
      </c>
      <c r="F171" s="561">
        <v>3</v>
      </c>
      <c r="G171" s="629">
        <v>679.51893820939313</v>
      </c>
      <c r="H171" s="623">
        <v>66</v>
      </c>
      <c r="I171" s="629">
        <v>60</v>
      </c>
      <c r="J171" s="629">
        <v>100</v>
      </c>
      <c r="K171" s="630">
        <v>0.34616957884431021</v>
      </c>
      <c r="L171" s="817">
        <v>9.9999999999999995E-7</v>
      </c>
      <c r="M171" s="631">
        <v>0.82540200772222694</v>
      </c>
      <c r="N171" s="631">
        <v>6.2831853071795862</v>
      </c>
      <c r="O171" s="631">
        <v>0.34599999999999997</v>
      </c>
      <c r="P171" s="635">
        <v>0.69217121013386251</v>
      </c>
      <c r="Q171" s="635">
        <v>0.34917175389875493</v>
      </c>
      <c r="R171" s="635">
        <v>0.3303471843106382</v>
      </c>
      <c r="S171" s="682"/>
      <c r="T171" s="629" t="s">
        <v>920</v>
      </c>
      <c r="U171" s="629"/>
      <c r="V171" s="610"/>
      <c r="W171" s="743" t="s">
        <v>693</v>
      </c>
      <c r="X171" s="610" t="s">
        <v>920</v>
      </c>
      <c r="Y171" s="735" t="s">
        <v>1231</v>
      </c>
      <c r="Z171" s="636" t="s">
        <v>515</v>
      </c>
      <c r="AA171" s="633" t="s">
        <v>515</v>
      </c>
      <c r="AB171" s="610">
        <v>154</v>
      </c>
      <c r="AC171" s="610"/>
    </row>
    <row r="172" spans="1:29" ht="15" customHeight="1">
      <c r="A172" s="663" t="s">
        <v>921</v>
      </c>
      <c r="B172" s="682">
        <v>4099.0861192427574</v>
      </c>
      <c r="C172" s="682">
        <v>10241.414550474121</v>
      </c>
      <c r="D172" s="682">
        <v>10136.737345672551</v>
      </c>
      <c r="E172" s="628">
        <v>150</v>
      </c>
      <c r="F172" s="561">
        <v>3</v>
      </c>
      <c r="G172" s="629">
        <v>679.51893820939313</v>
      </c>
      <c r="H172" s="623">
        <v>66</v>
      </c>
      <c r="I172" s="629">
        <v>60</v>
      </c>
      <c r="J172" s="629">
        <v>100</v>
      </c>
      <c r="K172" s="630">
        <v>0.34616957884431021</v>
      </c>
      <c r="L172" s="817">
        <v>9.9999999999999995E-7</v>
      </c>
      <c r="M172" s="631">
        <v>0.82540200772222694</v>
      </c>
      <c r="N172" s="631">
        <v>6.2831853071795862</v>
      </c>
      <c r="O172" s="631">
        <v>0.34599999999999997</v>
      </c>
      <c r="P172" s="635">
        <v>0.69217121013386251</v>
      </c>
      <c r="Q172" s="635">
        <v>0.34917175389875493</v>
      </c>
      <c r="R172" s="635">
        <v>0.3303471843106382</v>
      </c>
      <c r="S172" s="682"/>
      <c r="T172" s="629" t="s">
        <v>921</v>
      </c>
      <c r="U172" s="629"/>
      <c r="V172" s="610"/>
      <c r="W172" s="743" t="s">
        <v>693</v>
      </c>
      <c r="X172" s="610" t="s">
        <v>921</v>
      </c>
      <c r="Y172" s="735" t="s">
        <v>1232</v>
      </c>
      <c r="Z172" s="636" t="s">
        <v>515</v>
      </c>
      <c r="AA172" s="633" t="s">
        <v>515</v>
      </c>
      <c r="AB172" s="610">
        <v>154</v>
      </c>
      <c r="AC172" s="610"/>
    </row>
    <row r="173" spans="1:29" ht="15" customHeight="1">
      <c r="A173" s="663" t="s">
        <v>922</v>
      </c>
      <c r="B173" s="682">
        <v>4268.816335449741</v>
      </c>
      <c r="C173" s="682">
        <v>10421.032434699655</v>
      </c>
      <c r="D173" s="682">
        <v>10316.355229898087</v>
      </c>
      <c r="E173" s="628">
        <v>102</v>
      </c>
      <c r="F173" s="561">
        <v>3</v>
      </c>
      <c r="G173" s="629">
        <v>679.51893820939313</v>
      </c>
      <c r="H173" s="623">
        <v>86</v>
      </c>
      <c r="I173" s="629">
        <v>80</v>
      </c>
      <c r="J173" s="629">
        <v>100</v>
      </c>
      <c r="K173" s="630">
        <v>0.34616957884431021</v>
      </c>
      <c r="L173" s="817">
        <v>9.9999999999999995E-7</v>
      </c>
      <c r="M173" s="631">
        <v>0.82540200772222694</v>
      </c>
      <c r="N173" s="631">
        <v>6.2831853071795862</v>
      </c>
      <c r="O173" s="631">
        <v>0.34599999999999997</v>
      </c>
      <c r="P173" s="635">
        <v>0.69217121013386251</v>
      </c>
      <c r="Q173" s="635">
        <v>0.34917175389875493</v>
      </c>
      <c r="R173" s="635">
        <v>0.3303471843106382</v>
      </c>
      <c r="S173" s="682"/>
      <c r="T173" s="629" t="s">
        <v>922</v>
      </c>
      <c r="U173" s="629"/>
      <c r="V173" s="610"/>
      <c r="W173" s="743" t="s">
        <v>693</v>
      </c>
      <c r="X173" s="610" t="s">
        <v>920</v>
      </c>
      <c r="Y173" s="735" t="s">
        <v>1231</v>
      </c>
      <c r="Z173" s="636" t="s">
        <v>77</v>
      </c>
      <c r="AA173" s="633" t="s">
        <v>77</v>
      </c>
      <c r="AB173" s="610">
        <v>156</v>
      </c>
      <c r="AC173" s="610"/>
    </row>
    <row r="174" spans="1:29" ht="15" customHeight="1">
      <c r="A174" s="663" t="s">
        <v>923</v>
      </c>
      <c r="B174" s="682">
        <v>4299.2927790636131</v>
      </c>
      <c r="C174" s="682">
        <v>10455.349445590597</v>
      </c>
      <c r="D174" s="682">
        <v>10350.672240789028</v>
      </c>
      <c r="E174" s="628">
        <v>150</v>
      </c>
      <c r="F174" s="561">
        <v>3</v>
      </c>
      <c r="G174" s="629">
        <v>679.51893820939313</v>
      </c>
      <c r="H174" s="623">
        <v>86</v>
      </c>
      <c r="I174" s="629">
        <v>80</v>
      </c>
      <c r="J174" s="629">
        <v>100</v>
      </c>
      <c r="K174" s="630">
        <v>0.34616957884431021</v>
      </c>
      <c r="L174" s="817">
        <v>9.9999999999999995E-7</v>
      </c>
      <c r="M174" s="631">
        <v>0.82540200772222694</v>
      </c>
      <c r="N174" s="631">
        <v>6.2831853071795862</v>
      </c>
      <c r="O174" s="631">
        <v>0.34599999999999997</v>
      </c>
      <c r="P174" s="635">
        <v>0.69217121013386251</v>
      </c>
      <c r="Q174" s="635">
        <v>0.34917175389875493</v>
      </c>
      <c r="R174" s="635">
        <v>0.3303471843106382</v>
      </c>
      <c r="S174" s="682"/>
      <c r="T174" s="629" t="s">
        <v>923</v>
      </c>
      <c r="U174" s="629"/>
      <c r="V174" s="610"/>
      <c r="W174" s="743" t="s">
        <v>693</v>
      </c>
      <c r="X174" s="610" t="s">
        <v>921</v>
      </c>
      <c r="Y174" s="735" t="s">
        <v>1232</v>
      </c>
      <c r="Z174" s="636" t="s">
        <v>77</v>
      </c>
      <c r="AA174" s="633" t="s">
        <v>77</v>
      </c>
      <c r="AB174" s="610">
        <v>156</v>
      </c>
      <c r="AC174" s="610"/>
    </row>
    <row r="175" spans="1:29" ht="15" customHeight="1">
      <c r="A175" s="663" t="s">
        <v>924</v>
      </c>
      <c r="B175" s="682">
        <v>4402.3946427647079</v>
      </c>
      <c r="C175" s="682">
        <v>10559.191118570656</v>
      </c>
      <c r="D175" s="682">
        <v>10454.513913769086</v>
      </c>
      <c r="E175" s="628">
        <v>125</v>
      </c>
      <c r="F175" s="561">
        <v>3</v>
      </c>
      <c r="G175" s="629">
        <v>679.51893820939313</v>
      </c>
      <c r="H175" s="623">
        <v>106</v>
      </c>
      <c r="I175" s="629">
        <v>100</v>
      </c>
      <c r="J175" s="629">
        <v>100</v>
      </c>
      <c r="K175" s="630">
        <v>0.34616957884431021</v>
      </c>
      <c r="L175" s="817">
        <v>9.9999999999999995E-7</v>
      </c>
      <c r="M175" s="631">
        <v>0.82540200772222694</v>
      </c>
      <c r="N175" s="631">
        <v>6.2831853071795862</v>
      </c>
      <c r="O175" s="631">
        <v>0.34599999999999997</v>
      </c>
      <c r="P175" s="635">
        <v>0.69217121013386251</v>
      </c>
      <c r="Q175" s="635">
        <v>0.34917175389875493</v>
      </c>
      <c r="R175" s="635">
        <v>0.3303471843106382</v>
      </c>
      <c r="S175" s="682"/>
      <c r="T175" s="629" t="s">
        <v>924</v>
      </c>
      <c r="U175" s="629"/>
      <c r="V175" s="610"/>
      <c r="W175" s="743" t="s">
        <v>693</v>
      </c>
      <c r="X175" s="610" t="s">
        <v>924</v>
      </c>
      <c r="Y175" s="735" t="s">
        <v>1233</v>
      </c>
      <c r="Z175" s="636" t="s">
        <v>78</v>
      </c>
      <c r="AA175" s="633" t="s">
        <v>78</v>
      </c>
      <c r="AB175" s="610">
        <v>158</v>
      </c>
      <c r="AC175" s="610"/>
    </row>
    <row r="176" spans="1:29" ht="15" customHeight="1">
      <c r="A176" s="663" t="s">
        <v>925</v>
      </c>
      <c r="B176" s="682">
        <v>4420.7060121914601</v>
      </c>
      <c r="C176" s="682">
        <v>10579.865914014064</v>
      </c>
      <c r="D176" s="682">
        <v>10475.188709212498</v>
      </c>
      <c r="E176" s="628">
        <v>150</v>
      </c>
      <c r="F176" s="561">
        <v>3</v>
      </c>
      <c r="G176" s="629">
        <v>679.51893820939313</v>
      </c>
      <c r="H176" s="623">
        <v>106</v>
      </c>
      <c r="I176" s="629">
        <v>100</v>
      </c>
      <c r="J176" s="629">
        <v>100</v>
      </c>
      <c r="K176" s="630">
        <v>0.34616957884431021</v>
      </c>
      <c r="L176" s="817">
        <v>9.9999999999999995E-7</v>
      </c>
      <c r="M176" s="631">
        <v>0.82540200772222694</v>
      </c>
      <c r="N176" s="631">
        <v>6.2831853071795862</v>
      </c>
      <c r="O176" s="631">
        <v>0.34599999999999997</v>
      </c>
      <c r="P176" s="635">
        <v>0.69217121013386251</v>
      </c>
      <c r="Q176" s="635">
        <v>0.34917175389875493</v>
      </c>
      <c r="R176" s="635">
        <v>0.3303471843106382</v>
      </c>
      <c r="S176" s="682"/>
      <c r="T176" s="629" t="s">
        <v>925</v>
      </c>
      <c r="U176" s="629"/>
      <c r="V176" s="610"/>
      <c r="W176" s="743" t="s">
        <v>693</v>
      </c>
      <c r="X176" s="610" t="s">
        <v>921</v>
      </c>
      <c r="Y176" s="735" t="s">
        <v>1232</v>
      </c>
      <c r="Z176" s="636" t="s">
        <v>78</v>
      </c>
      <c r="AA176" s="633" t="s">
        <v>78</v>
      </c>
      <c r="AB176" s="610">
        <v>158</v>
      </c>
      <c r="AC176" s="610"/>
    </row>
    <row r="177" spans="1:29" ht="15" customHeight="1">
      <c r="A177" s="663" t="s">
        <v>926</v>
      </c>
      <c r="B177" s="682">
        <v>4459.7766123868314</v>
      </c>
      <c r="C177" s="682">
        <v>10629.380635160984</v>
      </c>
      <c r="D177" s="682">
        <v>10524.703430359416</v>
      </c>
      <c r="E177" s="628">
        <v>160</v>
      </c>
      <c r="F177" s="561">
        <v>3</v>
      </c>
      <c r="G177" s="629">
        <v>714.93247007788057</v>
      </c>
      <c r="H177" s="623">
        <v>124</v>
      </c>
      <c r="I177" s="629">
        <v>118</v>
      </c>
      <c r="J177" s="629">
        <v>174</v>
      </c>
      <c r="K177" s="630">
        <v>0.3418543275915859</v>
      </c>
      <c r="L177" s="817">
        <v>7.6724923594872771E-3</v>
      </c>
      <c r="M177" s="631">
        <v>1.004808670236327</v>
      </c>
      <c r="N177" s="631">
        <v>6.2831853071795862</v>
      </c>
      <c r="O177" s="631">
        <v>0.36347307121597</v>
      </c>
      <c r="P177" s="635">
        <v>0.71791356490742875</v>
      </c>
      <c r="Q177" s="635">
        <v>0.361738027922059</v>
      </c>
      <c r="R177" s="635">
        <v>0.35319444215582152</v>
      </c>
      <c r="S177" s="682"/>
      <c r="T177" s="629" t="s">
        <v>926</v>
      </c>
      <c r="U177" s="629"/>
      <c r="V177" s="610"/>
      <c r="W177" s="743" t="s">
        <v>693</v>
      </c>
      <c r="X177" s="610" t="s">
        <v>926</v>
      </c>
      <c r="Y177" s="735" t="s">
        <v>1234</v>
      </c>
      <c r="Z177" s="636" t="s">
        <v>79</v>
      </c>
      <c r="AA177" s="633" t="s">
        <v>79</v>
      </c>
      <c r="AB177" s="610">
        <v>160</v>
      </c>
      <c r="AC177" s="610"/>
    </row>
    <row r="178" spans="1:29" s="634" customFormat="1" ht="15" customHeight="1">
      <c r="A178" s="663" t="s">
        <v>927</v>
      </c>
      <c r="B178" s="682">
        <v>4672.8230660864356</v>
      </c>
      <c r="C178" s="682">
        <v>10852.576818349931</v>
      </c>
      <c r="D178" s="682">
        <v>10747.899613548363</v>
      </c>
      <c r="E178" s="628">
        <v>200</v>
      </c>
      <c r="F178" s="561">
        <v>3</v>
      </c>
      <c r="G178" s="629">
        <v>714.67753770196066</v>
      </c>
      <c r="H178" s="623">
        <v>166</v>
      </c>
      <c r="I178" s="629">
        <v>160</v>
      </c>
      <c r="J178" s="629">
        <v>194</v>
      </c>
      <c r="K178" s="630">
        <v>0.34166068284422202</v>
      </c>
      <c r="L178" s="817">
        <v>7.7162321873005804E-3</v>
      </c>
      <c r="M178" s="631">
        <v>1.0725443621263464</v>
      </c>
      <c r="N178" s="631">
        <v>6.2831853071795862</v>
      </c>
      <c r="O178" s="631">
        <v>0.37826929963435152</v>
      </c>
      <c r="P178" s="635">
        <v>0.73258204218591905</v>
      </c>
      <c r="Q178" s="635">
        <v>0.36163336736715257</v>
      </c>
      <c r="R178" s="635">
        <v>0.35304417033480806</v>
      </c>
      <c r="S178" s="682"/>
      <c r="T178" s="629" t="s">
        <v>927</v>
      </c>
      <c r="U178" s="629"/>
      <c r="V178" s="610"/>
      <c r="W178" s="743" t="s">
        <v>693</v>
      </c>
      <c r="X178" s="610" t="s">
        <v>927</v>
      </c>
      <c r="Y178" s="735" t="s">
        <v>1235</v>
      </c>
      <c r="Z178" s="636" t="s">
        <v>80</v>
      </c>
      <c r="AA178" s="633" t="s">
        <v>80</v>
      </c>
      <c r="AB178" s="610">
        <v>161</v>
      </c>
      <c r="AC178" s="610"/>
    </row>
    <row r="179" spans="1:29" s="634" customFormat="1" ht="15" customHeight="1">
      <c r="A179" s="663" t="s">
        <v>928</v>
      </c>
      <c r="B179" s="682">
        <v>5203.2040750611541</v>
      </c>
      <c r="C179" s="682">
        <v>12336.930271768571</v>
      </c>
      <c r="D179" s="682">
        <v>12214.626474610317</v>
      </c>
      <c r="E179" s="628">
        <v>102</v>
      </c>
      <c r="F179" s="561">
        <v>3</v>
      </c>
      <c r="G179" s="629">
        <v>804.98106145182021</v>
      </c>
      <c r="H179" s="623">
        <v>66</v>
      </c>
      <c r="I179" s="629">
        <v>60</v>
      </c>
      <c r="J179" s="629">
        <v>100</v>
      </c>
      <c r="K179" s="630">
        <v>0.41147096421203566</v>
      </c>
      <c r="L179" s="817">
        <v>9.9999999999999995E-7</v>
      </c>
      <c r="M179" s="631">
        <v>0.7644944439728083</v>
      </c>
      <c r="N179" s="631">
        <v>6.2831853071795862</v>
      </c>
      <c r="O179" s="631">
        <v>0.41099999999999998</v>
      </c>
      <c r="P179" s="635">
        <v>0.82247290322784183</v>
      </c>
      <c r="Q179" s="635">
        <v>0.41447354956847449</v>
      </c>
      <c r="R179" s="635">
        <v>0.39050751188334576</v>
      </c>
      <c r="S179" s="682"/>
      <c r="T179" s="629" t="s">
        <v>928</v>
      </c>
      <c r="U179" s="629"/>
      <c r="V179" s="610"/>
      <c r="W179" s="743" t="s">
        <v>693</v>
      </c>
      <c r="X179" s="610" t="s">
        <v>928</v>
      </c>
      <c r="Y179" s="735" t="s">
        <v>1236</v>
      </c>
      <c r="Z179" s="636" t="s">
        <v>81</v>
      </c>
      <c r="AA179" s="633" t="s">
        <v>81</v>
      </c>
      <c r="AB179" s="610">
        <v>162</v>
      </c>
      <c r="AC179" s="610"/>
    </row>
    <row r="180" spans="1:29" ht="15" customHeight="1">
      <c r="A180" s="663" t="s">
        <v>929</v>
      </c>
      <c r="B180" s="682">
        <v>5096.4668729269133</v>
      </c>
      <c r="C180" s="682">
        <v>12235.629436185111</v>
      </c>
      <c r="D180" s="682">
        <v>12113.325639026853</v>
      </c>
      <c r="E180" s="628">
        <v>150</v>
      </c>
      <c r="F180" s="561">
        <v>3</v>
      </c>
      <c r="G180" s="629">
        <v>805</v>
      </c>
      <c r="H180" s="623">
        <v>66</v>
      </c>
      <c r="I180" s="629">
        <v>60</v>
      </c>
      <c r="J180" s="629"/>
      <c r="K180" s="630"/>
      <c r="L180" s="817"/>
      <c r="M180" s="631"/>
      <c r="N180" s="631"/>
      <c r="O180" s="631"/>
      <c r="P180" s="635">
        <v>0</v>
      </c>
      <c r="Q180" s="635">
        <v>3.0000000000000001E-3</v>
      </c>
      <c r="R180" s="635">
        <v>0.80200000000000005</v>
      </c>
      <c r="S180" s="682"/>
      <c r="T180" s="629" t="s">
        <v>929</v>
      </c>
      <c r="U180" s="629"/>
      <c r="V180" s="610"/>
      <c r="W180" s="743" t="s">
        <v>693</v>
      </c>
      <c r="X180" s="610" t="s">
        <v>929</v>
      </c>
      <c r="Y180" s="735" t="s">
        <v>1237</v>
      </c>
      <c r="Z180" s="636" t="s">
        <v>81</v>
      </c>
      <c r="AA180" s="633" t="s">
        <v>81</v>
      </c>
      <c r="AB180" s="610">
        <v>162</v>
      </c>
      <c r="AC180" s="610"/>
    </row>
    <row r="181" spans="1:29" ht="15" customHeight="1">
      <c r="A181" s="663" t="s">
        <v>930</v>
      </c>
      <c r="B181" s="682">
        <v>4829.0102541986034</v>
      </c>
      <c r="C181" s="682">
        <v>11978.607616288111</v>
      </c>
      <c r="D181" s="682">
        <v>11856.303819129855</v>
      </c>
      <c r="E181" s="628">
        <v>102</v>
      </c>
      <c r="F181" s="561">
        <v>3</v>
      </c>
      <c r="G181" s="629">
        <v>805</v>
      </c>
      <c r="H181" s="623">
        <v>86</v>
      </c>
      <c r="I181" s="629">
        <v>80</v>
      </c>
      <c r="J181" s="629"/>
      <c r="K181" s="630"/>
      <c r="L181" s="817"/>
      <c r="M181" s="631"/>
      <c r="N181" s="631"/>
      <c r="O181" s="631"/>
      <c r="P181" s="635">
        <v>0</v>
      </c>
      <c r="Q181" s="635">
        <v>3.0000000000000001E-3</v>
      </c>
      <c r="R181" s="635">
        <v>0.80200000000000005</v>
      </c>
      <c r="S181" s="682"/>
      <c r="T181" s="629" t="s">
        <v>930</v>
      </c>
      <c r="U181" s="629"/>
      <c r="V181" s="610"/>
      <c r="W181" s="743" t="s">
        <v>693</v>
      </c>
      <c r="X181" s="610" t="s">
        <v>928</v>
      </c>
      <c r="Y181" s="735" t="s">
        <v>1236</v>
      </c>
      <c r="Z181" s="636" t="s">
        <v>82</v>
      </c>
      <c r="AA181" s="633" t="s">
        <v>82</v>
      </c>
      <c r="AB181" s="610">
        <v>164</v>
      </c>
      <c r="AC181" s="610"/>
    </row>
    <row r="182" spans="1:29" ht="15" customHeight="1">
      <c r="A182" s="663" t="s">
        <v>931</v>
      </c>
      <c r="B182" s="682">
        <v>5026.2148930849135</v>
      </c>
      <c r="C182" s="682">
        <v>12181.754578152893</v>
      </c>
      <c r="D182" s="682">
        <v>12059.450780994635</v>
      </c>
      <c r="E182" s="628">
        <v>150</v>
      </c>
      <c r="F182" s="561">
        <v>3</v>
      </c>
      <c r="G182" s="629">
        <v>804.88402585122265</v>
      </c>
      <c r="H182" s="623">
        <v>86</v>
      </c>
      <c r="I182" s="629">
        <v>80</v>
      </c>
      <c r="J182" s="629">
        <v>235</v>
      </c>
      <c r="K182" s="630">
        <v>0.4128829965940069</v>
      </c>
      <c r="L182" s="817">
        <v>9.9999999999999995E-7</v>
      </c>
      <c r="M182" s="631">
        <v>1.1693094051647952</v>
      </c>
      <c r="N182" s="631">
        <v>6.2831853071795862</v>
      </c>
      <c r="O182" s="631">
        <v>0.4128829965940069</v>
      </c>
      <c r="P182" s="635">
        <v>0.82576793885788158</v>
      </c>
      <c r="Q182" s="635">
        <v>0.41588559082253473</v>
      </c>
      <c r="R182" s="635">
        <v>0.38899843502868792</v>
      </c>
      <c r="S182" s="682"/>
      <c r="T182" s="629" t="s">
        <v>931</v>
      </c>
      <c r="U182" s="629"/>
      <c r="V182" s="610"/>
      <c r="W182" s="743" t="s">
        <v>693</v>
      </c>
      <c r="X182" s="610" t="s">
        <v>929</v>
      </c>
      <c r="Y182" s="735" t="s">
        <v>1237</v>
      </c>
      <c r="Z182" s="636" t="s">
        <v>82</v>
      </c>
      <c r="AA182" s="633" t="s">
        <v>82</v>
      </c>
      <c r="AB182" s="610">
        <v>164</v>
      </c>
      <c r="AC182" s="610"/>
    </row>
    <row r="183" spans="1:29" ht="15" customHeight="1">
      <c r="A183" s="663" t="s">
        <v>932</v>
      </c>
      <c r="B183" s="682">
        <v>5037.8007539333148</v>
      </c>
      <c r="C183" s="682">
        <v>12193.357147842242</v>
      </c>
      <c r="D183" s="682">
        <v>12071.053350683987</v>
      </c>
      <c r="E183" s="628">
        <v>150</v>
      </c>
      <c r="F183" s="561">
        <v>3</v>
      </c>
      <c r="G183" s="629">
        <v>804.98106145182021</v>
      </c>
      <c r="H183" s="623">
        <v>106</v>
      </c>
      <c r="I183" s="629">
        <v>100</v>
      </c>
      <c r="J183" s="629">
        <v>100</v>
      </c>
      <c r="K183" s="630">
        <v>0.41147096421203566</v>
      </c>
      <c r="L183" s="817">
        <v>9.9999999999999995E-7</v>
      </c>
      <c r="M183" s="631">
        <v>0.7644944439728083</v>
      </c>
      <c r="N183" s="631">
        <v>6.2831853071795862</v>
      </c>
      <c r="O183" s="631">
        <v>0.41147096421203566</v>
      </c>
      <c r="P183" s="635">
        <v>0.82294386743987746</v>
      </c>
      <c r="Q183" s="635">
        <v>0.41447354956847449</v>
      </c>
      <c r="R183" s="635">
        <v>0.39050751188334576</v>
      </c>
      <c r="S183" s="682"/>
      <c r="T183" s="629" t="s">
        <v>932</v>
      </c>
      <c r="U183" s="629"/>
      <c r="V183" s="610"/>
      <c r="W183" s="743" t="s">
        <v>693</v>
      </c>
      <c r="X183" s="610" t="s">
        <v>929</v>
      </c>
      <c r="Y183" s="735" t="s">
        <v>1237</v>
      </c>
      <c r="Z183" s="636" t="s">
        <v>83</v>
      </c>
      <c r="AA183" s="633" t="s">
        <v>83</v>
      </c>
      <c r="AB183" s="610">
        <v>166</v>
      </c>
      <c r="AC183" s="610"/>
    </row>
    <row r="184" spans="1:29" ht="15" customHeight="1">
      <c r="A184" s="663" t="s">
        <v>933</v>
      </c>
      <c r="B184" s="682">
        <v>5121.2265215865127</v>
      </c>
      <c r="C184" s="682">
        <v>12288.192295826539</v>
      </c>
      <c r="D184" s="682">
        <v>12165.888498668282</v>
      </c>
      <c r="E184" s="628">
        <v>190</v>
      </c>
      <c r="F184" s="561">
        <v>3</v>
      </c>
      <c r="G184" s="629">
        <v>814.38574252801504</v>
      </c>
      <c r="H184" s="623">
        <v>125</v>
      </c>
      <c r="I184" s="629">
        <v>119</v>
      </c>
      <c r="J184" s="629">
        <v>174</v>
      </c>
      <c r="K184" s="630">
        <v>0.41090730893065713</v>
      </c>
      <c r="L184" s="817">
        <v>9.9999999999999995E-7</v>
      </c>
      <c r="M184" s="631">
        <v>0.98038112826426793</v>
      </c>
      <c r="N184" s="631">
        <v>6.2831853071795862</v>
      </c>
      <c r="O184" s="631">
        <v>0.41090730893065713</v>
      </c>
      <c r="P184" s="635">
        <v>0.82181655422095123</v>
      </c>
      <c r="Q184" s="635">
        <v>0.41390989074553425</v>
      </c>
      <c r="R184" s="635">
        <v>0.40047585178248074</v>
      </c>
      <c r="S184" s="682"/>
      <c r="T184" s="629" t="s">
        <v>933</v>
      </c>
      <c r="U184" s="629"/>
      <c r="V184" s="610"/>
      <c r="W184" s="743" t="s">
        <v>693</v>
      </c>
      <c r="X184" s="610" t="s">
        <v>933</v>
      </c>
      <c r="Y184" s="735" t="s">
        <v>1238</v>
      </c>
      <c r="Z184" s="636" t="s">
        <v>84</v>
      </c>
      <c r="AA184" s="633" t="s">
        <v>84</v>
      </c>
      <c r="AB184" s="610">
        <v>167</v>
      </c>
      <c r="AC184" s="610"/>
    </row>
    <row r="185" spans="1:29" ht="15" customHeight="1">
      <c r="A185" s="663" t="s">
        <v>934</v>
      </c>
      <c r="B185" s="682">
        <v>5206.5233636039429</v>
      </c>
      <c r="C185" s="682">
        <v>12381.88127551883</v>
      </c>
      <c r="D185" s="682">
        <v>12259.577478360576</v>
      </c>
      <c r="E185" s="628">
        <v>190</v>
      </c>
      <c r="F185" s="561">
        <v>3</v>
      </c>
      <c r="G185" s="629">
        <v>814.97541287250704</v>
      </c>
      <c r="H185" s="623">
        <v>167</v>
      </c>
      <c r="I185" s="629">
        <v>161</v>
      </c>
      <c r="J185" s="629">
        <v>194</v>
      </c>
      <c r="K185" s="630">
        <v>0.41092701153940114</v>
      </c>
      <c r="L185" s="817">
        <v>9.9999999999999995E-7</v>
      </c>
      <c r="M185" s="631">
        <v>1.0369982956507164</v>
      </c>
      <c r="N185" s="631">
        <v>6.2831853071795862</v>
      </c>
      <c r="O185" s="631">
        <v>0.41092701153940114</v>
      </c>
      <c r="P185" s="635">
        <v>0.82185595953128587</v>
      </c>
      <c r="Q185" s="635">
        <v>0.41392959347807379</v>
      </c>
      <c r="R185" s="635">
        <v>0.40104581939443329</v>
      </c>
      <c r="S185" s="682"/>
      <c r="T185" s="629" t="s">
        <v>934</v>
      </c>
      <c r="U185" s="629"/>
      <c r="V185" s="610"/>
      <c r="W185" s="743" t="s">
        <v>693</v>
      </c>
      <c r="X185" s="610" t="s">
        <v>934</v>
      </c>
      <c r="Y185" s="735" t="s">
        <v>1238</v>
      </c>
      <c r="Z185" s="636" t="s">
        <v>85</v>
      </c>
      <c r="AA185" s="633" t="s">
        <v>85</v>
      </c>
      <c r="AB185" s="610">
        <v>168</v>
      </c>
      <c r="AC185" s="610"/>
    </row>
    <row r="186" spans="1:29" ht="15" customHeight="1">
      <c r="A186" s="663" t="s">
        <v>935</v>
      </c>
      <c r="B186" s="682">
        <v>6056.5375886704624</v>
      </c>
      <c r="C186" s="682">
        <v>13942.542133896975</v>
      </c>
      <c r="D186" s="682">
        <v>13805.685911456996</v>
      </c>
      <c r="E186" s="628">
        <v>102</v>
      </c>
      <c r="F186" s="561">
        <v>3</v>
      </c>
      <c r="G186" s="629">
        <v>894.90805263666903</v>
      </c>
      <c r="H186" s="623">
        <v>66</v>
      </c>
      <c r="I186" s="629">
        <v>60</v>
      </c>
      <c r="J186" s="629">
        <v>100</v>
      </c>
      <c r="K186" s="630">
        <v>0.45695017304143515</v>
      </c>
      <c r="L186" s="817">
        <v>9.9999999999999995E-7</v>
      </c>
      <c r="M186" s="631">
        <v>0.72575314802943558</v>
      </c>
      <c r="N186" s="631">
        <v>6.2831853071795862</v>
      </c>
      <c r="O186" s="631">
        <v>0.45695017304143515</v>
      </c>
      <c r="P186" s="635">
        <v>0.91390249941490398</v>
      </c>
      <c r="Q186" s="635">
        <v>0.45995304415306837</v>
      </c>
      <c r="R186" s="635">
        <v>0.43495500848360069</v>
      </c>
      <c r="S186" s="682"/>
      <c r="T186" s="629" t="s">
        <v>935</v>
      </c>
      <c r="U186" s="629"/>
      <c r="V186" s="610"/>
      <c r="W186" s="743" t="s">
        <v>693</v>
      </c>
      <c r="X186" s="610" t="s">
        <v>935</v>
      </c>
      <c r="Y186" s="735" t="s">
        <v>1239</v>
      </c>
      <c r="Z186" s="636" t="s">
        <v>86</v>
      </c>
      <c r="AA186" s="633" t="s">
        <v>86</v>
      </c>
      <c r="AB186" s="610">
        <v>169</v>
      </c>
      <c r="AC186" s="610"/>
    </row>
    <row r="187" spans="1:29" ht="15" customHeight="1">
      <c r="A187" s="663" t="s">
        <v>936</v>
      </c>
      <c r="B187" s="682">
        <v>6086.3556658997622</v>
      </c>
      <c r="C187" s="682">
        <v>13976.200778403345</v>
      </c>
      <c r="D187" s="682">
        <v>13839.344555963366</v>
      </c>
      <c r="E187" s="628">
        <v>150</v>
      </c>
      <c r="F187" s="561">
        <v>3</v>
      </c>
      <c r="G187" s="629">
        <v>894.90805263666903</v>
      </c>
      <c r="H187" s="623">
        <v>66</v>
      </c>
      <c r="I187" s="629">
        <v>60</v>
      </c>
      <c r="J187" s="629">
        <v>100</v>
      </c>
      <c r="K187" s="630">
        <v>0.45695017304143515</v>
      </c>
      <c r="L187" s="817">
        <v>9.9999999999999995E-7</v>
      </c>
      <c r="M187" s="631">
        <v>0.72575314802943558</v>
      </c>
      <c r="N187" s="631">
        <v>6.2831853071795862</v>
      </c>
      <c r="O187" s="631">
        <v>0.45695017304143515</v>
      </c>
      <c r="P187" s="635">
        <v>0.91390249941490398</v>
      </c>
      <c r="Q187" s="635">
        <v>0.45995304415306837</v>
      </c>
      <c r="R187" s="635">
        <v>0.43495500848360069</v>
      </c>
      <c r="S187" s="682"/>
      <c r="T187" s="629" t="s">
        <v>936</v>
      </c>
      <c r="U187" s="629"/>
      <c r="V187" s="610"/>
      <c r="W187" s="743" t="s">
        <v>693</v>
      </c>
      <c r="X187" s="610" t="s">
        <v>936</v>
      </c>
      <c r="Y187" s="735" t="s">
        <v>1240</v>
      </c>
      <c r="Z187" s="636" t="s">
        <v>86</v>
      </c>
      <c r="AA187" s="633" t="s">
        <v>86</v>
      </c>
      <c r="AB187" s="610">
        <v>169</v>
      </c>
      <c r="AC187" s="610"/>
    </row>
    <row r="188" spans="1:29" ht="15" customHeight="1">
      <c r="A188" s="663" t="s">
        <v>937</v>
      </c>
      <c r="B188" s="682">
        <v>5629.2596051355968</v>
      </c>
      <c r="C188" s="682">
        <v>13521.609131679512</v>
      </c>
      <c r="D188" s="682">
        <v>13384.752909239529</v>
      </c>
      <c r="E188" s="628">
        <v>102</v>
      </c>
      <c r="F188" s="561">
        <v>3</v>
      </c>
      <c r="G188" s="629">
        <v>895</v>
      </c>
      <c r="H188" s="623">
        <v>86</v>
      </c>
      <c r="I188" s="629">
        <v>80</v>
      </c>
      <c r="J188" s="629"/>
      <c r="K188" s="630"/>
      <c r="L188" s="817"/>
      <c r="M188" s="631"/>
      <c r="N188" s="631"/>
      <c r="O188" s="631"/>
      <c r="P188" s="635">
        <v>0</v>
      </c>
      <c r="Q188" s="635">
        <v>3.0000000000000001E-3</v>
      </c>
      <c r="R188" s="635">
        <v>0.89200000000000002</v>
      </c>
      <c r="S188" s="682"/>
      <c r="T188" s="629" t="s">
        <v>937</v>
      </c>
      <c r="U188" s="629"/>
      <c r="V188" s="610"/>
      <c r="W188" s="743" t="s">
        <v>693</v>
      </c>
      <c r="X188" s="610" t="s">
        <v>935</v>
      </c>
      <c r="Y188" s="735" t="s">
        <v>1239</v>
      </c>
      <c r="Z188" s="636" t="s">
        <v>516</v>
      </c>
      <c r="AA188" s="633" t="s">
        <v>516</v>
      </c>
      <c r="AB188" s="610">
        <v>171</v>
      </c>
      <c r="AC188" s="610"/>
    </row>
    <row r="189" spans="1:29" ht="15" customHeight="1">
      <c r="A189" s="663" t="s">
        <v>938</v>
      </c>
      <c r="B189" s="682">
        <v>5659.3763108590983</v>
      </c>
      <c r="C189" s="682">
        <v>13555.603426300067</v>
      </c>
      <c r="D189" s="682">
        <v>13418.747203860086</v>
      </c>
      <c r="E189" s="628">
        <v>150</v>
      </c>
      <c r="F189" s="561">
        <v>3</v>
      </c>
      <c r="G189" s="629">
        <v>895</v>
      </c>
      <c r="H189" s="623">
        <v>86</v>
      </c>
      <c r="I189" s="629">
        <v>80</v>
      </c>
      <c r="J189" s="629"/>
      <c r="K189" s="630"/>
      <c r="L189" s="817"/>
      <c r="M189" s="631"/>
      <c r="N189" s="631"/>
      <c r="O189" s="631"/>
      <c r="P189" s="635">
        <v>0</v>
      </c>
      <c r="Q189" s="635">
        <v>3.0000000000000001E-3</v>
      </c>
      <c r="R189" s="635">
        <v>0.89200000000000002</v>
      </c>
      <c r="S189" s="682"/>
      <c r="T189" s="629" t="s">
        <v>938</v>
      </c>
      <c r="U189" s="629"/>
      <c r="V189" s="610"/>
      <c r="W189" s="743" t="s">
        <v>693</v>
      </c>
      <c r="X189" s="610" t="s">
        <v>936</v>
      </c>
      <c r="Y189" s="735" t="s">
        <v>1240</v>
      </c>
      <c r="Z189" s="636" t="s">
        <v>516</v>
      </c>
      <c r="AA189" s="633" t="s">
        <v>516</v>
      </c>
      <c r="AB189" s="610">
        <v>171</v>
      </c>
      <c r="AC189" s="610"/>
    </row>
    <row r="190" spans="1:29" ht="15" customHeight="1">
      <c r="A190" s="663" t="s">
        <v>939</v>
      </c>
      <c r="B190" s="682">
        <v>5694.6099415588169</v>
      </c>
      <c r="C190" s="682">
        <v>13592.785170470926</v>
      </c>
      <c r="D190" s="682">
        <v>13455.928948030947</v>
      </c>
      <c r="E190" s="628">
        <v>125</v>
      </c>
      <c r="F190" s="561">
        <v>3</v>
      </c>
      <c r="G190" s="629">
        <v>895</v>
      </c>
      <c r="H190" s="623">
        <v>556</v>
      </c>
      <c r="I190" s="629">
        <v>550</v>
      </c>
      <c r="J190" s="629"/>
      <c r="K190" s="630"/>
      <c r="L190" s="817"/>
      <c r="M190" s="631"/>
      <c r="N190" s="631"/>
      <c r="O190" s="631"/>
      <c r="P190" s="635">
        <v>0</v>
      </c>
      <c r="Q190" s="635">
        <v>3.0000000000000001E-3</v>
      </c>
      <c r="R190" s="635">
        <v>0.89200000000000002</v>
      </c>
      <c r="S190" s="682"/>
      <c r="T190" s="629" t="s">
        <v>939</v>
      </c>
      <c r="U190" s="629"/>
      <c r="V190" s="610"/>
      <c r="W190" s="743" t="s">
        <v>693</v>
      </c>
      <c r="X190" s="610" t="s">
        <v>939</v>
      </c>
      <c r="Y190" s="735" t="s">
        <v>1241</v>
      </c>
      <c r="Z190" s="636" t="s">
        <v>517</v>
      </c>
      <c r="AA190" s="633" t="s">
        <v>517</v>
      </c>
      <c r="AB190" s="610">
        <v>173</v>
      </c>
      <c r="AC190" s="610"/>
    </row>
    <row r="191" spans="1:29" ht="15" customHeight="1">
      <c r="A191" s="663" t="s">
        <v>940</v>
      </c>
      <c r="B191" s="682">
        <v>5711.3634550177521</v>
      </c>
      <c r="C191" s="682">
        <v>13611.695398307278</v>
      </c>
      <c r="D191" s="682">
        <v>13474.839175867299</v>
      </c>
      <c r="E191" s="628">
        <v>150</v>
      </c>
      <c r="F191" s="561">
        <v>3</v>
      </c>
      <c r="G191" s="629">
        <v>895</v>
      </c>
      <c r="H191" s="623">
        <v>556</v>
      </c>
      <c r="I191" s="629">
        <v>550</v>
      </c>
      <c r="J191" s="629"/>
      <c r="K191" s="630"/>
      <c r="L191" s="817"/>
      <c r="M191" s="631"/>
      <c r="N191" s="631"/>
      <c r="O191" s="631"/>
      <c r="P191" s="635">
        <v>0</v>
      </c>
      <c r="Q191" s="635">
        <v>3.0000000000000001E-3</v>
      </c>
      <c r="R191" s="635">
        <v>0.89200000000000002</v>
      </c>
      <c r="S191" s="682"/>
      <c r="T191" s="629" t="s">
        <v>940</v>
      </c>
      <c r="U191" s="629"/>
      <c r="V191" s="562"/>
      <c r="W191" s="743" t="s">
        <v>693</v>
      </c>
      <c r="X191" s="562" t="s">
        <v>936</v>
      </c>
      <c r="Y191" s="739" t="s">
        <v>1240</v>
      </c>
      <c r="Z191" s="636" t="s">
        <v>517</v>
      </c>
      <c r="AA191" s="633" t="s">
        <v>517</v>
      </c>
      <c r="AB191" s="610">
        <v>173</v>
      </c>
      <c r="AC191" s="610"/>
    </row>
    <row r="192" spans="1:29" ht="15" customHeight="1">
      <c r="A192" s="663" t="s">
        <v>941</v>
      </c>
      <c r="B192" s="682">
        <v>6015.3953827802961</v>
      </c>
      <c r="C192" s="682">
        <v>13922.257287110368</v>
      </c>
      <c r="D192" s="682">
        <v>13785.401064670386</v>
      </c>
      <c r="E192" s="628">
        <v>190</v>
      </c>
      <c r="F192" s="561">
        <v>3</v>
      </c>
      <c r="G192" s="629">
        <v>895</v>
      </c>
      <c r="H192" s="623">
        <v>6</v>
      </c>
      <c r="I192" s="629"/>
      <c r="J192" s="629"/>
      <c r="K192" s="630"/>
      <c r="L192" s="817"/>
      <c r="M192" s="631"/>
      <c r="N192" s="631"/>
      <c r="O192" s="631"/>
      <c r="P192" s="635">
        <v>0</v>
      </c>
      <c r="Q192" s="635">
        <v>3.0000000000000001E-3</v>
      </c>
      <c r="R192" s="635">
        <v>0.89200000000000002</v>
      </c>
      <c r="S192" s="682"/>
      <c r="T192" s="629" t="s">
        <v>941</v>
      </c>
      <c r="U192" s="629"/>
      <c r="V192" s="562"/>
      <c r="W192" s="743" t="s">
        <v>693</v>
      </c>
      <c r="X192" s="562" t="s">
        <v>941</v>
      </c>
      <c r="Y192" s="739" t="s">
        <v>1242</v>
      </c>
      <c r="Z192" s="636" t="s">
        <v>518</v>
      </c>
      <c r="AA192" s="633" t="s">
        <v>518</v>
      </c>
      <c r="AB192" s="610">
        <v>175</v>
      </c>
      <c r="AC192" s="610"/>
    </row>
    <row r="193" spans="1:29" ht="15" customHeight="1">
      <c r="A193" s="663" t="s">
        <v>942</v>
      </c>
      <c r="B193" s="682">
        <v>6703.8293671653282</v>
      </c>
      <c r="C193" s="682">
        <v>15092.426183250376</v>
      </c>
      <c r="D193" s="682">
        <v>14946.756664632052</v>
      </c>
      <c r="E193" s="628">
        <v>150</v>
      </c>
      <c r="F193" s="561">
        <v>3</v>
      </c>
      <c r="G193" s="629">
        <v>934.97022687281071</v>
      </c>
      <c r="H193" s="623">
        <v>66</v>
      </c>
      <c r="I193" s="629">
        <v>60</v>
      </c>
      <c r="J193" s="629">
        <v>100</v>
      </c>
      <c r="K193" s="630">
        <v>0.49202517733529749</v>
      </c>
      <c r="L193" s="817">
        <v>9.9999999999999995E-7</v>
      </c>
      <c r="M193" s="631">
        <v>0.75348131831099063</v>
      </c>
      <c r="N193" s="631">
        <v>6.2831853071795862</v>
      </c>
      <c r="O193" s="630">
        <v>0.49202517733529749</v>
      </c>
      <c r="P193" s="635">
        <v>0.98405267329008184</v>
      </c>
      <c r="Q193" s="635">
        <v>0.49502826883037471</v>
      </c>
      <c r="R193" s="635">
        <v>0.43994195804243602</v>
      </c>
      <c r="S193" s="682"/>
      <c r="T193" s="629" t="s">
        <v>942</v>
      </c>
      <c r="U193" s="629"/>
      <c r="V193" s="610"/>
      <c r="W193" s="743" t="s">
        <v>693</v>
      </c>
      <c r="X193" s="610" t="s">
        <v>942</v>
      </c>
      <c r="Y193" s="735" t="s">
        <v>1243</v>
      </c>
      <c r="Z193" s="636" t="s">
        <v>87</v>
      </c>
      <c r="AA193" s="633" t="s">
        <v>87</v>
      </c>
      <c r="AB193" s="610">
        <v>176</v>
      </c>
      <c r="AC193" s="610"/>
    </row>
    <row r="194" spans="1:29" ht="15" customHeight="1">
      <c r="A194" s="663" t="s">
        <v>943</v>
      </c>
      <c r="B194" s="682">
        <v>6098.7344699283021</v>
      </c>
      <c r="C194" s="682">
        <v>14495.183274432864</v>
      </c>
      <c r="D194" s="682">
        <v>14349.513755814538</v>
      </c>
      <c r="E194" s="628">
        <v>150</v>
      </c>
      <c r="F194" s="561">
        <v>3</v>
      </c>
      <c r="G194" s="629">
        <v>934.9702268728106</v>
      </c>
      <c r="H194" s="623">
        <v>106</v>
      </c>
      <c r="I194" s="629">
        <v>100</v>
      </c>
      <c r="J194" s="629">
        <v>100</v>
      </c>
      <c r="K194" s="630">
        <v>0.49202517733529749</v>
      </c>
      <c r="L194" s="817">
        <v>9.9999999999999995E-7</v>
      </c>
      <c r="M194" s="631">
        <v>0.75348131831099108</v>
      </c>
      <c r="N194" s="631">
        <v>6.2831853071795862</v>
      </c>
      <c r="O194" s="630">
        <v>0.49202517733529749</v>
      </c>
      <c r="P194" s="635">
        <v>0.98405267329008184</v>
      </c>
      <c r="Q194" s="635">
        <v>0.49502826883037471</v>
      </c>
      <c r="R194" s="635">
        <v>0.43994195804243591</v>
      </c>
      <c r="S194" s="682"/>
      <c r="T194" s="629" t="s">
        <v>943</v>
      </c>
      <c r="U194" s="629"/>
      <c r="V194" s="610"/>
      <c r="W194" s="743" t="s">
        <v>693</v>
      </c>
      <c r="X194" s="610" t="s">
        <v>942</v>
      </c>
      <c r="Y194" s="735" t="s">
        <v>1243</v>
      </c>
      <c r="Z194" s="636" t="s">
        <v>88</v>
      </c>
      <c r="AA194" s="633" t="s">
        <v>88</v>
      </c>
      <c r="AB194" s="610">
        <v>177</v>
      </c>
      <c r="AC194" s="610"/>
    </row>
    <row r="195" spans="1:29" ht="15" customHeight="1">
      <c r="A195" s="663" t="s">
        <v>944</v>
      </c>
      <c r="B195" s="682">
        <v>6160.9399219716215</v>
      </c>
      <c r="C195" s="682">
        <v>14557.388726476183</v>
      </c>
      <c r="D195" s="682">
        <v>14411.719207857857</v>
      </c>
      <c r="E195" s="628">
        <v>150</v>
      </c>
      <c r="F195" s="561">
        <v>3</v>
      </c>
      <c r="G195" s="629">
        <v>934.9702268728106</v>
      </c>
      <c r="H195" s="623">
        <v>106</v>
      </c>
      <c r="I195" s="629">
        <v>100</v>
      </c>
      <c r="J195" s="629">
        <v>100</v>
      </c>
      <c r="K195" s="630">
        <v>0.49202517733529749</v>
      </c>
      <c r="L195" s="817">
        <v>9.9999999999999995E-7</v>
      </c>
      <c r="M195" s="631">
        <v>0.75348131831099108</v>
      </c>
      <c r="N195" s="631">
        <v>6.2831853071795862</v>
      </c>
      <c r="O195" s="630">
        <v>0.49202517733529749</v>
      </c>
      <c r="P195" s="635">
        <v>0.98405267329008184</v>
      </c>
      <c r="Q195" s="635">
        <v>0.49502826883037471</v>
      </c>
      <c r="R195" s="635">
        <v>0.43994195804243591</v>
      </c>
      <c r="S195" s="682"/>
      <c r="T195" s="629" t="s">
        <v>944</v>
      </c>
      <c r="U195" s="629"/>
      <c r="V195" s="610"/>
      <c r="W195" s="743" t="s">
        <v>693</v>
      </c>
      <c r="X195" s="610" t="s">
        <v>942</v>
      </c>
      <c r="Y195" s="735" t="s">
        <v>1243</v>
      </c>
      <c r="Z195" s="636" t="s">
        <v>89</v>
      </c>
      <c r="AA195" s="633" t="s">
        <v>89</v>
      </c>
      <c r="AB195" s="610">
        <v>178</v>
      </c>
      <c r="AC195" s="610"/>
    </row>
    <row r="196" spans="1:29" ht="15" customHeight="1">
      <c r="A196" s="663" t="s">
        <v>945</v>
      </c>
      <c r="B196" s="682">
        <v>6869.9599501363509</v>
      </c>
      <c r="C196" s="682">
        <v>15311.629778700342</v>
      </c>
      <c r="D196" s="682">
        <v>15165.960260082018</v>
      </c>
      <c r="E196" s="628">
        <v>190</v>
      </c>
      <c r="F196" s="561">
        <v>3</v>
      </c>
      <c r="G196" s="629">
        <v>1024.987776319186</v>
      </c>
      <c r="H196" s="623">
        <v>125</v>
      </c>
      <c r="I196" s="629">
        <v>119</v>
      </c>
      <c r="J196" s="629">
        <v>174</v>
      </c>
      <c r="K196" s="630">
        <v>0.48322658186786283</v>
      </c>
      <c r="L196" s="817">
        <v>1.1199724807811342E-2</v>
      </c>
      <c r="M196" s="631">
        <v>0.78614727930747175</v>
      </c>
      <c r="N196" s="631">
        <v>6.2831853071795862</v>
      </c>
      <c r="O196" s="631">
        <v>0.43121586279993446</v>
      </c>
      <c r="P196" s="635">
        <v>0.94063091807124177</v>
      </c>
      <c r="Q196" s="635">
        <v>0.5214562279718763</v>
      </c>
      <c r="R196" s="635">
        <v>0.50353154834730962</v>
      </c>
      <c r="S196" s="682"/>
      <c r="T196" s="629" t="s">
        <v>945</v>
      </c>
      <c r="U196" s="629"/>
      <c r="V196" s="610"/>
      <c r="W196" s="743" t="s">
        <v>693</v>
      </c>
      <c r="X196" s="610" t="s">
        <v>945</v>
      </c>
      <c r="Y196" s="735" t="s">
        <v>1244</v>
      </c>
      <c r="Z196" s="636" t="s">
        <v>90</v>
      </c>
      <c r="AA196" s="633" t="s">
        <v>90</v>
      </c>
      <c r="AB196" s="610">
        <v>179</v>
      </c>
      <c r="AC196" s="610"/>
    </row>
    <row r="197" spans="1:29" ht="15" customHeight="1">
      <c r="A197" s="663" t="s">
        <v>946</v>
      </c>
      <c r="B197" s="682">
        <v>6296.6994909534124</v>
      </c>
      <c r="C197" s="682">
        <v>14934.603233148986</v>
      </c>
      <c r="D197" s="682">
        <v>14783.79356264433</v>
      </c>
      <c r="E197" s="628">
        <v>150</v>
      </c>
      <c r="F197" s="561">
        <v>3</v>
      </c>
      <c r="G197" s="629">
        <v>935</v>
      </c>
      <c r="H197" s="623">
        <v>6</v>
      </c>
      <c r="I197" s="629"/>
      <c r="J197" s="629"/>
      <c r="K197" s="630"/>
      <c r="L197" s="817"/>
      <c r="M197" s="631"/>
      <c r="N197" s="631"/>
      <c r="O197" s="631"/>
      <c r="P197" s="635">
        <v>0</v>
      </c>
      <c r="Q197" s="635">
        <v>3.0000000000000001E-3</v>
      </c>
      <c r="R197" s="635">
        <v>0.93200000000000005</v>
      </c>
      <c r="S197" s="682"/>
      <c r="T197" s="629" t="s">
        <v>946</v>
      </c>
      <c r="U197" s="629"/>
      <c r="V197" s="610"/>
      <c r="W197" s="743" t="s">
        <v>693</v>
      </c>
      <c r="X197" s="610" t="s">
        <v>942</v>
      </c>
      <c r="Y197" s="735" t="s">
        <v>1245</v>
      </c>
      <c r="Z197" s="636" t="s">
        <v>519</v>
      </c>
      <c r="AA197" s="633" t="s">
        <v>519</v>
      </c>
      <c r="AB197" s="610">
        <v>180</v>
      </c>
      <c r="AC197" s="610"/>
    </row>
    <row r="198" spans="1:29" ht="15" customHeight="1">
      <c r="A198" s="663" t="s">
        <v>947</v>
      </c>
      <c r="B198" s="682">
        <v>7114.2334753914147</v>
      </c>
      <c r="C198" s="682">
        <v>15809.14457185715</v>
      </c>
      <c r="D198" s="682">
        <v>15658.334901352495</v>
      </c>
      <c r="E198" s="628">
        <v>190</v>
      </c>
      <c r="F198" s="561">
        <v>3</v>
      </c>
      <c r="G198" s="629">
        <v>1024.6039060287592</v>
      </c>
      <c r="H198" s="623">
        <v>126</v>
      </c>
      <c r="I198" s="629">
        <v>120</v>
      </c>
      <c r="J198" s="629">
        <v>236.27392701738481</v>
      </c>
      <c r="K198" s="630">
        <v>0.50228052862061201</v>
      </c>
      <c r="L198" s="817">
        <v>2.9436434596828214E-3</v>
      </c>
      <c r="M198" s="631">
        <v>0.99241899999334438</v>
      </c>
      <c r="N198" s="631">
        <v>6.2831853071795862</v>
      </c>
      <c r="O198" s="631">
        <v>0.52726933946139465</v>
      </c>
      <c r="P198" s="635">
        <v>1.0365658480554885</v>
      </c>
      <c r="Q198" s="635">
        <v>0.51465687936724347</v>
      </c>
      <c r="R198" s="635">
        <v>0.50994702666151581</v>
      </c>
      <c r="S198" s="682"/>
      <c r="T198" s="629" t="s">
        <v>947</v>
      </c>
      <c r="U198" s="629"/>
      <c r="V198" s="610"/>
      <c r="W198" s="743" t="s">
        <v>693</v>
      </c>
      <c r="X198" s="610" t="s">
        <v>945</v>
      </c>
      <c r="Y198" s="735" t="s">
        <v>1246</v>
      </c>
      <c r="Z198" s="636" t="s">
        <v>154</v>
      </c>
      <c r="AA198" s="633" t="s">
        <v>154</v>
      </c>
      <c r="AB198" s="610">
        <v>181</v>
      </c>
      <c r="AC198" s="610"/>
    </row>
    <row r="199" spans="1:29" ht="15" customHeight="1">
      <c r="A199" s="663" t="s">
        <v>948</v>
      </c>
      <c r="B199" s="682">
        <v>2556.4061618005885</v>
      </c>
      <c r="C199" s="682">
        <v>5421.0306518135721</v>
      </c>
      <c r="D199" s="682">
        <v>5381.1764443172469</v>
      </c>
      <c r="E199" s="628">
        <v>150</v>
      </c>
      <c r="F199" s="561">
        <v>3</v>
      </c>
      <c r="G199" s="629">
        <v>335</v>
      </c>
      <c r="H199" s="623">
        <v>6</v>
      </c>
      <c r="I199" s="629"/>
      <c r="J199" s="629"/>
      <c r="K199" s="630"/>
      <c r="L199" s="817"/>
      <c r="M199" s="631"/>
      <c r="N199" s="631"/>
      <c r="O199" s="631"/>
      <c r="P199" s="635">
        <v>0</v>
      </c>
      <c r="Q199" s="635">
        <v>3.0000000000000001E-3</v>
      </c>
      <c r="R199" s="635">
        <v>0.33200000000000002</v>
      </c>
      <c r="S199" s="682"/>
      <c r="T199" s="629" t="s">
        <v>948</v>
      </c>
      <c r="U199" s="629"/>
      <c r="V199" s="610"/>
      <c r="W199" s="742" t="s">
        <v>694</v>
      </c>
      <c r="X199" s="610" t="s">
        <v>948</v>
      </c>
      <c r="Y199" s="735" t="s">
        <v>1090</v>
      </c>
      <c r="Z199" s="636" t="s">
        <v>520</v>
      </c>
      <c r="AA199" s="633" t="s">
        <v>520</v>
      </c>
      <c r="AB199" s="610">
        <v>182</v>
      </c>
      <c r="AC199" s="610"/>
    </row>
    <row r="200" spans="1:29" ht="15" customHeight="1">
      <c r="A200" s="663" t="s">
        <v>949</v>
      </c>
      <c r="B200" s="682">
        <v>2969.1289781654718</v>
      </c>
      <c r="C200" s="682">
        <v>5875.1909681784555</v>
      </c>
      <c r="D200" s="682">
        <v>5835.3367606821303</v>
      </c>
      <c r="E200" s="628">
        <v>150</v>
      </c>
      <c r="F200" s="561">
        <v>3</v>
      </c>
      <c r="G200" s="629">
        <v>335</v>
      </c>
      <c r="H200" s="623">
        <v>6</v>
      </c>
      <c r="I200" s="629"/>
      <c r="J200" s="629"/>
      <c r="K200" s="630"/>
      <c r="L200" s="817"/>
      <c r="M200" s="631"/>
      <c r="N200" s="631"/>
      <c r="O200" s="631"/>
      <c r="P200" s="635">
        <v>0</v>
      </c>
      <c r="Q200" s="635">
        <v>3.0000000000000001E-3</v>
      </c>
      <c r="R200" s="635">
        <v>0.33200000000000002</v>
      </c>
      <c r="S200" s="682"/>
      <c r="T200" s="629" t="s">
        <v>949</v>
      </c>
      <c r="U200" s="629"/>
      <c r="V200" s="610"/>
      <c r="W200" s="743" t="s">
        <v>694</v>
      </c>
      <c r="X200" s="610" t="s">
        <v>948</v>
      </c>
      <c r="Y200" s="735" t="s">
        <v>1090</v>
      </c>
      <c r="Z200" s="636" t="s">
        <v>521</v>
      </c>
      <c r="AA200" s="633" t="s">
        <v>521</v>
      </c>
      <c r="AB200" s="610">
        <v>183</v>
      </c>
      <c r="AC200" s="610"/>
    </row>
    <row r="201" spans="1:29" ht="15" customHeight="1">
      <c r="A201" s="663" t="s">
        <v>950</v>
      </c>
      <c r="B201" s="682">
        <v>3307.6549707626923</v>
      </c>
      <c r="C201" s="682">
        <v>6853.3549541892562</v>
      </c>
      <c r="D201" s="682">
        <v>6799.9163517884717</v>
      </c>
      <c r="E201" s="628">
        <v>175</v>
      </c>
      <c r="F201" s="561">
        <v>3</v>
      </c>
      <c r="G201" s="629">
        <v>410</v>
      </c>
      <c r="H201" s="623">
        <v>151</v>
      </c>
      <c r="I201" s="629">
        <v>145</v>
      </c>
      <c r="J201" s="629"/>
      <c r="K201" s="630"/>
      <c r="L201" s="817"/>
      <c r="M201" s="631"/>
      <c r="N201" s="631"/>
      <c r="O201" s="631"/>
      <c r="P201" s="635">
        <v>0</v>
      </c>
      <c r="Q201" s="635">
        <v>3.0000000000000001E-3</v>
      </c>
      <c r="R201" s="635">
        <v>0.40699999999999997</v>
      </c>
      <c r="S201" s="682"/>
      <c r="T201" s="629" t="s">
        <v>950</v>
      </c>
      <c r="U201" s="629"/>
      <c r="V201" s="610"/>
      <c r="W201" s="743" t="s">
        <v>694</v>
      </c>
      <c r="X201" s="610" t="s">
        <v>950</v>
      </c>
      <c r="Y201" s="735" t="s">
        <v>1091</v>
      </c>
      <c r="Z201" s="636" t="s">
        <v>522</v>
      </c>
      <c r="AA201" s="633" t="s">
        <v>522</v>
      </c>
      <c r="AB201" s="610">
        <v>184</v>
      </c>
      <c r="AC201" s="610"/>
    </row>
    <row r="202" spans="1:29" ht="15" customHeight="1">
      <c r="A202" s="663" t="s">
        <v>951</v>
      </c>
      <c r="B202" s="682">
        <v>3305.0803292659612</v>
      </c>
      <c r="C202" s="682">
        <v>6850.7803126925246</v>
      </c>
      <c r="D202" s="682">
        <v>6797.3417102917392</v>
      </c>
      <c r="E202" s="628">
        <v>175</v>
      </c>
      <c r="F202" s="561">
        <v>3</v>
      </c>
      <c r="G202" s="629">
        <v>410</v>
      </c>
      <c r="H202" s="623">
        <v>151</v>
      </c>
      <c r="I202" s="629">
        <v>145</v>
      </c>
      <c r="J202" s="629"/>
      <c r="K202" s="630"/>
      <c r="L202" s="817"/>
      <c r="M202" s="631"/>
      <c r="N202" s="631"/>
      <c r="O202" s="631"/>
      <c r="P202" s="635">
        <v>0</v>
      </c>
      <c r="Q202" s="635">
        <v>3.0000000000000001E-3</v>
      </c>
      <c r="R202" s="635">
        <v>0.40699999999999997</v>
      </c>
      <c r="S202" s="682"/>
      <c r="T202" s="629" t="s">
        <v>951</v>
      </c>
      <c r="U202" s="629"/>
      <c r="V202" s="610"/>
      <c r="W202" s="743" t="s">
        <v>694</v>
      </c>
      <c r="X202" s="610" t="s">
        <v>950</v>
      </c>
      <c r="Y202" s="735" t="s">
        <v>1091</v>
      </c>
      <c r="Z202" s="636" t="s">
        <v>523</v>
      </c>
      <c r="AA202" s="633" t="s">
        <v>523</v>
      </c>
      <c r="AB202" s="610">
        <v>185</v>
      </c>
      <c r="AC202" s="610"/>
    </row>
    <row r="203" spans="1:29" ht="15" customHeight="1">
      <c r="A203" s="663" t="s">
        <v>952</v>
      </c>
      <c r="B203" s="682">
        <v>2891.5361547085336</v>
      </c>
      <c r="C203" s="682">
        <v>6866.7717699442292</v>
      </c>
      <c r="D203" s="682">
        <v>6804.5198713651007</v>
      </c>
      <c r="E203" s="628">
        <v>200</v>
      </c>
      <c r="F203" s="561">
        <v>3</v>
      </c>
      <c r="G203" s="629">
        <v>520</v>
      </c>
      <c r="H203" s="623">
        <v>186</v>
      </c>
      <c r="I203" s="629">
        <v>180</v>
      </c>
      <c r="J203" s="629"/>
      <c r="K203" s="630"/>
      <c r="L203" s="817"/>
      <c r="M203" s="631"/>
      <c r="N203" s="631"/>
      <c r="O203" s="631"/>
      <c r="P203" s="635">
        <v>0</v>
      </c>
      <c r="Q203" s="635">
        <v>3.0000000000000001E-3</v>
      </c>
      <c r="R203" s="635">
        <v>0.51700000000000002</v>
      </c>
      <c r="S203" s="682"/>
      <c r="T203" s="629" t="s">
        <v>952</v>
      </c>
      <c r="U203" s="629"/>
      <c r="V203" s="610"/>
      <c r="W203" s="743" t="s">
        <v>694</v>
      </c>
      <c r="X203" s="610" t="s">
        <v>952</v>
      </c>
      <c r="Y203" s="735" t="s">
        <v>1092</v>
      </c>
      <c r="Z203" s="636" t="s">
        <v>524</v>
      </c>
      <c r="AA203" s="633" t="s">
        <v>524</v>
      </c>
      <c r="AB203" s="610">
        <v>186</v>
      </c>
      <c r="AC203" s="610"/>
    </row>
    <row r="204" spans="1:29" ht="15" customHeight="1">
      <c r="A204" s="663" t="s">
        <v>953</v>
      </c>
      <c r="B204" s="682">
        <v>2891.5361547085336</v>
      </c>
      <c r="C204" s="682">
        <v>6866.7717699442292</v>
      </c>
      <c r="D204" s="682">
        <v>6804.5198713651007</v>
      </c>
      <c r="E204" s="628">
        <v>200</v>
      </c>
      <c r="F204" s="561">
        <v>3</v>
      </c>
      <c r="G204" s="629">
        <v>520</v>
      </c>
      <c r="H204" s="623">
        <v>186</v>
      </c>
      <c r="I204" s="629">
        <v>180</v>
      </c>
      <c r="J204" s="629"/>
      <c r="K204" s="630"/>
      <c r="L204" s="817"/>
      <c r="M204" s="631"/>
      <c r="N204" s="631"/>
      <c r="O204" s="631"/>
      <c r="P204" s="635">
        <v>0</v>
      </c>
      <c r="Q204" s="635">
        <v>3.0000000000000001E-3</v>
      </c>
      <c r="R204" s="635">
        <v>0.51700000000000002</v>
      </c>
      <c r="S204" s="682"/>
      <c r="T204" s="629" t="s">
        <v>953</v>
      </c>
      <c r="U204" s="629"/>
      <c r="V204" s="610"/>
      <c r="W204" s="743" t="s">
        <v>694</v>
      </c>
      <c r="X204" s="610" t="s">
        <v>952</v>
      </c>
      <c r="Y204" s="735" t="s">
        <v>1092</v>
      </c>
      <c r="Z204" s="636" t="s">
        <v>525</v>
      </c>
      <c r="AA204" s="633" t="s">
        <v>525</v>
      </c>
      <c r="AB204" s="610">
        <v>187</v>
      </c>
      <c r="AC204" s="610"/>
    </row>
    <row r="205" spans="1:29" ht="15" customHeight="1">
      <c r="A205" s="663" t="s">
        <v>954</v>
      </c>
      <c r="B205" s="682">
        <v>3309.6341648438765</v>
      </c>
      <c r="C205" s="682">
        <v>7799.2978264062986</v>
      </c>
      <c r="D205" s="682">
        <v>7728.3326316488256</v>
      </c>
      <c r="E205" s="628">
        <v>250</v>
      </c>
      <c r="F205" s="561">
        <v>3</v>
      </c>
      <c r="G205" s="629">
        <v>600</v>
      </c>
      <c r="H205" s="623">
        <v>211</v>
      </c>
      <c r="I205" s="629">
        <v>205</v>
      </c>
      <c r="J205" s="629"/>
      <c r="K205" s="630"/>
      <c r="L205" s="817"/>
      <c r="M205" s="631"/>
      <c r="N205" s="631"/>
      <c r="O205" s="631"/>
      <c r="P205" s="635">
        <v>0</v>
      </c>
      <c r="Q205" s="635">
        <v>3.0000000000000001E-3</v>
      </c>
      <c r="R205" s="635">
        <v>0.59699999999999998</v>
      </c>
      <c r="S205" s="682"/>
      <c r="T205" s="629" t="s">
        <v>954</v>
      </c>
      <c r="U205" s="629"/>
      <c r="V205" s="610"/>
      <c r="W205" s="743" t="s">
        <v>694</v>
      </c>
      <c r="X205" s="610" t="s">
        <v>954</v>
      </c>
      <c r="Y205" s="735" t="s">
        <v>1093</v>
      </c>
      <c r="Z205" s="636" t="s">
        <v>526</v>
      </c>
      <c r="AA205" s="633" t="s">
        <v>526</v>
      </c>
      <c r="AB205" s="610">
        <v>188</v>
      </c>
      <c r="AC205" s="610"/>
    </row>
    <row r="206" spans="1:29" ht="15" customHeight="1">
      <c r="A206" s="663" t="s">
        <v>955</v>
      </c>
      <c r="B206" s="682">
        <v>3309.6341648438765</v>
      </c>
      <c r="C206" s="682">
        <v>7799.2978264062986</v>
      </c>
      <c r="D206" s="682">
        <v>7728.3326316488256</v>
      </c>
      <c r="E206" s="628">
        <v>250</v>
      </c>
      <c r="F206" s="561">
        <v>3</v>
      </c>
      <c r="G206" s="629">
        <v>600</v>
      </c>
      <c r="H206" s="623">
        <v>211</v>
      </c>
      <c r="I206" s="629">
        <v>205</v>
      </c>
      <c r="J206" s="629"/>
      <c r="K206" s="630"/>
      <c r="L206" s="817"/>
      <c r="M206" s="631"/>
      <c r="N206" s="631"/>
      <c r="O206" s="631"/>
      <c r="P206" s="635">
        <v>0</v>
      </c>
      <c r="Q206" s="635">
        <v>3.0000000000000001E-3</v>
      </c>
      <c r="R206" s="635">
        <v>0.59699999999999998</v>
      </c>
      <c r="S206" s="682"/>
      <c r="T206" s="629" t="s">
        <v>955</v>
      </c>
      <c r="U206" s="629"/>
      <c r="V206" s="610"/>
      <c r="W206" s="743" t="s">
        <v>694</v>
      </c>
      <c r="X206" s="610" t="s">
        <v>954</v>
      </c>
      <c r="Y206" s="735" t="s">
        <v>1093</v>
      </c>
      <c r="Z206" s="636" t="s">
        <v>527</v>
      </c>
      <c r="AA206" s="633" t="s">
        <v>527</v>
      </c>
      <c r="AB206" s="610">
        <v>189</v>
      </c>
      <c r="AC206" s="610"/>
    </row>
    <row r="207" spans="1:29" ht="15" customHeight="1">
      <c r="A207" s="663" t="s">
        <v>956</v>
      </c>
      <c r="B207" s="682">
        <v>3901.4441519235561</v>
      </c>
      <c r="C207" s="682">
        <v>9009.4984920925363</v>
      </c>
      <c r="D207" s="682">
        <v>8926.0169328078719</v>
      </c>
      <c r="E207" s="628">
        <v>310</v>
      </c>
      <c r="F207" s="561">
        <v>3</v>
      </c>
      <c r="G207" s="629">
        <v>695</v>
      </c>
      <c r="H207" s="623">
        <v>261</v>
      </c>
      <c r="I207" s="629">
        <v>255</v>
      </c>
      <c r="J207" s="629"/>
      <c r="K207" s="630"/>
      <c r="L207" s="817"/>
      <c r="M207" s="631"/>
      <c r="N207" s="631"/>
      <c r="O207" s="631"/>
      <c r="P207" s="635">
        <v>0</v>
      </c>
      <c r="Q207" s="635">
        <v>3.0000000000000001E-3</v>
      </c>
      <c r="R207" s="635">
        <v>0.69199999999999995</v>
      </c>
      <c r="S207" s="682"/>
      <c r="T207" s="629" t="s">
        <v>956</v>
      </c>
      <c r="U207" s="629"/>
      <c r="V207" s="610"/>
      <c r="W207" s="743" t="s">
        <v>694</v>
      </c>
      <c r="X207" s="610" t="s">
        <v>956</v>
      </c>
      <c r="Y207" s="735" t="s">
        <v>1094</v>
      </c>
      <c r="Z207" s="636" t="s">
        <v>528</v>
      </c>
      <c r="AA207" s="633" t="s">
        <v>528</v>
      </c>
      <c r="AB207" s="610">
        <v>190</v>
      </c>
      <c r="AC207" s="610"/>
    </row>
    <row r="208" spans="1:29" ht="15" customHeight="1">
      <c r="A208" s="663" t="s">
        <v>957</v>
      </c>
      <c r="B208" s="682">
        <v>3901.4441519235561</v>
      </c>
      <c r="C208" s="682">
        <v>9009.4984920925363</v>
      </c>
      <c r="D208" s="682">
        <v>8926.0169328078719</v>
      </c>
      <c r="E208" s="628">
        <v>310</v>
      </c>
      <c r="F208" s="561">
        <v>3</v>
      </c>
      <c r="G208" s="629">
        <v>695</v>
      </c>
      <c r="H208" s="623">
        <v>261</v>
      </c>
      <c r="I208" s="629">
        <v>255</v>
      </c>
      <c r="J208" s="629"/>
      <c r="K208" s="630"/>
      <c r="L208" s="817"/>
      <c r="M208" s="631"/>
      <c r="N208" s="631"/>
      <c r="O208" s="631"/>
      <c r="P208" s="635">
        <v>0</v>
      </c>
      <c r="Q208" s="635">
        <v>3.0000000000000001E-3</v>
      </c>
      <c r="R208" s="635">
        <v>0.69199999999999995</v>
      </c>
      <c r="S208" s="682"/>
      <c r="T208" s="629" t="s">
        <v>957</v>
      </c>
      <c r="U208" s="629"/>
      <c r="V208" s="610"/>
      <c r="W208" s="743" t="s">
        <v>694</v>
      </c>
      <c r="X208" s="610" t="s">
        <v>956</v>
      </c>
      <c r="Y208" s="735" t="s">
        <v>1094</v>
      </c>
      <c r="Z208" s="636" t="s">
        <v>529</v>
      </c>
      <c r="AA208" s="633" t="s">
        <v>529</v>
      </c>
      <c r="AB208" s="610">
        <v>191</v>
      </c>
      <c r="AC208" s="610"/>
    </row>
    <row r="209" spans="1:29" ht="15" customHeight="1">
      <c r="A209" s="663" t="s">
        <v>958</v>
      </c>
      <c r="B209" s="682">
        <v>4638.3483455954374</v>
      </c>
      <c r="C209" s="682">
        <v>10211.056454816684</v>
      </c>
      <c r="D209" s="682">
        <v>10120.897660108209</v>
      </c>
      <c r="E209" s="628">
        <v>350</v>
      </c>
      <c r="F209" s="561">
        <v>3</v>
      </c>
      <c r="G209" s="629">
        <v>785</v>
      </c>
      <c r="H209" s="623">
        <v>291</v>
      </c>
      <c r="I209" s="629">
        <v>285</v>
      </c>
      <c r="J209" s="629"/>
      <c r="K209" s="630"/>
      <c r="L209" s="817"/>
      <c r="M209" s="631"/>
      <c r="N209" s="631"/>
      <c r="O209" s="631"/>
      <c r="P209" s="635">
        <v>0</v>
      </c>
      <c r="Q209" s="635">
        <v>3.0000000000000001E-3</v>
      </c>
      <c r="R209" s="635">
        <v>0.78200000000000003</v>
      </c>
      <c r="S209" s="682"/>
      <c r="T209" s="629" t="s">
        <v>958</v>
      </c>
      <c r="U209" s="629"/>
      <c r="V209" s="610"/>
      <c r="W209" s="743" t="s">
        <v>694</v>
      </c>
      <c r="X209" s="610" t="s">
        <v>958</v>
      </c>
      <c r="Y209" s="735" t="s">
        <v>1095</v>
      </c>
      <c r="Z209" s="636" t="s">
        <v>530</v>
      </c>
      <c r="AA209" s="633" t="s">
        <v>530</v>
      </c>
      <c r="AB209" s="610">
        <v>192</v>
      </c>
      <c r="AC209" s="610"/>
    </row>
    <row r="210" spans="1:29" ht="15" customHeight="1">
      <c r="A210" s="663" t="s">
        <v>959</v>
      </c>
      <c r="B210" s="682">
        <v>4794.0009301361288</v>
      </c>
      <c r="C210" s="682">
        <v>10366.709039357376</v>
      </c>
      <c r="D210" s="682">
        <v>10276.550244648899</v>
      </c>
      <c r="E210" s="628">
        <v>350</v>
      </c>
      <c r="F210" s="561">
        <v>3</v>
      </c>
      <c r="G210" s="629">
        <v>785</v>
      </c>
      <c r="H210" s="623">
        <v>291</v>
      </c>
      <c r="I210" s="629">
        <v>285</v>
      </c>
      <c r="J210" s="629"/>
      <c r="K210" s="630"/>
      <c r="L210" s="817"/>
      <c r="M210" s="631"/>
      <c r="N210" s="631"/>
      <c r="O210" s="631"/>
      <c r="P210" s="635">
        <v>0</v>
      </c>
      <c r="Q210" s="635">
        <v>3.0000000000000001E-3</v>
      </c>
      <c r="R210" s="635">
        <v>0.78200000000000003</v>
      </c>
      <c r="S210" s="682"/>
      <c r="T210" s="629" t="s">
        <v>959</v>
      </c>
      <c r="U210" s="629"/>
      <c r="V210" s="610"/>
      <c r="W210" s="743" t="s">
        <v>694</v>
      </c>
      <c r="X210" s="610" t="s">
        <v>958</v>
      </c>
      <c r="Y210" s="735" t="s">
        <v>1095</v>
      </c>
      <c r="Z210" s="636" t="s">
        <v>531</v>
      </c>
      <c r="AA210" s="633" t="s">
        <v>531</v>
      </c>
      <c r="AB210" s="610">
        <v>193</v>
      </c>
      <c r="AC210" s="610"/>
    </row>
    <row r="211" spans="1:29" ht="15" customHeight="1">
      <c r="A211" s="663" t="s">
        <v>960</v>
      </c>
      <c r="B211" s="682">
        <v>5427.0876420481254</v>
      </c>
      <c r="C211" s="682">
        <v>11530.441994199911</v>
      </c>
      <c r="D211" s="682">
        <v>11431.469903313091</v>
      </c>
      <c r="E211" s="628">
        <v>400</v>
      </c>
      <c r="F211" s="561">
        <v>3</v>
      </c>
      <c r="G211" s="629">
        <v>905</v>
      </c>
      <c r="H211" s="623">
        <v>336</v>
      </c>
      <c r="I211" s="629">
        <v>330</v>
      </c>
      <c r="J211" s="629"/>
      <c r="K211" s="630"/>
      <c r="L211" s="817"/>
      <c r="M211" s="631"/>
      <c r="N211" s="631"/>
      <c r="O211" s="631"/>
      <c r="P211" s="635">
        <v>0</v>
      </c>
      <c r="Q211" s="635">
        <v>3.0000000000000001E-3</v>
      </c>
      <c r="R211" s="635">
        <v>0.90200000000000002</v>
      </c>
      <c r="S211" s="682"/>
      <c r="T211" s="629" t="s">
        <v>960</v>
      </c>
      <c r="U211" s="629"/>
      <c r="V211" s="610"/>
      <c r="W211" s="743" t="s">
        <v>694</v>
      </c>
      <c r="X211" s="610" t="s">
        <v>960</v>
      </c>
      <c r="Y211" s="735" t="s">
        <v>1096</v>
      </c>
      <c r="Z211" s="636" t="s">
        <v>532</v>
      </c>
      <c r="AA211" s="633" t="s">
        <v>532</v>
      </c>
      <c r="AB211" s="610">
        <v>194</v>
      </c>
      <c r="AC211" s="610"/>
    </row>
    <row r="212" spans="1:29" ht="15" customHeight="1">
      <c r="A212" s="663" t="s">
        <v>961</v>
      </c>
      <c r="B212" s="682">
        <v>6161.5371202548622</v>
      </c>
      <c r="C212" s="682">
        <v>12818.259218196814</v>
      </c>
      <c r="D212" s="682">
        <v>12707.339815943018</v>
      </c>
      <c r="E212" s="628">
        <v>450</v>
      </c>
      <c r="F212" s="561">
        <v>3</v>
      </c>
      <c r="G212" s="629">
        <v>995</v>
      </c>
      <c r="H212" s="623">
        <v>361</v>
      </c>
      <c r="I212" s="629">
        <v>355</v>
      </c>
      <c r="J212" s="629"/>
      <c r="K212" s="630"/>
      <c r="L212" s="817"/>
      <c r="M212" s="631"/>
      <c r="N212" s="631"/>
      <c r="O212" s="631"/>
      <c r="P212" s="635">
        <v>0</v>
      </c>
      <c r="Q212" s="635">
        <v>3.0000000000000001E-3</v>
      </c>
      <c r="R212" s="635">
        <v>0.99199999999999999</v>
      </c>
      <c r="S212" s="682"/>
      <c r="T212" s="629" t="s">
        <v>961</v>
      </c>
      <c r="U212" s="629"/>
      <c r="V212" s="610"/>
      <c r="W212" s="743" t="s">
        <v>694</v>
      </c>
      <c r="X212" s="610" t="s">
        <v>961</v>
      </c>
      <c r="Y212" s="735" t="s">
        <v>1097</v>
      </c>
      <c r="Z212" s="636" t="s">
        <v>533</v>
      </c>
      <c r="AA212" s="633" t="s">
        <v>533</v>
      </c>
      <c r="AB212" s="610">
        <v>195</v>
      </c>
      <c r="AC212" s="610"/>
    </row>
    <row r="213" spans="1:29" ht="15" customHeight="1">
      <c r="A213" s="663" t="s">
        <v>962</v>
      </c>
      <c r="B213" s="682">
        <v>7385.7799865910965</v>
      </c>
      <c r="C213" s="682">
        <v>14632.751154876267</v>
      </c>
      <c r="D213" s="682">
        <v>14513.018456444122</v>
      </c>
      <c r="E213" s="628">
        <v>500</v>
      </c>
      <c r="F213" s="561">
        <v>3</v>
      </c>
      <c r="G213" s="629">
        <v>1040</v>
      </c>
      <c r="H213" s="623">
        <v>411</v>
      </c>
      <c r="I213" s="629">
        <v>405</v>
      </c>
      <c r="J213" s="629"/>
      <c r="K213" s="630"/>
      <c r="L213" s="817"/>
      <c r="M213" s="631"/>
      <c r="N213" s="631"/>
      <c r="O213" s="631"/>
      <c r="P213" s="635">
        <v>0</v>
      </c>
      <c r="Q213" s="635">
        <v>3.0000000000000001E-3</v>
      </c>
      <c r="R213" s="635">
        <v>1.0370000000000001</v>
      </c>
      <c r="S213" s="682"/>
      <c r="T213" s="629" t="s">
        <v>962</v>
      </c>
      <c r="U213" s="629"/>
      <c r="V213" s="610"/>
      <c r="W213" s="743" t="s">
        <v>694</v>
      </c>
      <c r="X213" s="610" t="s">
        <v>962</v>
      </c>
      <c r="Y213" s="735" t="s">
        <v>1098</v>
      </c>
      <c r="Z213" s="636" t="s">
        <v>534</v>
      </c>
      <c r="AA213" s="633" t="s">
        <v>534</v>
      </c>
      <c r="AB213" s="610">
        <v>196</v>
      </c>
      <c r="AC213" s="610"/>
    </row>
    <row r="214" spans="1:29" ht="15" customHeight="1">
      <c r="A214" s="663" t="s">
        <v>963</v>
      </c>
      <c r="B214" s="682">
        <v>10515.963021054999</v>
      </c>
      <c r="C214" s="682">
        <v>19498.463682554331</v>
      </c>
      <c r="D214" s="682">
        <v>19350.824087992838</v>
      </c>
      <c r="E214" s="628">
        <v>700</v>
      </c>
      <c r="F214" s="561">
        <v>3</v>
      </c>
      <c r="G214" s="629">
        <v>1450</v>
      </c>
      <c r="H214" s="623">
        <v>513</v>
      </c>
      <c r="I214" s="629">
        <v>507</v>
      </c>
      <c r="J214" s="629"/>
      <c r="K214" s="630"/>
      <c r="L214" s="817"/>
      <c r="M214" s="631"/>
      <c r="N214" s="631"/>
      <c r="O214" s="631"/>
      <c r="P214" s="635">
        <v>0</v>
      </c>
      <c r="Q214" s="635">
        <v>3.0000000000000001E-3</v>
      </c>
      <c r="R214" s="635">
        <v>1.4470000000000001</v>
      </c>
      <c r="S214" s="682"/>
      <c r="T214" s="629" t="s">
        <v>963</v>
      </c>
      <c r="U214" s="629"/>
      <c r="V214" s="610"/>
      <c r="W214" s="743" t="s">
        <v>694</v>
      </c>
      <c r="X214" s="610" t="s">
        <v>963</v>
      </c>
      <c r="Y214" s="735" t="s">
        <v>1099</v>
      </c>
      <c r="Z214" s="636" t="s">
        <v>535</v>
      </c>
      <c r="AA214" s="633" t="s">
        <v>535</v>
      </c>
      <c r="AB214" s="610">
        <v>197</v>
      </c>
      <c r="AC214" s="610"/>
    </row>
    <row r="215" spans="1:29" ht="15" customHeight="1">
      <c r="A215" s="663" t="s">
        <v>964</v>
      </c>
      <c r="B215" s="682">
        <v>12027.220484503756</v>
      </c>
      <c r="C215" s="682">
        <v>21610.841025905673</v>
      </c>
      <c r="D215" s="682">
        <v>21454.288135165843</v>
      </c>
      <c r="E215" s="628">
        <v>800</v>
      </c>
      <c r="F215" s="561">
        <v>3</v>
      </c>
      <c r="G215" s="629">
        <v>1500</v>
      </c>
      <c r="H215" s="623">
        <v>613</v>
      </c>
      <c r="I215" s="629">
        <v>607</v>
      </c>
      <c r="J215" s="629"/>
      <c r="K215" s="630"/>
      <c r="L215" s="817"/>
      <c r="M215" s="631"/>
      <c r="N215" s="631"/>
      <c r="O215" s="631"/>
      <c r="P215" s="635">
        <v>0</v>
      </c>
      <c r="Q215" s="635">
        <v>3.0000000000000001E-3</v>
      </c>
      <c r="R215" s="635">
        <v>1.4970000000000001</v>
      </c>
      <c r="S215" s="682"/>
      <c r="T215" s="629" t="s">
        <v>964</v>
      </c>
      <c r="U215" s="629"/>
      <c r="V215" s="610"/>
      <c r="W215" s="743" t="s">
        <v>694</v>
      </c>
      <c r="X215" s="610" t="s">
        <v>964</v>
      </c>
      <c r="Y215" s="610" t="s">
        <v>1100</v>
      </c>
      <c r="Z215" s="818" t="s">
        <v>536</v>
      </c>
      <c r="AA215" s="633" t="s">
        <v>536</v>
      </c>
      <c r="AB215" s="610">
        <v>198</v>
      </c>
      <c r="AC215" s="610"/>
    </row>
    <row r="216" spans="1:29" ht="15" customHeight="1">
      <c r="A216" s="663" t="s">
        <v>965</v>
      </c>
      <c r="B216" s="682">
        <v>14403.412164872392</v>
      </c>
      <c r="C216" s="682">
        <v>26156.341430134718</v>
      </c>
      <c r="D216" s="682">
        <v>25963.038423030361</v>
      </c>
      <c r="E216" s="628">
        <v>900</v>
      </c>
      <c r="F216" s="561">
        <v>3</v>
      </c>
      <c r="G216" s="629">
        <v>1760</v>
      </c>
      <c r="H216" s="623">
        <v>666</v>
      </c>
      <c r="I216" s="629">
        <v>660</v>
      </c>
      <c r="J216" s="629"/>
      <c r="K216" s="630"/>
      <c r="L216" s="817"/>
      <c r="M216" s="631"/>
      <c r="N216" s="631"/>
      <c r="O216" s="631"/>
      <c r="P216" s="635">
        <v>0</v>
      </c>
      <c r="Q216" s="635">
        <v>3.0000000000000001E-3</v>
      </c>
      <c r="R216" s="635">
        <v>1.7570000000000001</v>
      </c>
      <c r="S216" s="682"/>
      <c r="T216" s="629" t="s">
        <v>965</v>
      </c>
      <c r="U216" s="629"/>
      <c r="V216" s="610"/>
      <c r="W216" s="743" t="s">
        <v>694</v>
      </c>
      <c r="X216" s="610" t="s">
        <v>965</v>
      </c>
      <c r="Y216" s="610" t="s">
        <v>1247</v>
      </c>
      <c r="Z216" s="818" t="s">
        <v>537</v>
      </c>
      <c r="AA216" s="633" t="s">
        <v>537</v>
      </c>
      <c r="AB216" s="610">
        <v>199</v>
      </c>
      <c r="AC216" s="610"/>
    </row>
    <row r="217" spans="1:29" ht="15" customHeight="1">
      <c r="A217" s="663" t="s">
        <v>966</v>
      </c>
      <c r="B217" s="682">
        <v>19314.997659599259</v>
      </c>
      <c r="C217" s="682">
        <v>32533.401876500204</v>
      </c>
      <c r="D217" s="682">
        <v>32321.005269444839</v>
      </c>
      <c r="E217" s="628">
        <v>1000</v>
      </c>
      <c r="F217" s="561">
        <v>3</v>
      </c>
      <c r="G217" s="629">
        <v>2145</v>
      </c>
      <c r="H217" s="623">
        <v>816</v>
      </c>
      <c r="I217" s="629">
        <v>810</v>
      </c>
      <c r="J217" s="629"/>
      <c r="K217" s="630"/>
      <c r="L217" s="817"/>
      <c r="M217" s="631"/>
      <c r="N217" s="631"/>
      <c r="O217" s="631"/>
      <c r="P217" s="635">
        <v>0</v>
      </c>
      <c r="Q217" s="635">
        <v>3.0000000000000001E-3</v>
      </c>
      <c r="R217" s="635">
        <v>2.1419999999999999</v>
      </c>
      <c r="S217" s="682"/>
      <c r="T217" s="629" t="s">
        <v>966</v>
      </c>
      <c r="U217" s="629"/>
      <c r="V217" s="610"/>
      <c r="W217" s="743" t="s">
        <v>694</v>
      </c>
      <c r="X217" s="610" t="s">
        <v>966</v>
      </c>
      <c r="Y217" s="610" t="s">
        <v>1101</v>
      </c>
      <c r="Z217" s="818" t="s">
        <v>538</v>
      </c>
      <c r="AA217" s="633" t="s">
        <v>538</v>
      </c>
      <c r="AB217" s="610">
        <v>200</v>
      </c>
      <c r="AC217" s="610"/>
    </row>
    <row r="218" spans="1:29" ht="15" customHeight="1">
      <c r="A218" s="663" t="s">
        <v>967</v>
      </c>
      <c r="B218" s="682">
        <v>7338.9779911917385</v>
      </c>
      <c r="C218" s="682">
        <v>14958.699456215019</v>
      </c>
      <c r="D218" s="682">
        <v>14831.690545142015</v>
      </c>
      <c r="E218" s="628">
        <v>575</v>
      </c>
      <c r="F218" s="561">
        <v>3</v>
      </c>
      <c r="G218" s="629">
        <v>1170</v>
      </c>
      <c r="H218" s="623">
        <v>438</v>
      </c>
      <c r="I218" s="629">
        <v>432</v>
      </c>
      <c r="J218" s="629"/>
      <c r="K218" s="630"/>
      <c r="L218" s="817"/>
      <c r="M218" s="631"/>
      <c r="N218" s="631"/>
      <c r="O218" s="631"/>
      <c r="P218" s="635">
        <v>0</v>
      </c>
      <c r="Q218" s="635">
        <v>3.0000000000000001E-3</v>
      </c>
      <c r="R218" s="635">
        <v>1.167</v>
      </c>
      <c r="S218" s="682"/>
      <c r="T218" s="629" t="s">
        <v>967</v>
      </c>
      <c r="U218" s="629"/>
      <c r="V218" s="610"/>
      <c r="W218" s="743" t="s">
        <v>694</v>
      </c>
      <c r="X218" s="610" t="s">
        <v>967</v>
      </c>
      <c r="Y218" s="610" t="s">
        <v>1102</v>
      </c>
      <c r="Z218" s="818" t="s">
        <v>539</v>
      </c>
      <c r="AA218" s="633" t="s">
        <v>539</v>
      </c>
      <c r="AB218" s="610">
        <v>201</v>
      </c>
      <c r="AC218" s="610"/>
    </row>
    <row r="219" spans="1:29" ht="15" customHeight="1">
      <c r="A219" s="663" t="s">
        <v>968</v>
      </c>
      <c r="B219" s="682">
        <v>8185.0785700779361</v>
      </c>
      <c r="C219" s="682">
        <v>16342.076747534846</v>
      </c>
      <c r="D219" s="682">
        <v>16206.254540283497</v>
      </c>
      <c r="E219" s="628">
        <v>550</v>
      </c>
      <c r="F219" s="561">
        <v>3</v>
      </c>
      <c r="G219" s="629">
        <v>1300</v>
      </c>
      <c r="H219" s="623">
        <v>438</v>
      </c>
      <c r="I219" s="629">
        <v>432</v>
      </c>
      <c r="J219" s="629"/>
      <c r="K219" s="630"/>
      <c r="L219" s="817"/>
      <c r="M219" s="631"/>
      <c r="N219" s="631"/>
      <c r="O219" s="631"/>
      <c r="P219" s="635">
        <v>0</v>
      </c>
      <c r="Q219" s="635">
        <v>3.0000000000000001E-3</v>
      </c>
      <c r="R219" s="635">
        <v>1.2970000000000002</v>
      </c>
      <c r="S219" s="682"/>
      <c r="T219" s="629" t="s">
        <v>968</v>
      </c>
      <c r="U219" s="629"/>
      <c r="V219" s="610"/>
      <c r="W219" s="743" t="s">
        <v>694</v>
      </c>
      <c r="X219" s="610" t="s">
        <v>968</v>
      </c>
      <c r="Y219" s="610" t="s">
        <v>1103</v>
      </c>
      <c r="Z219" s="818" t="s">
        <v>540</v>
      </c>
      <c r="AA219" s="633" t="s">
        <v>540</v>
      </c>
      <c r="AB219" s="610">
        <v>202</v>
      </c>
      <c r="AC219" s="610"/>
    </row>
    <row r="220" spans="1:29" ht="15" customHeight="1">
      <c r="A220" s="782" t="s">
        <v>969</v>
      </c>
      <c r="B220" s="682">
        <v>3191.4004902250285</v>
      </c>
      <c r="C220" s="682">
        <v>7200.6701054607238</v>
      </c>
      <c r="D220" s="682">
        <v>7138.4182068815944</v>
      </c>
      <c r="E220" s="628">
        <v>200</v>
      </c>
      <c r="F220" s="561">
        <v>3</v>
      </c>
      <c r="G220" s="629">
        <v>520</v>
      </c>
      <c r="H220" s="623">
        <v>186</v>
      </c>
      <c r="I220" s="629">
        <v>180</v>
      </c>
      <c r="J220" s="629"/>
      <c r="K220" s="630"/>
      <c r="L220" s="817"/>
      <c r="M220" s="631"/>
      <c r="N220" s="631"/>
      <c r="O220" s="631"/>
      <c r="P220" s="635">
        <v>0</v>
      </c>
      <c r="Q220" s="635">
        <v>3.0000000000000001E-3</v>
      </c>
      <c r="R220" s="635">
        <v>0.51700000000000002</v>
      </c>
      <c r="S220" s="682"/>
      <c r="T220" s="629" t="s">
        <v>969</v>
      </c>
      <c r="U220" s="629"/>
      <c r="V220" s="610"/>
      <c r="W220" s="742" t="s">
        <v>695</v>
      </c>
      <c r="X220" s="610" t="s">
        <v>969</v>
      </c>
      <c r="Y220" s="610" t="s">
        <v>1092</v>
      </c>
      <c r="Z220" s="818" t="s">
        <v>541</v>
      </c>
      <c r="AA220" s="633" t="s">
        <v>541</v>
      </c>
      <c r="AB220" s="610">
        <v>203</v>
      </c>
      <c r="AC220" s="610"/>
    </row>
    <row r="221" spans="1:29" ht="15" customHeight="1">
      <c r="A221" s="782" t="s">
        <v>970</v>
      </c>
      <c r="B221" s="682">
        <v>2788.6704902250285</v>
      </c>
      <c r="C221" s="682">
        <v>6763.9061054607237</v>
      </c>
      <c r="D221" s="682">
        <v>6701.6542068815952</v>
      </c>
      <c r="E221" s="628">
        <v>200</v>
      </c>
      <c r="F221" s="561">
        <v>3</v>
      </c>
      <c r="G221" s="629">
        <v>520</v>
      </c>
      <c r="H221" s="623">
        <v>186</v>
      </c>
      <c r="I221" s="629">
        <v>180</v>
      </c>
      <c r="J221" s="629"/>
      <c r="K221" s="630"/>
      <c r="L221" s="817"/>
      <c r="M221" s="631"/>
      <c r="N221" s="631"/>
      <c r="O221" s="631"/>
      <c r="P221" s="635">
        <v>0</v>
      </c>
      <c r="Q221" s="635">
        <v>3.0000000000000001E-3</v>
      </c>
      <c r="R221" s="635">
        <v>0.51700000000000002</v>
      </c>
      <c r="S221" s="682"/>
      <c r="T221" s="629" t="s">
        <v>970</v>
      </c>
      <c r="U221" s="629"/>
      <c r="V221" s="610"/>
      <c r="W221" s="743" t="s">
        <v>695</v>
      </c>
      <c r="X221" s="610" t="s">
        <v>969</v>
      </c>
      <c r="Y221" s="610" t="s">
        <v>1092</v>
      </c>
      <c r="Z221" s="818" t="s">
        <v>542</v>
      </c>
      <c r="AA221" s="633" t="s">
        <v>542</v>
      </c>
      <c r="AB221" s="610">
        <v>204</v>
      </c>
      <c r="AC221" s="610"/>
    </row>
    <row r="222" spans="1:29" ht="15" customHeight="1">
      <c r="A222" s="782" t="s">
        <v>971</v>
      </c>
      <c r="B222" s="682">
        <v>3529.0303578703747</v>
      </c>
      <c r="C222" s="682">
        <v>8044.8740194327956</v>
      </c>
      <c r="D222" s="682">
        <v>7973.9088246753245</v>
      </c>
      <c r="E222" s="628">
        <v>250</v>
      </c>
      <c r="F222" s="561">
        <v>3</v>
      </c>
      <c r="G222" s="629">
        <v>600</v>
      </c>
      <c r="H222" s="623">
        <v>211</v>
      </c>
      <c r="I222" s="629">
        <v>205</v>
      </c>
      <c r="J222" s="629"/>
      <c r="K222" s="630"/>
      <c r="L222" s="817"/>
      <c r="M222" s="631"/>
      <c r="N222" s="631"/>
      <c r="O222" s="631"/>
      <c r="P222" s="635">
        <v>0</v>
      </c>
      <c r="Q222" s="635">
        <v>3.0000000000000001E-3</v>
      </c>
      <c r="R222" s="635">
        <v>0.59699999999999998</v>
      </c>
      <c r="S222" s="682"/>
      <c r="T222" s="629" t="s">
        <v>971</v>
      </c>
      <c r="U222" s="629"/>
      <c r="V222" s="610"/>
      <c r="W222" s="743" t="s">
        <v>695</v>
      </c>
      <c r="X222" s="610" t="s">
        <v>971</v>
      </c>
      <c r="Y222" s="610" t="s">
        <v>1093</v>
      </c>
      <c r="Z222" s="818" t="s">
        <v>543</v>
      </c>
      <c r="AA222" s="633" t="s">
        <v>543</v>
      </c>
      <c r="AB222" s="610">
        <v>205</v>
      </c>
      <c r="AC222" s="610"/>
    </row>
    <row r="223" spans="1:29" ht="15" customHeight="1">
      <c r="A223" s="782" t="s">
        <v>972</v>
      </c>
      <c r="B223" s="682">
        <v>3209.4303578703752</v>
      </c>
      <c r="C223" s="682">
        <v>7699.0940194327959</v>
      </c>
      <c r="D223" s="682">
        <v>7628.1288246753247</v>
      </c>
      <c r="E223" s="628">
        <v>250</v>
      </c>
      <c r="F223" s="561">
        <v>3</v>
      </c>
      <c r="G223" s="629">
        <v>600</v>
      </c>
      <c r="H223" s="623">
        <v>211</v>
      </c>
      <c r="I223" s="629">
        <v>205</v>
      </c>
      <c r="J223" s="629"/>
      <c r="K223" s="630"/>
      <c r="L223" s="817"/>
      <c r="M223" s="631"/>
      <c r="N223" s="631"/>
      <c r="O223" s="631"/>
      <c r="P223" s="635">
        <v>0</v>
      </c>
      <c r="Q223" s="635">
        <v>3.0000000000000001E-3</v>
      </c>
      <c r="R223" s="635">
        <v>0.59699999999999998</v>
      </c>
      <c r="S223" s="682"/>
      <c r="T223" s="629" t="s">
        <v>972</v>
      </c>
      <c r="U223" s="629"/>
      <c r="V223" s="610"/>
      <c r="W223" s="743" t="s">
        <v>695</v>
      </c>
      <c r="X223" s="610" t="s">
        <v>971</v>
      </c>
      <c r="Y223" s="610" t="s">
        <v>1093</v>
      </c>
      <c r="Z223" s="818" t="s">
        <v>544</v>
      </c>
      <c r="AA223" s="633" t="s">
        <v>544</v>
      </c>
      <c r="AB223" s="610">
        <v>206</v>
      </c>
      <c r="AC223" s="610"/>
    </row>
    <row r="224" spans="1:29" ht="15" customHeight="1">
      <c r="A224" s="782" t="s">
        <v>973</v>
      </c>
      <c r="B224" s="682">
        <v>4000.8956918802373</v>
      </c>
      <c r="C224" s="682">
        <v>9135.1300320492155</v>
      </c>
      <c r="D224" s="682">
        <v>9051.6484727645529</v>
      </c>
      <c r="E224" s="628">
        <v>310</v>
      </c>
      <c r="F224" s="561">
        <v>3</v>
      </c>
      <c r="G224" s="629">
        <v>695</v>
      </c>
      <c r="H224" s="623">
        <v>261</v>
      </c>
      <c r="I224" s="629">
        <v>255</v>
      </c>
      <c r="J224" s="629"/>
      <c r="K224" s="630"/>
      <c r="L224" s="817"/>
      <c r="M224" s="631"/>
      <c r="N224" s="631"/>
      <c r="O224" s="631"/>
      <c r="P224" s="635">
        <v>0</v>
      </c>
      <c r="Q224" s="635">
        <v>3.0000000000000001E-3</v>
      </c>
      <c r="R224" s="635">
        <v>0.69199999999999995</v>
      </c>
      <c r="S224" s="682"/>
      <c r="T224" s="629" t="s">
        <v>973</v>
      </c>
      <c r="U224" s="629"/>
      <c r="V224" s="610"/>
      <c r="W224" s="743" t="s">
        <v>695</v>
      </c>
      <c r="X224" s="610" t="s">
        <v>973</v>
      </c>
      <c r="Y224" s="610" t="s">
        <v>1094</v>
      </c>
      <c r="Z224" s="818" t="s">
        <v>545</v>
      </c>
      <c r="AA224" s="633" t="s">
        <v>545</v>
      </c>
      <c r="AB224" s="610">
        <v>207</v>
      </c>
      <c r="AC224" s="610"/>
    </row>
    <row r="225" spans="1:29" ht="15" customHeight="1">
      <c r="A225" s="782" t="s">
        <v>974</v>
      </c>
      <c r="B225" s="682">
        <v>3756.733191880237</v>
      </c>
      <c r="C225" s="682">
        <v>8864.7875320492167</v>
      </c>
      <c r="D225" s="682">
        <v>8781.3059727645523</v>
      </c>
      <c r="E225" s="628">
        <v>310</v>
      </c>
      <c r="F225" s="561">
        <v>3</v>
      </c>
      <c r="G225" s="629">
        <v>695</v>
      </c>
      <c r="H225" s="623">
        <v>261</v>
      </c>
      <c r="I225" s="629">
        <v>255</v>
      </c>
      <c r="J225" s="629"/>
      <c r="K225" s="630"/>
      <c r="L225" s="817"/>
      <c r="M225" s="631"/>
      <c r="N225" s="631"/>
      <c r="O225" s="631"/>
      <c r="P225" s="635">
        <v>0</v>
      </c>
      <c r="Q225" s="635">
        <v>3.0000000000000001E-3</v>
      </c>
      <c r="R225" s="635">
        <v>0.69199999999999995</v>
      </c>
      <c r="S225" s="682"/>
      <c r="T225" s="629" t="s">
        <v>974</v>
      </c>
      <c r="U225" s="629"/>
      <c r="V225" s="610"/>
      <c r="W225" s="743" t="s">
        <v>695</v>
      </c>
      <c r="X225" s="610" t="s">
        <v>973</v>
      </c>
      <c r="Y225" s="610" t="s">
        <v>1094</v>
      </c>
      <c r="Z225" s="818" t="s">
        <v>546</v>
      </c>
      <c r="AA225" s="633" t="s">
        <v>546</v>
      </c>
      <c r="AB225" s="610">
        <v>208</v>
      </c>
      <c r="AC225" s="610"/>
    </row>
    <row r="226" spans="1:29" ht="15" customHeight="1">
      <c r="A226" s="782" t="s">
        <v>975</v>
      </c>
      <c r="B226" s="682">
        <v>3790.7091604531229</v>
      </c>
      <c r="C226" s="682">
        <v>8385.5091765946745</v>
      </c>
      <c r="D226" s="682">
        <v>8313.4759514599355</v>
      </c>
      <c r="E226" s="628">
        <v>425</v>
      </c>
      <c r="F226" s="561">
        <v>3</v>
      </c>
      <c r="G226" s="629">
        <v>695</v>
      </c>
      <c r="H226" s="623">
        <v>261</v>
      </c>
      <c r="I226" s="629">
        <v>255</v>
      </c>
      <c r="J226" s="629"/>
      <c r="K226" s="630"/>
      <c r="L226" s="817"/>
      <c r="M226" s="631"/>
      <c r="N226" s="631"/>
      <c r="O226" s="631"/>
      <c r="P226" s="635">
        <v>0</v>
      </c>
      <c r="Q226" s="635">
        <v>3.0000000000000001E-3</v>
      </c>
      <c r="R226" s="635">
        <v>0.69199999999999995</v>
      </c>
      <c r="S226" s="682"/>
      <c r="T226" s="629" t="s">
        <v>975</v>
      </c>
      <c r="U226" s="629"/>
      <c r="V226" s="610"/>
      <c r="W226" s="743" t="s">
        <v>695</v>
      </c>
      <c r="X226" s="610" t="s">
        <v>975</v>
      </c>
      <c r="Y226" s="610" t="s">
        <v>1104</v>
      </c>
      <c r="Z226" s="818" t="s">
        <v>547</v>
      </c>
      <c r="AA226" s="633" t="s">
        <v>547</v>
      </c>
      <c r="AB226" s="610">
        <v>209</v>
      </c>
      <c r="AC226" s="610"/>
    </row>
    <row r="227" spans="1:29" ht="15" customHeight="1">
      <c r="A227" s="782" t="s">
        <v>976</v>
      </c>
      <c r="B227" s="682">
        <v>3865.4230302322953</v>
      </c>
      <c r="C227" s="682">
        <v>8752.0812286374439</v>
      </c>
      <c r="D227" s="682">
        <v>8673.8398212391076</v>
      </c>
      <c r="E227" s="628">
        <v>425</v>
      </c>
      <c r="F227" s="561">
        <v>3</v>
      </c>
      <c r="G227" s="629">
        <v>695</v>
      </c>
      <c r="H227" s="623">
        <v>261</v>
      </c>
      <c r="I227" s="629">
        <v>255</v>
      </c>
      <c r="J227" s="629"/>
      <c r="K227" s="630"/>
      <c r="L227" s="817"/>
      <c r="M227" s="631"/>
      <c r="N227" s="631"/>
      <c r="O227" s="631"/>
      <c r="P227" s="635">
        <v>0</v>
      </c>
      <c r="Q227" s="635">
        <v>3.0000000000000001E-3</v>
      </c>
      <c r="R227" s="635">
        <v>0.69199999999999995</v>
      </c>
      <c r="S227" s="682"/>
      <c r="T227" s="629" t="s">
        <v>976</v>
      </c>
      <c r="U227" s="629"/>
      <c r="V227" s="610"/>
      <c r="W227" s="743" t="s">
        <v>695</v>
      </c>
      <c r="X227" s="610" t="s">
        <v>975</v>
      </c>
      <c r="Y227" s="610" t="s">
        <v>1105</v>
      </c>
      <c r="Z227" s="818" t="s">
        <v>548</v>
      </c>
      <c r="AA227" s="633" t="s">
        <v>548</v>
      </c>
      <c r="AB227" s="610">
        <v>210</v>
      </c>
      <c r="AC227" s="610"/>
    </row>
    <row r="228" spans="1:29" ht="15" customHeight="1">
      <c r="A228" s="782" t="s">
        <v>977</v>
      </c>
      <c r="B228" s="682">
        <v>4545.3549404648929</v>
      </c>
      <c r="C228" s="682">
        <v>10118.063049686139</v>
      </c>
      <c r="D228" s="682">
        <v>10027.904254977664</v>
      </c>
      <c r="E228" s="628">
        <v>350</v>
      </c>
      <c r="F228" s="561">
        <v>3</v>
      </c>
      <c r="G228" s="629">
        <v>785</v>
      </c>
      <c r="H228" s="623">
        <v>291</v>
      </c>
      <c r="I228" s="629">
        <v>285</v>
      </c>
      <c r="J228" s="629"/>
      <c r="K228" s="630"/>
      <c r="L228" s="817"/>
      <c r="M228" s="631"/>
      <c r="N228" s="631"/>
      <c r="O228" s="631"/>
      <c r="P228" s="635">
        <v>0</v>
      </c>
      <c r="Q228" s="635">
        <v>3.0000000000000001E-3</v>
      </c>
      <c r="R228" s="635">
        <v>0.78200000000000003</v>
      </c>
      <c r="S228" s="682"/>
      <c r="T228" s="629" t="s">
        <v>977</v>
      </c>
      <c r="U228" s="629"/>
      <c r="V228" s="610"/>
      <c r="W228" s="743" t="s">
        <v>695</v>
      </c>
      <c r="X228" s="610" t="s">
        <v>977</v>
      </c>
      <c r="Y228" s="610" t="s">
        <v>1095</v>
      </c>
      <c r="Z228" s="818" t="s">
        <v>549</v>
      </c>
      <c r="AA228" s="633" t="s">
        <v>549</v>
      </c>
      <c r="AB228" s="610">
        <v>211</v>
      </c>
      <c r="AC228" s="610"/>
    </row>
    <row r="229" spans="1:29" ht="15" customHeight="1">
      <c r="A229" s="782" t="s">
        <v>978</v>
      </c>
      <c r="B229" s="682">
        <v>4301.1924404648926</v>
      </c>
      <c r="C229" s="682">
        <v>9847.7205496861407</v>
      </c>
      <c r="D229" s="682">
        <v>9757.5617549776634</v>
      </c>
      <c r="E229" s="628">
        <v>350</v>
      </c>
      <c r="F229" s="561">
        <v>3</v>
      </c>
      <c r="G229" s="629">
        <v>785</v>
      </c>
      <c r="H229" s="623">
        <v>291</v>
      </c>
      <c r="I229" s="629">
        <v>285</v>
      </c>
      <c r="J229" s="629"/>
      <c r="K229" s="630"/>
      <c r="L229" s="817"/>
      <c r="M229" s="631"/>
      <c r="N229" s="631"/>
      <c r="O229" s="631"/>
      <c r="P229" s="635">
        <v>0</v>
      </c>
      <c r="Q229" s="635">
        <v>3.0000000000000001E-3</v>
      </c>
      <c r="R229" s="635">
        <v>0.78200000000000003</v>
      </c>
      <c r="S229" s="682"/>
      <c r="T229" s="629" t="s">
        <v>978</v>
      </c>
      <c r="U229" s="629"/>
      <c r="V229" s="610"/>
      <c r="W229" s="743" t="s">
        <v>695</v>
      </c>
      <c r="X229" s="610" t="s">
        <v>977</v>
      </c>
      <c r="Y229" s="610" t="s">
        <v>1095</v>
      </c>
      <c r="Z229" s="818" t="s">
        <v>550</v>
      </c>
      <c r="AA229" s="633" t="s">
        <v>550</v>
      </c>
      <c r="AB229" s="610">
        <v>212</v>
      </c>
      <c r="AC229" s="610"/>
    </row>
    <row r="230" spans="1:29" ht="15" customHeight="1">
      <c r="A230" s="782" t="s">
        <v>979</v>
      </c>
      <c r="B230" s="682">
        <v>5091.7859894797575</v>
      </c>
      <c r="C230" s="682">
        <v>11195.140341631544</v>
      </c>
      <c r="D230" s="682">
        <v>11096.168250744722</v>
      </c>
      <c r="E230" s="628">
        <v>400</v>
      </c>
      <c r="F230" s="561">
        <v>3</v>
      </c>
      <c r="G230" s="629">
        <v>905</v>
      </c>
      <c r="H230" s="623">
        <v>336</v>
      </c>
      <c r="I230" s="629">
        <v>330</v>
      </c>
      <c r="J230" s="629"/>
      <c r="K230" s="630"/>
      <c r="L230" s="817"/>
      <c r="M230" s="631"/>
      <c r="N230" s="631"/>
      <c r="O230" s="631"/>
      <c r="P230" s="635">
        <v>0</v>
      </c>
      <c r="Q230" s="635">
        <v>3.0000000000000001E-3</v>
      </c>
      <c r="R230" s="635">
        <v>0.90200000000000002</v>
      </c>
      <c r="S230" s="682"/>
      <c r="T230" s="629" t="s">
        <v>979</v>
      </c>
      <c r="U230" s="629"/>
      <c r="V230" s="610"/>
      <c r="W230" s="743" t="s">
        <v>695</v>
      </c>
      <c r="X230" s="610" t="s">
        <v>979</v>
      </c>
      <c r="Y230" s="610" t="s">
        <v>1096</v>
      </c>
      <c r="Z230" s="818" t="s">
        <v>551</v>
      </c>
      <c r="AA230" s="633" t="s">
        <v>551</v>
      </c>
      <c r="AB230" s="610">
        <v>213</v>
      </c>
      <c r="AC230" s="610"/>
    </row>
    <row r="231" spans="1:29" ht="15" customHeight="1">
      <c r="A231" s="782" t="s">
        <v>980</v>
      </c>
      <c r="B231" s="682">
        <v>2792.389337242395</v>
      </c>
      <c r="C231" s="682">
        <v>6767.6249524780906</v>
      </c>
      <c r="D231" s="682">
        <v>6705.3730538989621</v>
      </c>
      <c r="E231" s="628">
        <v>200</v>
      </c>
      <c r="F231" s="561">
        <v>3</v>
      </c>
      <c r="G231" s="629">
        <v>520</v>
      </c>
      <c r="H231" s="623">
        <v>186</v>
      </c>
      <c r="I231" s="629">
        <v>180</v>
      </c>
      <c r="J231" s="629"/>
      <c r="K231" s="630"/>
      <c r="L231" s="817"/>
      <c r="M231" s="631"/>
      <c r="N231" s="631"/>
      <c r="O231" s="631"/>
      <c r="P231" s="635">
        <v>0</v>
      </c>
      <c r="Q231" s="635">
        <v>3.0000000000000001E-3</v>
      </c>
      <c r="R231" s="635">
        <v>0.51700000000000002</v>
      </c>
      <c r="S231" s="682"/>
      <c r="T231" s="629" t="s">
        <v>980</v>
      </c>
      <c r="U231" s="629"/>
      <c r="V231" s="610"/>
      <c r="W231" s="742" t="s">
        <v>696</v>
      </c>
      <c r="X231" s="610" t="s">
        <v>980</v>
      </c>
      <c r="Y231" s="610" t="s">
        <v>1092</v>
      </c>
      <c r="Z231" s="818" t="s">
        <v>552</v>
      </c>
      <c r="AA231" s="633" t="s">
        <v>552</v>
      </c>
      <c r="AB231" s="610">
        <v>214</v>
      </c>
      <c r="AC231" s="610"/>
    </row>
    <row r="232" spans="1:29" ht="15" customHeight="1">
      <c r="A232" s="782" t="s">
        <v>981</v>
      </c>
      <c r="B232" s="682">
        <v>2960.5193372423955</v>
      </c>
      <c r="C232" s="682">
        <v>6943.6089524780909</v>
      </c>
      <c r="D232" s="682">
        <v>6881.3570538989625</v>
      </c>
      <c r="E232" s="628">
        <v>200</v>
      </c>
      <c r="F232" s="561">
        <v>3</v>
      </c>
      <c r="G232" s="629">
        <v>520</v>
      </c>
      <c r="H232" s="623">
        <v>186</v>
      </c>
      <c r="I232" s="629">
        <v>180</v>
      </c>
      <c r="J232" s="629"/>
      <c r="K232" s="630"/>
      <c r="L232" s="817"/>
      <c r="M232" s="631"/>
      <c r="N232" s="631"/>
      <c r="O232" s="631"/>
      <c r="P232" s="635">
        <v>0</v>
      </c>
      <c r="Q232" s="635">
        <v>3.0000000000000001E-3</v>
      </c>
      <c r="R232" s="635">
        <v>0.51700000000000002</v>
      </c>
      <c r="S232" s="682"/>
      <c r="T232" s="629" t="s">
        <v>981</v>
      </c>
      <c r="U232" s="629"/>
      <c r="V232" s="610"/>
      <c r="W232" s="743" t="s">
        <v>696</v>
      </c>
      <c r="X232" s="610" t="s">
        <v>980</v>
      </c>
      <c r="Y232" s="610" t="s">
        <v>1092</v>
      </c>
      <c r="Z232" s="818" t="s">
        <v>553</v>
      </c>
      <c r="AA232" s="633" t="s">
        <v>553</v>
      </c>
      <c r="AB232" s="610">
        <v>215</v>
      </c>
      <c r="AC232" s="610"/>
    </row>
    <row r="233" spans="1:29" ht="15" customHeight="1">
      <c r="A233" s="782" t="s">
        <v>982</v>
      </c>
      <c r="B233" s="682">
        <v>3215.8183046132308</v>
      </c>
      <c r="C233" s="682">
        <v>7705.4819661756528</v>
      </c>
      <c r="D233" s="682">
        <v>7634.5167714181798</v>
      </c>
      <c r="E233" s="628">
        <v>250</v>
      </c>
      <c r="F233" s="561">
        <v>3</v>
      </c>
      <c r="G233" s="629">
        <v>600</v>
      </c>
      <c r="H233" s="623">
        <v>211</v>
      </c>
      <c r="I233" s="629">
        <v>205</v>
      </c>
      <c r="J233" s="629"/>
      <c r="K233" s="630"/>
      <c r="L233" s="817"/>
      <c r="M233" s="631"/>
      <c r="N233" s="631"/>
      <c r="O233" s="631"/>
      <c r="P233" s="635">
        <v>0</v>
      </c>
      <c r="Q233" s="635">
        <v>3.0000000000000001E-3</v>
      </c>
      <c r="R233" s="635">
        <v>0.59699999999999998</v>
      </c>
      <c r="S233" s="682"/>
      <c r="T233" s="629" t="s">
        <v>982</v>
      </c>
      <c r="U233" s="629"/>
      <c r="V233" s="610"/>
      <c r="W233" s="743" t="s">
        <v>696</v>
      </c>
      <c r="X233" s="610" t="s">
        <v>982</v>
      </c>
      <c r="Y233" s="610" t="s">
        <v>1093</v>
      </c>
      <c r="Z233" s="818" t="s">
        <v>554</v>
      </c>
      <c r="AA233" s="633" t="s">
        <v>554</v>
      </c>
      <c r="AB233" s="610">
        <v>216</v>
      </c>
      <c r="AC233" s="610"/>
    </row>
    <row r="234" spans="1:29" ht="15" customHeight="1">
      <c r="A234" s="782" t="s">
        <v>983</v>
      </c>
      <c r="B234" s="682">
        <v>3300.8183046132308</v>
      </c>
      <c r="C234" s="682">
        <v>7790.4819661756528</v>
      </c>
      <c r="D234" s="682">
        <v>7719.5167714181798</v>
      </c>
      <c r="E234" s="628">
        <v>250</v>
      </c>
      <c r="F234" s="561">
        <v>3</v>
      </c>
      <c r="G234" s="629">
        <v>600</v>
      </c>
      <c r="H234" s="623">
        <v>211</v>
      </c>
      <c r="I234" s="629">
        <v>205</v>
      </c>
      <c r="J234" s="629"/>
      <c r="K234" s="630"/>
      <c r="L234" s="817"/>
      <c r="M234" s="631"/>
      <c r="N234" s="631"/>
      <c r="O234" s="631"/>
      <c r="P234" s="635">
        <v>0</v>
      </c>
      <c r="Q234" s="635">
        <v>3.0000000000000001E-3</v>
      </c>
      <c r="R234" s="635">
        <v>0.59699999999999998</v>
      </c>
      <c r="S234" s="682"/>
      <c r="T234" s="629" t="s">
        <v>983</v>
      </c>
      <c r="U234" s="629"/>
      <c r="V234" s="610"/>
      <c r="W234" s="743" t="s">
        <v>696</v>
      </c>
      <c r="X234" s="610" t="s">
        <v>982</v>
      </c>
      <c r="Y234" s="610" t="s">
        <v>1093</v>
      </c>
      <c r="Z234" s="818" t="s">
        <v>555</v>
      </c>
      <c r="AA234" s="633" t="s">
        <v>555</v>
      </c>
      <c r="AB234" s="610">
        <v>217</v>
      </c>
      <c r="AC234" s="610"/>
    </row>
    <row r="235" spans="1:29" ht="15" customHeight="1">
      <c r="A235" s="782" t="s">
        <v>984</v>
      </c>
      <c r="B235" s="682">
        <v>3764.1572421371197</v>
      </c>
      <c r="C235" s="682">
        <v>8872.2115823060994</v>
      </c>
      <c r="D235" s="682">
        <v>8788.730023021435</v>
      </c>
      <c r="E235" s="628">
        <v>310</v>
      </c>
      <c r="F235" s="561">
        <v>3</v>
      </c>
      <c r="G235" s="629">
        <v>695</v>
      </c>
      <c r="H235" s="623">
        <v>261</v>
      </c>
      <c r="I235" s="629">
        <v>255</v>
      </c>
      <c r="J235" s="629"/>
      <c r="K235" s="630"/>
      <c r="L235" s="817"/>
      <c r="M235" s="631"/>
      <c r="N235" s="631"/>
      <c r="O235" s="631"/>
      <c r="P235" s="635">
        <v>0</v>
      </c>
      <c r="Q235" s="635">
        <v>3.0000000000000001E-3</v>
      </c>
      <c r="R235" s="635">
        <v>0.69199999999999995</v>
      </c>
      <c r="S235" s="682"/>
      <c r="T235" s="629" t="s">
        <v>984</v>
      </c>
      <c r="U235" s="629"/>
      <c r="V235" s="610"/>
      <c r="W235" s="743" t="s">
        <v>696</v>
      </c>
      <c r="X235" s="610" t="s">
        <v>984</v>
      </c>
      <c r="Y235" s="610" t="s">
        <v>1094</v>
      </c>
      <c r="Z235" s="818" t="s">
        <v>556</v>
      </c>
      <c r="AA235" s="633" t="s">
        <v>556</v>
      </c>
      <c r="AB235" s="610">
        <v>218</v>
      </c>
      <c r="AC235" s="610"/>
    </row>
    <row r="236" spans="1:29" ht="15" customHeight="1">
      <c r="A236" s="782" t="s">
        <v>985</v>
      </c>
      <c r="B236" s="682">
        <v>3764.1572421371197</v>
      </c>
      <c r="C236" s="682">
        <v>8872.2115823060994</v>
      </c>
      <c r="D236" s="682">
        <v>8788.730023021435</v>
      </c>
      <c r="E236" s="628">
        <v>310</v>
      </c>
      <c r="F236" s="561">
        <v>3</v>
      </c>
      <c r="G236" s="629">
        <v>695</v>
      </c>
      <c r="H236" s="623">
        <v>261</v>
      </c>
      <c r="I236" s="629">
        <v>255</v>
      </c>
      <c r="J236" s="629"/>
      <c r="K236" s="630"/>
      <c r="L236" s="817"/>
      <c r="M236" s="631"/>
      <c r="N236" s="631"/>
      <c r="O236" s="631"/>
      <c r="P236" s="635">
        <v>0</v>
      </c>
      <c r="Q236" s="635">
        <v>3.0000000000000001E-3</v>
      </c>
      <c r="R236" s="635">
        <v>0.69199999999999995</v>
      </c>
      <c r="S236" s="682"/>
      <c r="T236" s="629" t="s">
        <v>985</v>
      </c>
      <c r="U236" s="629"/>
      <c r="V236" s="610"/>
      <c r="W236" s="743" t="s">
        <v>696</v>
      </c>
      <c r="X236" s="610" t="s">
        <v>984</v>
      </c>
      <c r="Y236" s="610" t="s">
        <v>1094</v>
      </c>
      <c r="Z236" s="818" t="s">
        <v>557</v>
      </c>
      <c r="AA236" s="633" t="s">
        <v>557</v>
      </c>
      <c r="AB236" s="610">
        <v>219</v>
      </c>
      <c r="AC236" s="610"/>
    </row>
    <row r="237" spans="1:29" ht="15" customHeight="1">
      <c r="A237" s="782" t="s">
        <v>986</v>
      </c>
      <c r="B237" s="682">
        <v>3799.4239880368596</v>
      </c>
      <c r="C237" s="682">
        <v>8394.2240041784098</v>
      </c>
      <c r="D237" s="682">
        <v>8322.1907790436726</v>
      </c>
      <c r="E237" s="628">
        <v>425</v>
      </c>
      <c r="F237" s="561">
        <v>3</v>
      </c>
      <c r="G237" s="629">
        <v>695</v>
      </c>
      <c r="H237" s="623">
        <v>261</v>
      </c>
      <c r="I237" s="629">
        <v>255</v>
      </c>
      <c r="J237" s="629"/>
      <c r="K237" s="630"/>
      <c r="L237" s="817"/>
      <c r="M237" s="631"/>
      <c r="N237" s="631"/>
      <c r="O237" s="631"/>
      <c r="P237" s="635">
        <v>0</v>
      </c>
      <c r="Q237" s="635">
        <v>3.0000000000000001E-3</v>
      </c>
      <c r="R237" s="635">
        <v>0.69199999999999995</v>
      </c>
      <c r="S237" s="682"/>
      <c r="T237" s="629" t="s">
        <v>986</v>
      </c>
      <c r="U237" s="629"/>
      <c r="V237" s="610"/>
      <c r="W237" s="743" t="s">
        <v>696</v>
      </c>
      <c r="X237" s="610" t="s">
        <v>986</v>
      </c>
      <c r="Y237" s="610" t="s">
        <v>1104</v>
      </c>
      <c r="Z237" s="818" t="s">
        <v>558</v>
      </c>
      <c r="AA237" s="633" t="s">
        <v>558</v>
      </c>
      <c r="AB237" s="610">
        <v>220</v>
      </c>
      <c r="AC237" s="610"/>
    </row>
    <row r="238" spans="1:29" ht="15" customHeight="1">
      <c r="A238" s="782" t="s">
        <v>987</v>
      </c>
      <c r="B238" s="682">
        <v>3910.8002796193023</v>
      </c>
      <c r="C238" s="682">
        <v>8943.2875691562494</v>
      </c>
      <c r="D238" s="682">
        <v>8861.9420706261153</v>
      </c>
      <c r="E238" s="628">
        <v>425</v>
      </c>
      <c r="F238" s="561">
        <v>3</v>
      </c>
      <c r="G238" s="629">
        <v>695</v>
      </c>
      <c r="H238" s="623">
        <v>261</v>
      </c>
      <c r="I238" s="629">
        <v>255</v>
      </c>
      <c r="J238" s="629"/>
      <c r="K238" s="630"/>
      <c r="L238" s="817"/>
      <c r="M238" s="631"/>
      <c r="N238" s="631"/>
      <c r="O238" s="631"/>
      <c r="P238" s="635">
        <v>0</v>
      </c>
      <c r="Q238" s="635">
        <v>3.0000000000000001E-3</v>
      </c>
      <c r="R238" s="635">
        <v>0.69199999999999995</v>
      </c>
      <c r="S238" s="682"/>
      <c r="T238" s="629" t="s">
        <v>987</v>
      </c>
      <c r="U238" s="629"/>
      <c r="V238" s="610"/>
      <c r="W238" s="743" t="s">
        <v>696</v>
      </c>
      <c r="X238" s="610" t="s">
        <v>986</v>
      </c>
      <c r="Y238" s="610" t="s">
        <v>1106</v>
      </c>
      <c r="Z238" s="818" t="s">
        <v>559</v>
      </c>
      <c r="AA238" s="633" t="s">
        <v>559</v>
      </c>
      <c r="AB238" s="610">
        <v>221</v>
      </c>
      <c r="AC238" s="610"/>
    </row>
    <row r="239" spans="1:29" ht="15" customHeight="1" thickBot="1">
      <c r="A239" s="664" t="s">
        <v>70</v>
      </c>
      <c r="B239" s="667"/>
      <c r="C239" s="667"/>
      <c r="D239" s="667"/>
      <c r="E239" s="1228"/>
      <c r="F239" s="673"/>
      <c r="G239" s="666"/>
      <c r="H239" s="666"/>
      <c r="I239" s="666"/>
      <c r="J239" s="666"/>
      <c r="K239" s="1229"/>
      <c r="L239" s="1230"/>
      <c r="M239" s="670"/>
      <c r="N239" s="670"/>
      <c r="O239" s="670"/>
      <c r="P239" s="670"/>
      <c r="Q239" s="670"/>
      <c r="R239" s="670"/>
      <c r="S239" s="667"/>
      <c r="T239" s="666"/>
      <c r="U239" s="666"/>
      <c r="V239" s="585"/>
      <c r="W239" s="585"/>
      <c r="X239" s="585"/>
      <c r="Y239" s="585"/>
      <c r="Z239" s="1231"/>
      <c r="AA239" s="1232"/>
      <c r="AB239" s="585"/>
      <c r="AC239" s="585"/>
    </row>
    <row r="240" spans="1:29" ht="15" customHeight="1" thickTop="1"/>
    <row r="243" spans="1:29" s="634" customFormat="1" ht="15" customHeight="1">
      <c r="A243" s="637"/>
      <c r="B243" s="637"/>
      <c r="C243" s="637"/>
      <c r="D243" s="637"/>
      <c r="E243" s="615"/>
      <c r="F243" s="610"/>
      <c r="G243" s="602"/>
      <c r="H243" s="602"/>
      <c r="I243" s="602"/>
      <c r="J243" s="602"/>
      <c r="K243" s="603"/>
      <c r="L243" s="603"/>
      <c r="M243" s="603"/>
      <c r="N243" s="603"/>
      <c r="O243" s="603"/>
      <c r="P243" s="602"/>
      <c r="Q243" s="602"/>
      <c r="R243" s="602"/>
      <c r="S243" s="602"/>
      <c r="T243" s="602"/>
      <c r="U243" s="638"/>
      <c r="V243" s="602"/>
      <c r="W243" s="602"/>
      <c r="X243" s="602"/>
      <c r="Y243" s="602"/>
      <c r="Z243" s="602"/>
      <c r="AA243" s="602"/>
      <c r="AB243" s="602"/>
      <c r="AC243" s="602"/>
    </row>
  </sheetData>
  <mergeCells count="1">
    <mergeCell ref="B15:D15"/>
  </mergeCells>
  <phoneticPr fontId="77" type="noConversion"/>
  <conditionalFormatting sqref="T18:T238">
    <cfRule type="expression" dxfId="253" priority="6">
      <formula>$T18&lt;&gt;$A18</formula>
    </cfRule>
  </conditionalFormatting>
  <conditionalFormatting sqref="T101">
    <cfRule type="expression" dxfId="252" priority="5">
      <formula>$T101&lt;&gt;$A101</formula>
    </cfRule>
  </conditionalFormatting>
  <conditionalFormatting sqref="T102">
    <cfRule type="expression" dxfId="251" priority="4">
      <formula>$T102&lt;&gt;$A102</formula>
    </cfRule>
  </conditionalFormatting>
  <conditionalFormatting sqref="T103">
    <cfRule type="expression" dxfId="250" priority="3">
      <formula>$T103&lt;&gt;$A103</formula>
    </cfRule>
  </conditionalFormatting>
  <conditionalFormatting sqref="T104">
    <cfRule type="expression" dxfId="249" priority="2">
      <formula>$T104&lt;&gt;$A104</formula>
    </cfRule>
  </conditionalFormatting>
  <conditionalFormatting sqref="T105">
    <cfRule type="expression" dxfId="248" priority="1">
      <formula>$T105&lt;&gt;$A105</formula>
    </cfRule>
  </conditionalFormatting>
  <pageMargins left="0.74803149606299213" right="0.74803149606299213" top="0.98425196850393704" bottom="0.98425196850393704" header="0.51181102362204722" footer="0.51181102362204722"/>
  <pageSetup paperSize="9" scale="10" orientation="landscape" r:id="rId1"/>
  <headerFooter alignWithMargins="0">
    <oddHeader>&amp;L&amp;F / &amp;A&amp;C &amp;R&amp;D</oddHeader>
    <oddFooter>&amp;LCONFIDENTIAL&amp;C BARKER JET&amp;RPage &amp;P/&amp;N</oddFooter>
  </headerFooter>
  <rowBreaks count="1" manualBreakCount="1">
    <brk id="179" max="16383" man="1"/>
  </rowBreaks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KO243"/>
  <sheetViews>
    <sheetView zoomScale="80" zoomScaleNormal="80" workbookViewId="0">
      <selection activeCell="A16" sqref="A16:KO239"/>
    </sheetView>
  </sheetViews>
  <sheetFormatPr defaultColWidth="9.42578125" defaultRowHeight="15" customHeight="1"/>
  <cols>
    <col min="1" max="1" width="24.42578125" style="643" customWidth="1"/>
    <col min="2" max="14" width="9.5703125" style="602" customWidth="1"/>
    <col min="15" max="15" width="9.5703125" style="678" customWidth="1"/>
    <col min="16" max="16" width="9.5703125" style="602" customWidth="1"/>
    <col min="17" max="17" width="9.5703125" style="678" customWidth="1"/>
    <col min="18" max="20" width="9.5703125" style="602" customWidth="1"/>
    <col min="21" max="23" width="9.5703125" style="678" customWidth="1"/>
    <col min="24" max="27" width="9.5703125" style="602" customWidth="1"/>
    <col min="28" max="28" width="9.42578125" style="602"/>
    <col min="30" max="33" width="9.5703125" style="603" customWidth="1"/>
    <col min="34" max="34" width="9.5703125" style="602" customWidth="1"/>
    <col min="35" max="35" width="9.5703125" style="642" customWidth="1"/>
    <col min="36" max="58" width="9.5703125" style="602" customWidth="1"/>
    <col min="59" max="59" width="9.42578125" style="602"/>
    <col min="60" max="93" width="9.5703125" style="602" customWidth="1"/>
    <col min="94" max="94" width="9.42578125" style="602"/>
    <col min="95" max="108" width="9.5703125" style="602" customWidth="1"/>
    <col min="109" max="109" width="9.42578125" style="602"/>
    <col min="110" max="123" width="9.5703125" style="602" customWidth="1"/>
    <col min="124" max="124" width="9.42578125" style="602"/>
    <col min="125" max="138" width="9.5703125" style="602" customWidth="1"/>
    <col min="139" max="139" width="9.42578125" style="602"/>
    <col min="140" max="154" width="9.5703125" style="602" customWidth="1"/>
    <col min="155" max="155" width="9.42578125" style="602"/>
    <col min="156" max="204" width="9.5703125" style="602" customWidth="1"/>
    <col min="205" max="205" width="9.42578125" style="602"/>
    <col min="206" max="219" width="9.5703125" style="602" customWidth="1"/>
    <col min="220" max="220" width="9.42578125" style="602"/>
    <col min="221" max="234" width="9.5703125" style="602" customWidth="1"/>
    <col min="235" max="235" width="9.42578125" style="602"/>
    <col min="236" max="265" width="9.5703125" style="602" customWidth="1"/>
    <col min="266" max="16384" width="9.42578125" style="602"/>
  </cols>
  <sheetData>
    <row r="1" spans="1:301" ht="15" customHeight="1" thickTop="1">
      <c r="A1" s="744"/>
      <c r="B1" s="729"/>
      <c r="C1" s="745"/>
      <c r="D1" s="746"/>
      <c r="E1" s="963"/>
      <c r="F1" s="747"/>
      <c r="G1" s="747"/>
      <c r="H1" s="747"/>
      <c r="I1" s="747"/>
      <c r="J1" s="747"/>
      <c r="K1" s="652"/>
      <c r="L1" s="652"/>
      <c r="M1" s="652"/>
      <c r="N1" s="652"/>
      <c r="O1" s="652"/>
      <c r="P1" s="652"/>
      <c r="Q1" s="652"/>
      <c r="R1" s="652"/>
      <c r="S1" s="652"/>
      <c r="T1" s="652"/>
      <c r="U1" s="652"/>
      <c r="V1" s="652"/>
      <c r="W1" s="652"/>
      <c r="X1" s="652"/>
      <c r="Y1" s="652"/>
      <c r="Z1" s="652"/>
      <c r="AA1" s="652"/>
      <c r="AB1" s="652"/>
      <c r="AC1" s="748"/>
      <c r="AD1" s="731"/>
      <c r="AE1" s="731"/>
      <c r="AF1" s="731"/>
      <c r="AG1" s="731"/>
      <c r="AH1" s="652"/>
      <c r="AI1" s="749"/>
      <c r="AJ1" s="652"/>
      <c r="AK1" s="652"/>
      <c r="AL1" s="652"/>
      <c r="AM1" s="652"/>
      <c r="AN1" s="652"/>
      <c r="AO1" s="652"/>
      <c r="AP1" s="652"/>
      <c r="AQ1" s="652"/>
      <c r="AR1" s="652"/>
      <c r="AS1" s="652"/>
      <c r="AT1" s="652"/>
      <c r="AU1" s="652"/>
      <c r="AV1" s="652">
        <v>0.8</v>
      </c>
      <c r="AW1" s="652"/>
      <c r="AX1" s="652"/>
      <c r="AY1" s="652"/>
      <c r="AZ1" s="652">
        <v>1</v>
      </c>
      <c r="BA1" s="652"/>
      <c r="BB1" s="652"/>
      <c r="BC1" s="652"/>
      <c r="BD1" s="652"/>
      <c r="BE1" s="652"/>
      <c r="BF1" s="652"/>
      <c r="BG1" s="652"/>
      <c r="BH1" s="652"/>
      <c r="BI1" s="652"/>
      <c r="BJ1" s="652"/>
      <c r="BK1" s="652"/>
      <c r="BL1" s="652"/>
      <c r="BM1" s="652"/>
      <c r="BN1" s="652"/>
      <c r="BO1" s="652"/>
      <c r="BP1" s="652"/>
      <c r="BQ1" s="652"/>
      <c r="BR1" s="652"/>
      <c r="BS1" s="652"/>
      <c r="BT1" s="652"/>
      <c r="BU1" s="652"/>
      <c r="BV1" s="652"/>
      <c r="BW1" s="652"/>
      <c r="BX1" s="652"/>
      <c r="BY1" s="652"/>
      <c r="BZ1" s="652"/>
      <c r="CA1" s="652"/>
      <c r="CB1" s="652"/>
      <c r="CC1" s="652"/>
      <c r="CD1" s="652"/>
      <c r="CE1" s="652"/>
      <c r="CF1" s="652"/>
      <c r="CG1" s="652"/>
      <c r="CH1" s="652"/>
      <c r="CI1" s="652"/>
      <c r="CJ1" s="652"/>
      <c r="CK1" s="652"/>
      <c r="CL1" s="652"/>
      <c r="CM1" s="652"/>
      <c r="CN1" s="652"/>
      <c r="CO1" s="652"/>
      <c r="CP1" s="652"/>
      <c r="CQ1" s="652"/>
      <c r="CR1" s="652"/>
      <c r="CS1" s="652"/>
      <c r="CT1" s="652"/>
      <c r="CU1" s="652"/>
      <c r="CV1" s="652"/>
      <c r="CW1" s="652"/>
      <c r="CX1" s="652"/>
      <c r="CY1" s="652"/>
      <c r="CZ1" s="652"/>
      <c r="DA1" s="652"/>
      <c r="DB1" s="652"/>
      <c r="DC1" s="652"/>
      <c r="DD1" s="652"/>
      <c r="DE1" s="652"/>
      <c r="DF1" s="652"/>
      <c r="DG1" s="652"/>
      <c r="DH1" s="652"/>
      <c r="DI1" s="652"/>
      <c r="DJ1" s="652"/>
      <c r="DK1" s="652"/>
      <c r="DL1" s="652"/>
      <c r="DM1" s="652"/>
      <c r="DN1" s="652"/>
      <c r="DO1" s="652"/>
      <c r="DP1" s="652"/>
      <c r="DQ1" s="652"/>
      <c r="DR1" s="652"/>
      <c r="DS1" s="652"/>
      <c r="DT1" s="652"/>
      <c r="DU1" s="652"/>
      <c r="DV1" s="652"/>
      <c r="DW1" s="652"/>
      <c r="DX1" s="652"/>
      <c r="DY1" s="652"/>
      <c r="DZ1" s="652"/>
      <c r="EA1" s="652"/>
      <c r="EB1" s="652"/>
      <c r="EC1" s="652"/>
      <c r="ED1" s="652"/>
      <c r="EE1" s="652"/>
      <c r="EF1" s="652"/>
      <c r="EG1" s="652"/>
      <c r="EH1" s="652"/>
      <c r="EI1" s="652"/>
      <c r="EJ1" s="652"/>
      <c r="EK1" s="652"/>
      <c r="EL1" s="652"/>
      <c r="EM1" s="652"/>
      <c r="EN1" s="652"/>
      <c r="EO1" s="652"/>
      <c r="EP1" s="652"/>
      <c r="EQ1" s="652"/>
      <c r="ER1" s="652"/>
      <c r="ES1" s="652"/>
      <c r="ET1" s="652"/>
      <c r="EU1" s="652"/>
      <c r="EV1" s="652"/>
      <c r="EW1" s="652"/>
      <c r="EX1" s="652"/>
      <c r="EY1" s="652"/>
      <c r="EZ1" s="652"/>
      <c r="FA1" s="652"/>
      <c r="FB1" s="652"/>
      <c r="FC1" s="652"/>
      <c r="FD1" s="652"/>
      <c r="FE1" s="652"/>
      <c r="FF1" s="652"/>
      <c r="FG1" s="652"/>
      <c r="FH1" s="652"/>
      <c r="FI1" s="652"/>
      <c r="FJ1" s="652"/>
      <c r="FK1" s="652"/>
      <c r="FL1" s="652"/>
      <c r="FM1" s="652"/>
      <c r="FN1" s="652"/>
      <c r="FO1" s="652"/>
      <c r="FP1" s="652"/>
      <c r="FQ1" s="652"/>
      <c r="FR1" s="652"/>
      <c r="FS1" s="652"/>
      <c r="FT1" s="652"/>
      <c r="FU1" s="652"/>
      <c r="FV1" s="652"/>
      <c r="FW1" s="652"/>
      <c r="FX1" s="652"/>
      <c r="FY1" s="652"/>
      <c r="FZ1" s="652"/>
      <c r="GA1" s="652"/>
      <c r="GB1" s="652"/>
      <c r="GC1" s="652"/>
      <c r="GD1" s="652"/>
      <c r="GE1" s="652"/>
      <c r="GF1" s="652"/>
      <c r="GG1" s="652"/>
      <c r="GH1" s="652"/>
      <c r="GI1" s="652"/>
      <c r="GJ1" s="652"/>
      <c r="GK1" s="652"/>
      <c r="GL1" s="652"/>
      <c r="GM1" s="652"/>
      <c r="GN1" s="652"/>
      <c r="GO1" s="652"/>
      <c r="GP1" s="652"/>
      <c r="GQ1" s="652"/>
      <c r="GR1" s="652"/>
      <c r="GS1" s="652"/>
      <c r="GT1" s="652"/>
      <c r="GU1" s="652"/>
      <c r="GV1" s="652"/>
      <c r="GW1" s="652"/>
      <c r="GX1" s="652"/>
      <c r="GY1" s="652"/>
      <c r="GZ1" s="652"/>
      <c r="HA1" s="652"/>
      <c r="HB1" s="652"/>
      <c r="HC1" s="652"/>
      <c r="HD1" s="652"/>
      <c r="HE1" s="652"/>
      <c r="HF1" s="652"/>
      <c r="HG1" s="652"/>
      <c r="HH1" s="652"/>
      <c r="HI1" s="652"/>
      <c r="HJ1" s="652"/>
      <c r="HK1" s="652"/>
      <c r="HL1" s="652"/>
      <c r="HM1" s="652"/>
      <c r="HN1" s="652"/>
      <c r="HO1" s="652"/>
      <c r="HP1" s="652"/>
      <c r="HQ1" s="652"/>
      <c r="HR1" s="652"/>
      <c r="HS1" s="652"/>
      <c r="HT1" s="652"/>
      <c r="HU1" s="652"/>
      <c r="HV1" s="652"/>
      <c r="HW1" s="652"/>
      <c r="HX1" s="652"/>
      <c r="HY1" s="652"/>
      <c r="HZ1" s="652"/>
      <c r="IA1" s="652"/>
      <c r="IB1" s="652"/>
      <c r="IC1" s="652"/>
      <c r="ID1" s="652"/>
      <c r="IE1" s="652"/>
      <c r="IF1" s="652"/>
      <c r="IG1" s="652"/>
      <c r="IH1" s="652"/>
      <c r="II1" s="652"/>
      <c r="IJ1" s="652"/>
      <c r="IK1" s="652"/>
      <c r="IL1" s="652"/>
      <c r="IM1" s="652"/>
      <c r="IN1" s="652"/>
      <c r="IO1" s="652"/>
      <c r="IP1" s="652"/>
      <c r="IQ1" s="652"/>
      <c r="IR1" s="652"/>
      <c r="IS1" s="652"/>
      <c r="IT1" s="652"/>
      <c r="IU1" s="652"/>
      <c r="IV1" s="652"/>
      <c r="IW1" s="652"/>
      <c r="IX1" s="652"/>
      <c r="IY1" s="652"/>
      <c r="IZ1" s="652"/>
      <c r="JA1" s="652"/>
      <c r="JB1" s="652"/>
      <c r="JC1" s="652"/>
      <c r="JD1" s="652"/>
      <c r="JE1" s="652"/>
      <c r="JF1" s="652"/>
      <c r="JG1" s="652"/>
      <c r="JH1" s="652"/>
      <c r="JI1" s="652"/>
      <c r="JJ1" s="652"/>
      <c r="JK1" s="652"/>
      <c r="JL1" s="652"/>
      <c r="JM1" s="652"/>
      <c r="JN1" s="652"/>
      <c r="JO1" s="652"/>
      <c r="JP1" s="652"/>
      <c r="JQ1" s="652"/>
      <c r="JR1" s="652"/>
      <c r="JS1" s="652"/>
      <c r="JT1" s="652"/>
      <c r="JU1" s="652"/>
      <c r="JV1" s="652"/>
      <c r="JW1" s="652"/>
      <c r="JX1" s="652"/>
      <c r="JY1" s="652"/>
      <c r="JZ1" s="652"/>
      <c r="KA1" s="652"/>
      <c r="KB1" s="652"/>
      <c r="KC1" s="652"/>
      <c r="KD1" s="652"/>
      <c r="KE1" s="652"/>
      <c r="KF1" s="652"/>
      <c r="KG1" s="652"/>
      <c r="KH1" s="652"/>
      <c r="KI1" s="652"/>
      <c r="KJ1" s="652"/>
      <c r="KK1" s="652"/>
      <c r="KL1" s="652"/>
      <c r="KM1" s="652"/>
      <c r="KN1" s="652"/>
      <c r="KO1" s="654"/>
    </row>
    <row r="2" spans="1:301" ht="15" customHeight="1">
      <c r="A2" s="752"/>
      <c r="B2" s="618"/>
      <c r="C2" s="639"/>
      <c r="D2" s="640"/>
      <c r="E2" s="964"/>
      <c r="F2" s="641"/>
      <c r="G2" s="641"/>
      <c r="H2" s="641"/>
      <c r="I2" s="641"/>
      <c r="J2" s="641"/>
      <c r="K2" s="610"/>
      <c r="L2" s="610"/>
      <c r="M2" s="610"/>
      <c r="N2" s="610"/>
      <c r="O2" s="610"/>
      <c r="P2" s="610"/>
      <c r="Q2" s="610"/>
      <c r="R2" s="610"/>
      <c r="S2" s="610"/>
      <c r="T2" s="610"/>
      <c r="U2" s="610"/>
      <c r="V2" s="610"/>
      <c r="W2" s="610"/>
      <c r="X2" s="610"/>
      <c r="Y2" s="610"/>
      <c r="Z2" s="610"/>
      <c r="AA2" s="610"/>
      <c r="AB2" s="610"/>
      <c r="AC2" s="75"/>
      <c r="AD2" s="616"/>
      <c r="AE2" s="616"/>
      <c r="AF2" s="616"/>
      <c r="AG2" s="616"/>
      <c r="AH2" s="610"/>
      <c r="AI2" s="751"/>
      <c r="AJ2" s="610"/>
      <c r="AK2" s="610"/>
      <c r="AL2" s="610"/>
      <c r="AM2" s="610"/>
      <c r="AN2" s="610"/>
      <c r="AO2" s="610"/>
      <c r="AP2" s="610"/>
      <c r="AQ2" s="610"/>
      <c r="AR2" s="610"/>
      <c r="AS2" s="610"/>
      <c r="AT2" s="610"/>
      <c r="AU2" s="610"/>
      <c r="AV2" s="610"/>
      <c r="AW2" s="610"/>
      <c r="AX2" s="610"/>
      <c r="AY2" s="610"/>
      <c r="AZ2" s="610"/>
      <c r="BA2" s="610"/>
      <c r="BB2" s="610"/>
      <c r="BC2" s="610"/>
      <c r="BD2" s="610"/>
      <c r="BE2" s="610"/>
      <c r="BF2" s="610"/>
      <c r="BG2" s="610"/>
      <c r="BH2" s="610"/>
      <c r="BI2" s="610"/>
      <c r="BJ2" s="610"/>
      <c r="BK2" s="610"/>
      <c r="BL2" s="610"/>
      <c r="BM2" s="610"/>
      <c r="BN2" s="610"/>
      <c r="BO2" s="610"/>
      <c r="BP2" s="610"/>
      <c r="BQ2" s="610"/>
      <c r="BR2" s="610"/>
      <c r="BS2" s="610"/>
      <c r="BT2" s="610"/>
      <c r="BU2" s="610"/>
      <c r="BV2" s="610"/>
      <c r="BW2" s="610"/>
      <c r="BX2" s="610"/>
      <c r="BY2" s="610"/>
      <c r="BZ2" s="610"/>
      <c r="CA2" s="610"/>
      <c r="CB2" s="610"/>
      <c r="CC2" s="610"/>
      <c r="CD2" s="610"/>
      <c r="CE2" s="610"/>
      <c r="CF2" s="610"/>
      <c r="CG2" s="610"/>
      <c r="CH2" s="610"/>
      <c r="CI2" s="610"/>
      <c r="CJ2" s="610"/>
      <c r="CK2" s="610"/>
      <c r="CL2" s="610"/>
      <c r="CM2" s="610"/>
      <c r="CN2" s="610"/>
      <c r="CO2" s="610"/>
      <c r="CP2" s="610"/>
      <c r="CQ2" s="610"/>
      <c r="CR2" s="610"/>
      <c r="CS2" s="610"/>
      <c r="CT2" s="610"/>
      <c r="CU2" s="610"/>
      <c r="CV2" s="610"/>
      <c r="CW2" s="610"/>
      <c r="CX2" s="610"/>
      <c r="CY2" s="610"/>
      <c r="CZ2" s="610"/>
      <c r="DA2" s="610"/>
      <c r="DB2" s="610"/>
      <c r="DC2" s="610"/>
      <c r="DD2" s="610"/>
      <c r="DE2" s="610"/>
      <c r="DF2" s="610"/>
      <c r="DG2" s="610"/>
      <c r="DH2" s="610"/>
      <c r="DI2" s="610"/>
      <c r="DJ2" s="610"/>
      <c r="DK2" s="610"/>
      <c r="DL2" s="610"/>
      <c r="DM2" s="610"/>
      <c r="DN2" s="610"/>
      <c r="DO2" s="610"/>
      <c r="DP2" s="610"/>
      <c r="DQ2" s="610"/>
      <c r="DR2" s="610"/>
      <c r="DS2" s="610"/>
      <c r="DT2" s="610"/>
      <c r="DU2" s="610"/>
      <c r="DV2" s="610"/>
      <c r="DW2" s="610"/>
      <c r="DX2" s="610"/>
      <c r="DY2" s="610"/>
      <c r="DZ2" s="610"/>
      <c r="EA2" s="610"/>
      <c r="EB2" s="610"/>
      <c r="EC2" s="610"/>
      <c r="ED2" s="610"/>
      <c r="EE2" s="610"/>
      <c r="EF2" s="610"/>
      <c r="EG2" s="610"/>
      <c r="EH2" s="610"/>
      <c r="EI2" s="610"/>
      <c r="EJ2" s="610"/>
      <c r="EK2" s="610"/>
      <c r="EL2" s="610"/>
      <c r="EM2" s="610"/>
      <c r="EN2" s="610"/>
      <c r="EO2" s="610"/>
      <c r="EP2" s="610"/>
      <c r="EQ2" s="610"/>
      <c r="ER2" s="610"/>
      <c r="ES2" s="610"/>
      <c r="ET2" s="610"/>
      <c r="EU2" s="610"/>
      <c r="EV2" s="610"/>
      <c r="EW2" s="610"/>
      <c r="EX2" s="610"/>
      <c r="EY2" s="610"/>
      <c r="EZ2" s="610"/>
      <c r="FA2" s="610"/>
      <c r="FB2" s="610"/>
      <c r="FC2" s="610"/>
      <c r="FD2" s="610"/>
      <c r="FE2" s="610"/>
      <c r="FF2" s="610"/>
      <c r="FG2" s="610"/>
      <c r="FH2" s="610"/>
      <c r="FI2" s="610"/>
      <c r="FJ2" s="610"/>
      <c r="FK2" s="610"/>
      <c r="FL2" s="610"/>
      <c r="FM2" s="610"/>
      <c r="FN2" s="610"/>
      <c r="FO2" s="610"/>
      <c r="FP2" s="610"/>
      <c r="FQ2" s="610"/>
      <c r="FR2" s="610"/>
      <c r="FS2" s="610"/>
      <c r="FT2" s="610"/>
      <c r="FU2" s="610"/>
      <c r="FV2" s="610"/>
      <c r="FW2" s="610"/>
      <c r="FX2" s="610"/>
      <c r="FY2" s="610"/>
      <c r="FZ2" s="610"/>
      <c r="GA2" s="610"/>
      <c r="GB2" s="610"/>
      <c r="GC2" s="610"/>
      <c r="GD2" s="610"/>
      <c r="GE2" s="610"/>
      <c r="GF2" s="610"/>
      <c r="GG2" s="610"/>
      <c r="GH2" s="610"/>
      <c r="GI2" s="610"/>
      <c r="GJ2" s="610"/>
      <c r="GK2" s="610"/>
      <c r="GL2" s="610"/>
      <c r="GM2" s="610"/>
      <c r="GN2" s="610"/>
      <c r="GO2" s="610"/>
      <c r="GP2" s="610"/>
      <c r="GQ2" s="610"/>
      <c r="GR2" s="610"/>
      <c r="GS2" s="610"/>
      <c r="GT2" s="610"/>
      <c r="GU2" s="610"/>
      <c r="GV2" s="610"/>
      <c r="GW2" s="610"/>
      <c r="GX2" s="610"/>
      <c r="GY2" s="610"/>
      <c r="GZ2" s="610"/>
      <c r="HA2" s="610"/>
      <c r="HB2" s="610"/>
      <c r="HC2" s="610"/>
      <c r="HD2" s="610"/>
      <c r="HE2" s="610"/>
      <c r="HF2" s="610"/>
      <c r="HG2" s="610"/>
      <c r="HH2" s="610"/>
      <c r="HI2" s="610"/>
      <c r="HJ2" s="610"/>
      <c r="HK2" s="610"/>
      <c r="HL2" s="610"/>
      <c r="HM2" s="610"/>
      <c r="HN2" s="610"/>
      <c r="HO2" s="610"/>
      <c r="HP2" s="610"/>
      <c r="HQ2" s="610"/>
      <c r="HR2" s="610"/>
      <c r="HS2" s="610"/>
      <c r="HT2" s="610"/>
      <c r="HU2" s="610"/>
      <c r="HV2" s="610"/>
      <c r="HW2" s="610"/>
      <c r="HX2" s="610"/>
      <c r="HY2" s="610"/>
      <c r="HZ2" s="610"/>
      <c r="IA2" s="610"/>
      <c r="IB2" s="610"/>
      <c r="IC2" s="610"/>
      <c r="ID2" s="610"/>
      <c r="IE2" s="610"/>
      <c r="IF2" s="610"/>
      <c r="IG2" s="610"/>
      <c r="IH2" s="610"/>
      <c r="II2" s="610"/>
      <c r="IJ2" s="610"/>
      <c r="IK2" s="610"/>
      <c r="IL2" s="610"/>
      <c r="IM2" s="610"/>
      <c r="IN2" s="610"/>
      <c r="IO2" s="610"/>
      <c r="IP2" s="610"/>
      <c r="IQ2" s="610"/>
      <c r="IR2" s="610"/>
      <c r="IS2" s="610"/>
      <c r="IT2" s="610"/>
      <c r="IU2" s="610"/>
      <c r="IV2" s="610"/>
      <c r="IW2" s="610"/>
      <c r="IX2" s="610"/>
      <c r="IY2" s="610"/>
      <c r="IZ2" s="610"/>
      <c r="JA2" s="610"/>
      <c r="JB2" s="610"/>
      <c r="JC2" s="610"/>
      <c r="JD2" s="610"/>
      <c r="JE2" s="610"/>
      <c r="JF2" s="610"/>
      <c r="JG2" s="610"/>
      <c r="JH2" s="610"/>
      <c r="JI2" s="610"/>
      <c r="JJ2" s="610"/>
      <c r="JK2" s="610"/>
      <c r="JL2" s="610"/>
      <c r="JM2" s="610"/>
      <c r="JN2" s="610"/>
      <c r="JO2" s="610"/>
      <c r="JP2" s="610"/>
      <c r="JQ2" s="610"/>
      <c r="JR2" s="610"/>
      <c r="JS2" s="610"/>
      <c r="JT2" s="610"/>
      <c r="JU2" s="610"/>
      <c r="JV2" s="610"/>
      <c r="JW2" s="610"/>
      <c r="JX2" s="610"/>
      <c r="JY2" s="610"/>
      <c r="JZ2" s="610"/>
      <c r="KA2" s="610"/>
      <c r="KB2" s="610"/>
      <c r="KC2" s="610"/>
      <c r="KD2" s="610"/>
      <c r="KE2" s="610"/>
      <c r="KF2" s="610"/>
      <c r="KG2" s="610"/>
      <c r="KH2" s="610"/>
      <c r="KI2" s="610"/>
      <c r="KJ2" s="610"/>
      <c r="KK2" s="610"/>
      <c r="KL2" s="610"/>
      <c r="KM2" s="610"/>
      <c r="KN2" s="610"/>
      <c r="KO2" s="735"/>
    </row>
    <row r="3" spans="1:301" ht="15" customHeight="1">
      <c r="A3" s="752"/>
      <c r="B3" s="644"/>
      <c r="C3" s="639"/>
      <c r="D3" s="640"/>
      <c r="E3" s="964"/>
      <c r="F3" s="641"/>
      <c r="G3" s="641"/>
      <c r="H3" s="641"/>
      <c r="I3" s="641"/>
      <c r="J3" s="641"/>
      <c r="K3" s="610"/>
      <c r="L3" s="610"/>
      <c r="M3" s="610"/>
      <c r="N3" s="610"/>
      <c r="O3" s="610"/>
      <c r="P3" s="610"/>
      <c r="Q3" s="610"/>
      <c r="R3" s="610"/>
      <c r="S3" s="610"/>
      <c r="T3" s="610"/>
      <c r="U3" s="610"/>
      <c r="V3" s="610"/>
      <c r="W3" s="610"/>
      <c r="X3" s="610"/>
      <c r="Y3" s="610"/>
      <c r="Z3" s="610"/>
      <c r="AA3" s="610"/>
      <c r="AB3" s="610"/>
      <c r="AC3" s="75"/>
      <c r="AD3" s="616"/>
      <c r="AE3" s="616"/>
      <c r="AF3" s="616"/>
      <c r="AG3" s="616"/>
      <c r="AH3" s="610"/>
      <c r="AI3" s="751"/>
      <c r="AJ3" s="610"/>
      <c r="AK3" s="610"/>
      <c r="AL3" s="610"/>
      <c r="AM3" s="610"/>
      <c r="AN3" s="610"/>
      <c r="AO3" s="610"/>
      <c r="AP3" s="610"/>
      <c r="AQ3" s="610"/>
      <c r="AR3" s="610"/>
      <c r="AS3" s="610"/>
      <c r="AT3" s="610"/>
      <c r="AU3" s="610"/>
      <c r="AV3" s="610"/>
      <c r="AW3" s="610"/>
      <c r="AX3" s="610"/>
      <c r="AY3" s="610"/>
      <c r="AZ3" s="610"/>
      <c r="BA3" s="610"/>
      <c r="BB3" s="610"/>
      <c r="BC3" s="610"/>
      <c r="BD3" s="610"/>
      <c r="BE3" s="610"/>
      <c r="BF3" s="610"/>
      <c r="BG3" s="610"/>
      <c r="BH3" s="610"/>
      <c r="BI3" s="610"/>
      <c r="BJ3" s="610"/>
      <c r="BK3" s="610"/>
      <c r="BL3" s="610"/>
      <c r="BM3" s="610"/>
      <c r="BN3" s="610"/>
      <c r="BO3" s="610"/>
      <c r="BP3" s="610"/>
      <c r="BQ3" s="610"/>
      <c r="BR3" s="610"/>
      <c r="BS3" s="610"/>
      <c r="BT3" s="610"/>
      <c r="BU3" s="610"/>
      <c r="BV3" s="610"/>
      <c r="BW3" s="610"/>
      <c r="BX3" s="610"/>
      <c r="BY3" s="610"/>
      <c r="BZ3" s="610"/>
      <c r="CA3" s="610"/>
      <c r="CB3" s="610"/>
      <c r="CC3" s="610"/>
      <c r="CD3" s="610"/>
      <c r="CE3" s="610"/>
      <c r="CF3" s="610"/>
      <c r="CG3" s="610"/>
      <c r="CH3" s="610"/>
      <c r="CI3" s="610"/>
      <c r="CJ3" s="610"/>
      <c r="CK3" s="610"/>
      <c r="CL3" s="610"/>
      <c r="CM3" s="610"/>
      <c r="CN3" s="610"/>
      <c r="CO3" s="610"/>
      <c r="CP3" s="610"/>
      <c r="CQ3" s="610"/>
      <c r="CR3" s="610"/>
      <c r="CS3" s="610"/>
      <c r="CT3" s="610"/>
      <c r="CU3" s="610"/>
      <c r="CV3" s="610"/>
      <c r="CW3" s="610"/>
      <c r="CX3" s="610"/>
      <c r="CY3" s="610"/>
      <c r="CZ3" s="610"/>
      <c r="DA3" s="610"/>
      <c r="DB3" s="610"/>
      <c r="DC3" s="610"/>
      <c r="DD3" s="610"/>
      <c r="DE3" s="610"/>
      <c r="DF3" s="610"/>
      <c r="DG3" s="610"/>
      <c r="DH3" s="610"/>
      <c r="DI3" s="610"/>
      <c r="DJ3" s="610"/>
      <c r="DK3" s="610"/>
      <c r="DL3" s="610"/>
      <c r="DM3" s="610"/>
      <c r="DN3" s="610"/>
      <c r="DO3" s="610"/>
      <c r="DP3" s="610"/>
      <c r="DQ3" s="610"/>
      <c r="DR3" s="610"/>
      <c r="DS3" s="610"/>
      <c r="DT3" s="610"/>
      <c r="DU3" s="610"/>
      <c r="DV3" s="610"/>
      <c r="DW3" s="610"/>
      <c r="DX3" s="610"/>
      <c r="DY3" s="610"/>
      <c r="DZ3" s="610"/>
      <c r="EA3" s="610"/>
      <c r="EB3" s="610"/>
      <c r="EC3" s="610"/>
      <c r="ED3" s="610"/>
      <c r="EE3" s="610"/>
      <c r="EF3" s="610"/>
      <c r="EG3" s="610"/>
      <c r="EH3" s="610"/>
      <c r="EI3" s="610"/>
      <c r="EJ3" s="610"/>
      <c r="EK3" s="610"/>
      <c r="EL3" s="610"/>
      <c r="EM3" s="610"/>
      <c r="EN3" s="610"/>
      <c r="EO3" s="610"/>
      <c r="EP3" s="610"/>
      <c r="EQ3" s="610"/>
      <c r="ER3" s="610"/>
      <c r="ES3" s="610"/>
      <c r="ET3" s="610"/>
      <c r="EU3" s="610"/>
      <c r="EV3" s="610"/>
      <c r="EW3" s="610"/>
      <c r="EX3" s="610"/>
      <c r="EY3" s="610"/>
      <c r="EZ3" s="610"/>
      <c r="FA3" s="610"/>
      <c r="FB3" s="610"/>
      <c r="FC3" s="610"/>
      <c r="FD3" s="610"/>
      <c r="FE3" s="610"/>
      <c r="FF3" s="610"/>
      <c r="FG3" s="610"/>
      <c r="FH3" s="610"/>
      <c r="FI3" s="610"/>
      <c r="FJ3" s="610"/>
      <c r="FK3" s="610"/>
      <c r="FL3" s="610"/>
      <c r="FM3" s="610"/>
      <c r="FN3" s="610"/>
      <c r="FO3" s="610"/>
      <c r="FP3" s="610"/>
      <c r="FQ3" s="610"/>
      <c r="FR3" s="610"/>
      <c r="FS3" s="610"/>
      <c r="FT3" s="610"/>
      <c r="FU3" s="610"/>
      <c r="FV3" s="610"/>
      <c r="FW3" s="610"/>
      <c r="FX3" s="610"/>
      <c r="FY3" s="610"/>
      <c r="FZ3" s="610"/>
      <c r="GA3" s="610"/>
      <c r="GB3" s="610"/>
      <c r="GC3" s="610"/>
      <c r="GD3" s="610"/>
      <c r="GE3" s="610"/>
      <c r="GF3" s="610"/>
      <c r="GG3" s="610"/>
      <c r="GH3" s="610"/>
      <c r="GI3" s="610"/>
      <c r="GJ3" s="610"/>
      <c r="GK3" s="610"/>
      <c r="GL3" s="610"/>
      <c r="GM3" s="610"/>
      <c r="GN3" s="610"/>
      <c r="GO3" s="610"/>
      <c r="GP3" s="610"/>
      <c r="GQ3" s="610"/>
      <c r="GR3" s="610"/>
      <c r="GS3" s="610"/>
      <c r="GT3" s="610"/>
      <c r="GU3" s="610"/>
      <c r="GV3" s="610"/>
      <c r="GW3" s="610"/>
      <c r="GX3" s="610"/>
      <c r="GY3" s="610"/>
      <c r="GZ3" s="610"/>
      <c r="HA3" s="610"/>
      <c r="HB3" s="610"/>
      <c r="HC3" s="610"/>
      <c r="HD3" s="610"/>
      <c r="HE3" s="610"/>
      <c r="HF3" s="610"/>
      <c r="HG3" s="610"/>
      <c r="HH3" s="610"/>
      <c r="HI3" s="610"/>
      <c r="HJ3" s="610"/>
      <c r="HK3" s="610"/>
      <c r="HL3" s="610"/>
      <c r="HM3" s="610"/>
      <c r="HN3" s="610"/>
      <c r="HO3" s="610"/>
      <c r="HP3" s="610"/>
      <c r="HQ3" s="610"/>
      <c r="HR3" s="610"/>
      <c r="HS3" s="610"/>
      <c r="HT3" s="610"/>
      <c r="HU3" s="610"/>
      <c r="HV3" s="610"/>
      <c r="HW3" s="610"/>
      <c r="HX3" s="610"/>
      <c r="HY3" s="610"/>
      <c r="HZ3" s="610"/>
      <c r="IA3" s="610"/>
      <c r="IB3" s="610"/>
      <c r="IC3" s="610"/>
      <c r="ID3" s="610"/>
      <c r="IE3" s="610"/>
      <c r="IF3" s="610"/>
      <c r="IG3" s="610"/>
      <c r="IH3" s="610"/>
      <c r="II3" s="610"/>
      <c r="IJ3" s="610"/>
      <c r="IK3" s="610"/>
      <c r="IL3" s="610"/>
      <c r="IM3" s="610"/>
      <c r="IN3" s="610"/>
      <c r="IO3" s="610"/>
      <c r="IP3" s="610"/>
      <c r="IQ3" s="610"/>
      <c r="IR3" s="610"/>
      <c r="IS3" s="610"/>
      <c r="IT3" s="610"/>
      <c r="IU3" s="610"/>
      <c r="IV3" s="610"/>
      <c r="IW3" s="610"/>
      <c r="IX3" s="610"/>
      <c r="IY3" s="610"/>
      <c r="IZ3" s="610"/>
      <c r="JA3" s="610"/>
      <c r="JB3" s="610"/>
      <c r="JC3" s="610"/>
      <c r="JD3" s="610"/>
      <c r="JE3" s="610"/>
      <c r="JF3" s="610"/>
      <c r="JG3" s="610"/>
      <c r="JH3" s="610"/>
      <c r="JI3" s="610"/>
      <c r="JJ3" s="610"/>
      <c r="JK3" s="610"/>
      <c r="JL3" s="610"/>
      <c r="JM3" s="610"/>
      <c r="JN3" s="610"/>
      <c r="JO3" s="610"/>
      <c r="JP3" s="610"/>
      <c r="JQ3" s="610"/>
      <c r="JR3" s="610"/>
      <c r="JS3" s="610"/>
      <c r="JT3" s="610"/>
      <c r="JU3" s="610"/>
      <c r="JV3" s="610"/>
      <c r="JW3" s="610"/>
      <c r="JX3" s="610"/>
      <c r="JY3" s="610"/>
      <c r="JZ3" s="610"/>
      <c r="KA3" s="610"/>
      <c r="KB3" s="610"/>
      <c r="KC3" s="610"/>
      <c r="KD3" s="610"/>
      <c r="KE3" s="610"/>
      <c r="KF3" s="610"/>
      <c r="KG3" s="610"/>
      <c r="KH3" s="610"/>
      <c r="KI3" s="610"/>
      <c r="KJ3" s="610"/>
      <c r="KK3" s="610"/>
      <c r="KL3" s="610"/>
      <c r="KM3" s="610"/>
      <c r="KN3" s="610"/>
      <c r="KO3" s="735"/>
    </row>
    <row r="4" spans="1:301" ht="3" customHeight="1">
      <c r="A4" s="750"/>
      <c r="B4" s="610"/>
      <c r="C4" s="610"/>
      <c r="D4" s="610"/>
      <c r="E4" s="610"/>
      <c r="F4" s="610"/>
      <c r="G4" s="610"/>
      <c r="H4" s="610"/>
      <c r="I4" s="610"/>
      <c r="J4" s="610"/>
      <c r="K4" s="610"/>
      <c r="L4" s="610"/>
      <c r="M4" s="610"/>
      <c r="N4" s="610"/>
      <c r="O4" s="610"/>
      <c r="P4" s="610"/>
      <c r="Q4" s="610"/>
      <c r="R4" s="610"/>
      <c r="S4" s="610"/>
      <c r="T4" s="610"/>
      <c r="U4" s="610"/>
      <c r="V4" s="610"/>
      <c r="W4" s="610"/>
      <c r="X4" s="610"/>
      <c r="Y4" s="610"/>
      <c r="Z4" s="610"/>
      <c r="AA4" s="610"/>
      <c r="AB4" s="610"/>
      <c r="AC4" s="75"/>
      <c r="AD4" s="616"/>
      <c r="AE4" s="616"/>
      <c r="AF4" s="616"/>
      <c r="AG4" s="616"/>
      <c r="AH4" s="610"/>
      <c r="AI4" s="751"/>
      <c r="AJ4" s="610"/>
      <c r="AK4" s="610"/>
      <c r="AL4" s="610"/>
      <c r="AM4" s="610"/>
      <c r="AN4" s="610"/>
      <c r="AO4" s="610"/>
      <c r="AP4" s="610"/>
      <c r="AQ4" s="610"/>
      <c r="AR4" s="610"/>
      <c r="AS4" s="610"/>
      <c r="AT4" s="610"/>
      <c r="AU4" s="610"/>
      <c r="AV4" s="610"/>
      <c r="AW4" s="610"/>
      <c r="AX4" s="610"/>
      <c r="AY4" s="610"/>
      <c r="AZ4" s="610"/>
      <c r="BA4" s="610"/>
      <c r="BB4" s="610"/>
      <c r="BC4" s="610"/>
      <c r="BD4" s="610"/>
      <c r="BE4" s="610"/>
      <c r="BF4" s="610"/>
      <c r="BG4" s="610"/>
      <c r="BH4" s="610"/>
      <c r="BI4" s="610"/>
      <c r="BJ4" s="610"/>
      <c r="BK4" s="610"/>
      <c r="BL4" s="610"/>
      <c r="BM4" s="610"/>
      <c r="BN4" s="610"/>
      <c r="BO4" s="610"/>
      <c r="BP4" s="610"/>
      <c r="BQ4" s="610"/>
      <c r="BR4" s="610"/>
      <c r="BS4" s="610"/>
      <c r="BT4" s="610"/>
      <c r="BU4" s="610"/>
      <c r="BV4" s="610"/>
      <c r="BW4" s="610"/>
      <c r="BX4" s="610"/>
      <c r="BY4" s="610"/>
      <c r="BZ4" s="610"/>
      <c r="CA4" s="610"/>
      <c r="CB4" s="610"/>
      <c r="CC4" s="610"/>
      <c r="CD4" s="610"/>
      <c r="CE4" s="610"/>
      <c r="CF4" s="610"/>
      <c r="CG4" s="610"/>
      <c r="CH4" s="610"/>
      <c r="CI4" s="610"/>
      <c r="CJ4" s="610"/>
      <c r="CK4" s="610"/>
      <c r="CL4" s="610"/>
      <c r="CM4" s="610"/>
      <c r="CN4" s="610"/>
      <c r="CO4" s="610"/>
      <c r="CP4" s="610"/>
      <c r="CQ4" s="610"/>
      <c r="CR4" s="610"/>
      <c r="CS4" s="610"/>
      <c r="CT4" s="610"/>
      <c r="CU4" s="610"/>
      <c r="CV4" s="610"/>
      <c r="CW4" s="610"/>
      <c r="CX4" s="610"/>
      <c r="CY4" s="610"/>
      <c r="CZ4" s="610"/>
      <c r="DA4" s="610"/>
      <c r="DB4" s="610"/>
      <c r="DC4" s="610"/>
      <c r="DD4" s="610"/>
      <c r="DE4" s="610"/>
      <c r="DF4" s="610"/>
      <c r="DG4" s="610"/>
      <c r="DH4" s="610"/>
      <c r="DI4" s="610"/>
      <c r="DJ4" s="610"/>
      <c r="DK4" s="610"/>
      <c r="DL4" s="610"/>
      <c r="DM4" s="610"/>
      <c r="DN4" s="610"/>
      <c r="DO4" s="610"/>
      <c r="DP4" s="610"/>
      <c r="DQ4" s="610"/>
      <c r="DR4" s="610"/>
      <c r="DS4" s="610"/>
      <c r="DT4" s="610"/>
      <c r="DU4" s="610"/>
      <c r="DV4" s="610"/>
      <c r="DW4" s="610"/>
      <c r="DX4" s="610"/>
      <c r="DY4" s="610"/>
      <c r="DZ4" s="610"/>
      <c r="EA4" s="610"/>
      <c r="EB4" s="610"/>
      <c r="EC4" s="610"/>
      <c r="ED4" s="610"/>
      <c r="EE4" s="610"/>
      <c r="EF4" s="610"/>
      <c r="EG4" s="610"/>
      <c r="EH4" s="610"/>
      <c r="EI4" s="610"/>
      <c r="EJ4" s="610"/>
      <c r="EK4" s="610"/>
      <c r="EL4" s="610"/>
      <c r="EM4" s="610"/>
      <c r="EN4" s="610"/>
      <c r="EO4" s="610"/>
      <c r="EP4" s="610"/>
      <c r="EQ4" s="610"/>
      <c r="ER4" s="610"/>
      <c r="ES4" s="610"/>
      <c r="ET4" s="610"/>
      <c r="EU4" s="610"/>
      <c r="EV4" s="610"/>
      <c r="EW4" s="610"/>
      <c r="EX4" s="610"/>
      <c r="EY4" s="610"/>
      <c r="EZ4" s="610"/>
      <c r="FA4" s="610"/>
      <c r="FB4" s="610"/>
      <c r="FC4" s="610"/>
      <c r="FD4" s="610"/>
      <c r="FE4" s="610"/>
      <c r="FF4" s="610"/>
      <c r="FG4" s="610"/>
      <c r="FH4" s="610"/>
      <c r="FI4" s="610"/>
      <c r="FJ4" s="610"/>
      <c r="FK4" s="610"/>
      <c r="FL4" s="610"/>
      <c r="FM4" s="610"/>
      <c r="FN4" s="610"/>
      <c r="FO4" s="610"/>
      <c r="FP4" s="610"/>
      <c r="FQ4" s="610"/>
      <c r="FR4" s="610"/>
      <c r="FS4" s="610"/>
      <c r="FT4" s="610"/>
      <c r="FU4" s="610"/>
      <c r="FV4" s="610"/>
      <c r="FW4" s="610"/>
      <c r="FX4" s="610"/>
      <c r="FY4" s="610"/>
      <c r="FZ4" s="610"/>
      <c r="GA4" s="610"/>
      <c r="GB4" s="610"/>
      <c r="GC4" s="610"/>
      <c r="GD4" s="610"/>
      <c r="GE4" s="610"/>
      <c r="GF4" s="610"/>
      <c r="GG4" s="610"/>
      <c r="GH4" s="610"/>
      <c r="GI4" s="610"/>
      <c r="GJ4" s="610"/>
      <c r="GK4" s="610"/>
      <c r="GL4" s="610"/>
      <c r="GM4" s="610"/>
      <c r="GN4" s="610"/>
      <c r="GO4" s="610"/>
      <c r="GP4" s="610"/>
      <c r="GQ4" s="610"/>
      <c r="GR4" s="610"/>
      <c r="GS4" s="610"/>
      <c r="GT4" s="610"/>
      <c r="GU4" s="610"/>
      <c r="GV4" s="610"/>
      <c r="GW4" s="610"/>
      <c r="GX4" s="610"/>
      <c r="GY4" s="610"/>
      <c r="GZ4" s="610"/>
      <c r="HA4" s="610"/>
      <c r="HB4" s="610"/>
      <c r="HC4" s="610"/>
      <c r="HD4" s="610"/>
      <c r="HE4" s="610"/>
      <c r="HF4" s="610"/>
      <c r="HG4" s="610"/>
      <c r="HH4" s="610"/>
      <c r="HI4" s="610"/>
      <c r="HJ4" s="610"/>
      <c r="HK4" s="610"/>
      <c r="HL4" s="610"/>
      <c r="HM4" s="610"/>
      <c r="HN4" s="610"/>
      <c r="HO4" s="610"/>
      <c r="HP4" s="610"/>
      <c r="HQ4" s="610"/>
      <c r="HR4" s="610"/>
      <c r="HS4" s="610"/>
      <c r="HT4" s="610"/>
      <c r="HU4" s="610"/>
      <c r="HV4" s="610"/>
      <c r="HW4" s="610"/>
      <c r="HX4" s="610"/>
      <c r="HY4" s="610"/>
      <c r="HZ4" s="610"/>
      <c r="IA4" s="610"/>
      <c r="IB4" s="610"/>
      <c r="IC4" s="610"/>
      <c r="ID4" s="610"/>
      <c r="IE4" s="610"/>
      <c r="IF4" s="610"/>
      <c r="IG4" s="610"/>
      <c r="IH4" s="610"/>
      <c r="II4" s="610"/>
      <c r="IJ4" s="610"/>
      <c r="IK4" s="610"/>
      <c r="IL4" s="610"/>
      <c r="IM4" s="610"/>
      <c r="IN4" s="610"/>
      <c r="IO4" s="610"/>
      <c r="IP4" s="610"/>
      <c r="IQ4" s="610"/>
      <c r="IR4" s="610"/>
      <c r="IS4" s="610"/>
      <c r="IT4" s="610"/>
      <c r="IU4" s="610"/>
      <c r="IV4" s="610"/>
      <c r="IW4" s="610"/>
      <c r="IX4" s="610"/>
      <c r="IY4" s="610"/>
      <c r="IZ4" s="610"/>
      <c r="JA4" s="610"/>
      <c r="JB4" s="610"/>
      <c r="JC4" s="610"/>
      <c r="JD4" s="610"/>
      <c r="JE4" s="610"/>
      <c r="JF4" s="610"/>
      <c r="JG4" s="610"/>
      <c r="JH4" s="610"/>
      <c r="JI4" s="610"/>
      <c r="JJ4" s="610"/>
      <c r="JK4" s="610"/>
      <c r="JL4" s="610"/>
      <c r="JM4" s="610"/>
      <c r="JN4" s="610"/>
      <c r="JO4" s="610"/>
      <c r="JP4" s="610"/>
      <c r="JQ4" s="610"/>
      <c r="JR4" s="610"/>
      <c r="JS4" s="610"/>
      <c r="JT4" s="610"/>
      <c r="JU4" s="610"/>
      <c r="JV4" s="610"/>
      <c r="JW4" s="610"/>
      <c r="JX4" s="610"/>
      <c r="JY4" s="610"/>
      <c r="JZ4" s="610"/>
      <c r="KA4" s="610"/>
      <c r="KB4" s="610"/>
      <c r="KC4" s="610"/>
      <c r="KD4" s="610"/>
      <c r="KE4" s="610"/>
      <c r="KF4" s="610"/>
      <c r="KG4" s="610"/>
      <c r="KH4" s="610"/>
      <c r="KI4" s="610"/>
      <c r="KJ4" s="610"/>
      <c r="KK4" s="610"/>
      <c r="KL4" s="610"/>
      <c r="KM4" s="610"/>
      <c r="KN4" s="610"/>
      <c r="KO4" s="735"/>
    </row>
    <row r="5" spans="1:301" ht="3" customHeight="1">
      <c r="A5" s="753">
        <v>0</v>
      </c>
      <c r="B5" s="610"/>
      <c r="C5" s="610"/>
      <c r="D5" s="610"/>
      <c r="E5" s="610"/>
      <c r="F5" s="610"/>
      <c r="G5" s="610"/>
      <c r="H5" s="610"/>
      <c r="I5" s="610"/>
      <c r="J5" s="610"/>
      <c r="K5" s="610"/>
      <c r="L5" s="610"/>
      <c r="M5" s="610"/>
      <c r="N5" s="610"/>
      <c r="O5" s="610"/>
      <c r="P5" s="610"/>
      <c r="Q5" s="610"/>
      <c r="R5" s="610"/>
      <c r="S5" s="610"/>
      <c r="T5" s="610"/>
      <c r="U5" s="610"/>
      <c r="V5" s="610"/>
      <c r="W5" s="610"/>
      <c r="X5" s="610"/>
      <c r="Y5" s="610"/>
      <c r="Z5" s="610"/>
      <c r="AA5" s="610"/>
      <c r="AB5" s="610"/>
      <c r="AC5" s="75"/>
      <c r="AD5" s="616"/>
      <c r="AE5" s="616"/>
      <c r="AF5" s="616"/>
      <c r="AG5" s="616"/>
      <c r="AH5" s="610"/>
      <c r="AI5" s="751"/>
      <c r="AJ5" s="610"/>
      <c r="AK5" s="610"/>
      <c r="AL5" s="610"/>
      <c r="AM5" s="610"/>
      <c r="AN5" s="610"/>
      <c r="AO5" s="610"/>
      <c r="AP5" s="610"/>
      <c r="AQ5" s="610"/>
      <c r="AR5" s="610"/>
      <c r="AS5" s="610"/>
      <c r="AT5" s="610"/>
      <c r="AU5" s="610"/>
      <c r="AV5" s="610"/>
      <c r="AW5" s="610"/>
      <c r="AX5" s="610"/>
      <c r="AY5" s="610"/>
      <c r="AZ5" s="610"/>
      <c r="BA5" s="610"/>
      <c r="BB5" s="610"/>
      <c r="BC5" s="610"/>
      <c r="BD5" s="610"/>
      <c r="BE5" s="610"/>
      <c r="BF5" s="610"/>
      <c r="BG5" s="610"/>
      <c r="BH5" s="610"/>
      <c r="BI5" s="610"/>
      <c r="BJ5" s="610"/>
      <c r="BK5" s="610"/>
      <c r="BL5" s="610"/>
      <c r="BM5" s="610"/>
      <c r="BN5" s="610"/>
      <c r="BO5" s="610"/>
      <c r="BP5" s="610"/>
      <c r="BQ5" s="610"/>
      <c r="BR5" s="610"/>
      <c r="BS5" s="610"/>
      <c r="BT5" s="610"/>
      <c r="BU5" s="610"/>
      <c r="BV5" s="610"/>
      <c r="BW5" s="610"/>
      <c r="BX5" s="610"/>
      <c r="BY5" s="610"/>
      <c r="BZ5" s="610"/>
      <c r="CA5" s="610"/>
      <c r="CB5" s="610"/>
      <c r="CC5" s="610"/>
      <c r="CD5" s="610"/>
      <c r="CE5" s="610"/>
      <c r="CF5" s="610"/>
      <c r="CG5" s="610"/>
      <c r="CH5" s="610"/>
      <c r="CI5" s="610"/>
      <c r="CJ5" s="610"/>
      <c r="CK5" s="610"/>
      <c r="CL5" s="610"/>
      <c r="CM5" s="610"/>
      <c r="CN5" s="610"/>
      <c r="CO5" s="610"/>
      <c r="CP5" s="610"/>
      <c r="CQ5" s="610"/>
      <c r="CR5" s="610"/>
      <c r="CS5" s="610"/>
      <c r="CT5" s="610"/>
      <c r="CU5" s="610"/>
      <c r="CV5" s="610"/>
      <c r="CW5" s="610"/>
      <c r="CX5" s="610"/>
      <c r="CY5" s="610"/>
      <c r="CZ5" s="610"/>
      <c r="DA5" s="610"/>
      <c r="DB5" s="610"/>
      <c r="DC5" s="610"/>
      <c r="DD5" s="610"/>
      <c r="DE5" s="610"/>
      <c r="DF5" s="610"/>
      <c r="DG5" s="610"/>
      <c r="DH5" s="610"/>
      <c r="DI5" s="610"/>
      <c r="DJ5" s="610"/>
      <c r="DK5" s="610"/>
      <c r="DL5" s="610"/>
      <c r="DM5" s="610"/>
      <c r="DN5" s="610"/>
      <c r="DO5" s="610"/>
      <c r="DP5" s="610"/>
      <c r="DQ5" s="610"/>
      <c r="DR5" s="610"/>
      <c r="DS5" s="610"/>
      <c r="DT5" s="610"/>
      <c r="DU5" s="610"/>
      <c r="DV5" s="610"/>
      <c r="DW5" s="610"/>
      <c r="DX5" s="610"/>
      <c r="DY5" s="610"/>
      <c r="DZ5" s="610"/>
      <c r="EA5" s="610"/>
      <c r="EB5" s="610"/>
      <c r="EC5" s="610"/>
      <c r="ED5" s="610"/>
      <c r="EE5" s="610"/>
      <c r="EF5" s="610"/>
      <c r="EG5" s="610"/>
      <c r="EH5" s="610"/>
      <c r="EI5" s="610"/>
      <c r="EJ5" s="610"/>
      <c r="EK5" s="610"/>
      <c r="EL5" s="610"/>
      <c r="EM5" s="610"/>
      <c r="EN5" s="610"/>
      <c r="EO5" s="610"/>
      <c r="EP5" s="610"/>
      <c r="EQ5" s="610"/>
      <c r="ER5" s="610"/>
      <c r="ES5" s="610"/>
      <c r="ET5" s="610"/>
      <c r="EU5" s="610"/>
      <c r="EV5" s="610"/>
      <c r="EW5" s="610"/>
      <c r="EX5" s="610"/>
      <c r="EY5" s="610"/>
      <c r="EZ5" s="610"/>
      <c r="FA5" s="610"/>
      <c r="FB5" s="610"/>
      <c r="FC5" s="610"/>
      <c r="FD5" s="610"/>
      <c r="FE5" s="610"/>
      <c r="FF5" s="610"/>
      <c r="FG5" s="610"/>
      <c r="FH5" s="610"/>
      <c r="FI5" s="610"/>
      <c r="FJ5" s="610"/>
      <c r="FK5" s="610"/>
      <c r="FL5" s="610"/>
      <c r="FM5" s="610"/>
      <c r="FN5" s="610"/>
      <c r="FO5" s="610"/>
      <c r="FP5" s="610"/>
      <c r="FQ5" s="610"/>
      <c r="FR5" s="610"/>
      <c r="FS5" s="610"/>
      <c r="FT5" s="610"/>
      <c r="FU5" s="610"/>
      <c r="FV5" s="610"/>
      <c r="FW5" s="610"/>
      <c r="FX5" s="610"/>
      <c r="FY5" s="610"/>
      <c r="FZ5" s="610"/>
      <c r="GA5" s="610"/>
      <c r="GB5" s="610"/>
      <c r="GC5" s="610"/>
      <c r="GD5" s="610"/>
      <c r="GE5" s="610"/>
      <c r="GF5" s="610"/>
      <c r="GG5" s="610"/>
      <c r="GH5" s="610"/>
      <c r="GI5" s="610"/>
      <c r="GJ5" s="610"/>
      <c r="GK5" s="610"/>
      <c r="GL5" s="610"/>
      <c r="GM5" s="610"/>
      <c r="GN5" s="610"/>
      <c r="GO5" s="610"/>
      <c r="GP5" s="610"/>
      <c r="GQ5" s="610"/>
      <c r="GR5" s="610"/>
      <c r="GS5" s="610"/>
      <c r="GT5" s="610"/>
      <c r="GU5" s="610"/>
      <c r="GV5" s="610"/>
      <c r="GW5" s="610"/>
      <c r="GX5" s="610"/>
      <c r="GY5" s="610"/>
      <c r="GZ5" s="610"/>
      <c r="HA5" s="610"/>
      <c r="HB5" s="610"/>
      <c r="HC5" s="610"/>
      <c r="HD5" s="610"/>
      <c r="HE5" s="610"/>
      <c r="HF5" s="610"/>
      <c r="HG5" s="610"/>
      <c r="HH5" s="610"/>
      <c r="HI5" s="610"/>
      <c r="HJ5" s="610"/>
      <c r="HK5" s="610"/>
      <c r="HL5" s="610"/>
      <c r="HM5" s="610"/>
      <c r="HN5" s="610"/>
      <c r="HO5" s="610"/>
      <c r="HP5" s="610"/>
      <c r="HQ5" s="610"/>
      <c r="HR5" s="610"/>
      <c r="HS5" s="610"/>
      <c r="HT5" s="610"/>
      <c r="HU5" s="610"/>
      <c r="HV5" s="610"/>
      <c r="HW5" s="610"/>
      <c r="HX5" s="610"/>
      <c r="HY5" s="610"/>
      <c r="HZ5" s="610"/>
      <c r="IA5" s="610"/>
      <c r="IB5" s="610"/>
      <c r="IC5" s="610"/>
      <c r="ID5" s="610"/>
      <c r="IE5" s="610"/>
      <c r="IF5" s="610"/>
      <c r="IG5" s="610"/>
      <c r="IH5" s="610"/>
      <c r="II5" s="610"/>
      <c r="IJ5" s="610"/>
      <c r="IK5" s="610"/>
      <c r="IL5" s="610"/>
      <c r="IM5" s="610"/>
      <c r="IN5" s="610"/>
      <c r="IO5" s="610"/>
      <c r="IP5" s="610"/>
      <c r="IQ5" s="610"/>
      <c r="IR5" s="610"/>
      <c r="IS5" s="610"/>
      <c r="IT5" s="610"/>
      <c r="IU5" s="610"/>
      <c r="IV5" s="610"/>
      <c r="IW5" s="610"/>
      <c r="IX5" s="610"/>
      <c r="IY5" s="610"/>
      <c r="IZ5" s="610"/>
      <c r="JA5" s="610"/>
      <c r="JB5" s="610"/>
      <c r="JC5" s="610"/>
      <c r="JD5" s="610"/>
      <c r="JE5" s="610"/>
      <c r="JF5" s="610"/>
      <c r="JG5" s="610"/>
      <c r="JH5" s="610"/>
      <c r="JI5" s="610"/>
      <c r="JJ5" s="610"/>
      <c r="JK5" s="610"/>
      <c r="JL5" s="610"/>
      <c r="JM5" s="610"/>
      <c r="JN5" s="610"/>
      <c r="JO5" s="610"/>
      <c r="JP5" s="610"/>
      <c r="JQ5" s="610"/>
      <c r="JR5" s="610"/>
      <c r="JS5" s="610"/>
      <c r="JT5" s="610"/>
      <c r="JU5" s="610"/>
      <c r="JV5" s="610"/>
      <c r="JW5" s="610"/>
      <c r="JX5" s="610"/>
      <c r="JY5" s="610"/>
      <c r="JZ5" s="610"/>
      <c r="KA5" s="610"/>
      <c r="KB5" s="610"/>
      <c r="KC5" s="610"/>
      <c r="KD5" s="610"/>
      <c r="KE5" s="610"/>
      <c r="KF5" s="610"/>
      <c r="KG5" s="610"/>
      <c r="KH5" s="610"/>
      <c r="KI5" s="610"/>
      <c r="KJ5" s="610"/>
      <c r="KK5" s="610"/>
      <c r="KL5" s="610"/>
      <c r="KM5" s="610"/>
      <c r="KN5" s="610"/>
      <c r="KO5" s="735"/>
    </row>
    <row r="6" spans="1:301" ht="3" customHeight="1">
      <c r="A6" s="750"/>
      <c r="B6" s="610"/>
      <c r="C6" s="610"/>
      <c r="D6" s="610"/>
      <c r="E6" s="610"/>
      <c r="F6" s="610"/>
      <c r="G6" s="610"/>
      <c r="H6" s="610"/>
      <c r="I6" s="610"/>
      <c r="J6" s="610"/>
      <c r="K6" s="610"/>
      <c r="L6" s="610"/>
      <c r="M6" s="610"/>
      <c r="N6" s="610"/>
      <c r="O6" s="610"/>
      <c r="P6" s="610"/>
      <c r="Q6" s="610"/>
      <c r="R6" s="610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75"/>
      <c r="AD6" s="616"/>
      <c r="AE6" s="616"/>
      <c r="AF6" s="616"/>
      <c r="AG6" s="616"/>
      <c r="AH6" s="610"/>
      <c r="AI6" s="751"/>
      <c r="AJ6" s="610"/>
      <c r="AK6" s="610"/>
      <c r="AL6" s="610"/>
      <c r="AM6" s="610"/>
      <c r="AN6" s="610"/>
      <c r="AO6" s="610"/>
      <c r="AP6" s="610"/>
      <c r="AQ6" s="610"/>
      <c r="AR6" s="610"/>
      <c r="AS6" s="610"/>
      <c r="AT6" s="610"/>
      <c r="AU6" s="610"/>
      <c r="AV6" s="610"/>
      <c r="AW6" s="610"/>
      <c r="AX6" s="610"/>
      <c r="AY6" s="610"/>
      <c r="AZ6" s="610"/>
      <c r="BA6" s="610"/>
      <c r="BB6" s="610"/>
      <c r="BC6" s="610"/>
      <c r="BD6" s="610"/>
      <c r="BE6" s="610"/>
      <c r="BF6" s="610"/>
      <c r="BG6" s="610"/>
      <c r="BH6" s="610"/>
      <c r="BI6" s="610"/>
      <c r="BJ6" s="610"/>
      <c r="BK6" s="610"/>
      <c r="BL6" s="610"/>
      <c r="BM6" s="610"/>
      <c r="BN6" s="610"/>
      <c r="BO6" s="610"/>
      <c r="BP6" s="610"/>
      <c r="BQ6" s="610"/>
      <c r="BR6" s="610"/>
      <c r="BS6" s="610"/>
      <c r="BT6" s="610"/>
      <c r="BU6" s="610"/>
      <c r="BV6" s="610"/>
      <c r="BW6" s="610"/>
      <c r="BX6" s="610"/>
      <c r="BY6" s="610"/>
      <c r="BZ6" s="610"/>
      <c r="CA6" s="610"/>
      <c r="CB6" s="610"/>
      <c r="CC6" s="610"/>
      <c r="CD6" s="610"/>
      <c r="CE6" s="610"/>
      <c r="CF6" s="610"/>
      <c r="CG6" s="610"/>
      <c r="CH6" s="610"/>
      <c r="CI6" s="610"/>
      <c r="CJ6" s="610"/>
      <c r="CK6" s="610"/>
      <c r="CL6" s="610"/>
      <c r="CM6" s="610"/>
      <c r="CN6" s="610"/>
      <c r="CO6" s="610"/>
      <c r="CP6" s="610"/>
      <c r="CQ6" s="610"/>
      <c r="CR6" s="610"/>
      <c r="CS6" s="610"/>
      <c r="CT6" s="610"/>
      <c r="CU6" s="610"/>
      <c r="CV6" s="610"/>
      <c r="CW6" s="610"/>
      <c r="CX6" s="610"/>
      <c r="CY6" s="610"/>
      <c r="CZ6" s="610"/>
      <c r="DA6" s="610"/>
      <c r="DB6" s="610"/>
      <c r="DC6" s="610"/>
      <c r="DD6" s="610"/>
      <c r="DE6" s="610"/>
      <c r="DF6" s="610"/>
      <c r="DG6" s="610"/>
      <c r="DH6" s="610"/>
      <c r="DI6" s="610"/>
      <c r="DJ6" s="610"/>
      <c r="DK6" s="610"/>
      <c r="DL6" s="610"/>
      <c r="DM6" s="610"/>
      <c r="DN6" s="610"/>
      <c r="DO6" s="610"/>
      <c r="DP6" s="610"/>
      <c r="DQ6" s="610"/>
      <c r="DR6" s="610"/>
      <c r="DS6" s="610"/>
      <c r="DT6" s="610"/>
      <c r="DU6" s="610"/>
      <c r="DV6" s="610"/>
      <c r="DW6" s="610"/>
      <c r="DX6" s="610"/>
      <c r="DY6" s="610"/>
      <c r="DZ6" s="610"/>
      <c r="EA6" s="610"/>
      <c r="EB6" s="610"/>
      <c r="EC6" s="610"/>
      <c r="ED6" s="610"/>
      <c r="EE6" s="610"/>
      <c r="EF6" s="610"/>
      <c r="EG6" s="610"/>
      <c r="EH6" s="610"/>
      <c r="EI6" s="610"/>
      <c r="EJ6" s="610"/>
      <c r="EK6" s="610"/>
      <c r="EL6" s="610"/>
      <c r="EM6" s="610"/>
      <c r="EN6" s="610"/>
      <c r="EO6" s="610"/>
      <c r="EP6" s="610"/>
      <c r="EQ6" s="610"/>
      <c r="ER6" s="610"/>
      <c r="ES6" s="610"/>
      <c r="ET6" s="610"/>
      <c r="EU6" s="610"/>
      <c r="EV6" s="610"/>
      <c r="EW6" s="610"/>
      <c r="EX6" s="610"/>
      <c r="EY6" s="610"/>
      <c r="EZ6" s="610"/>
      <c r="FA6" s="610"/>
      <c r="FB6" s="610"/>
      <c r="FC6" s="610"/>
      <c r="FD6" s="610"/>
      <c r="FE6" s="610"/>
      <c r="FF6" s="610"/>
      <c r="FG6" s="610"/>
      <c r="FH6" s="610"/>
      <c r="FI6" s="610"/>
      <c r="FJ6" s="610"/>
      <c r="FK6" s="610"/>
      <c r="FL6" s="610"/>
      <c r="FM6" s="610"/>
      <c r="FN6" s="610"/>
      <c r="FO6" s="610"/>
      <c r="FP6" s="610"/>
      <c r="FQ6" s="610"/>
      <c r="FR6" s="610"/>
      <c r="FS6" s="610"/>
      <c r="FT6" s="610"/>
      <c r="FU6" s="610"/>
      <c r="FV6" s="610"/>
      <c r="FW6" s="610"/>
      <c r="FX6" s="610"/>
      <c r="FY6" s="610"/>
      <c r="FZ6" s="610"/>
      <c r="GA6" s="610"/>
      <c r="GB6" s="610"/>
      <c r="GC6" s="610"/>
      <c r="GD6" s="610"/>
      <c r="GE6" s="610"/>
      <c r="GF6" s="610"/>
      <c r="GG6" s="610"/>
      <c r="GH6" s="610"/>
      <c r="GI6" s="610"/>
      <c r="GJ6" s="610"/>
      <c r="GK6" s="610"/>
      <c r="GL6" s="610"/>
      <c r="GM6" s="610"/>
      <c r="GN6" s="610"/>
      <c r="GO6" s="610"/>
      <c r="GP6" s="610"/>
      <c r="GQ6" s="610"/>
      <c r="GR6" s="610"/>
      <c r="GS6" s="610"/>
      <c r="GT6" s="610"/>
      <c r="GU6" s="610"/>
      <c r="GV6" s="610"/>
      <c r="GW6" s="610"/>
      <c r="GX6" s="610"/>
      <c r="GY6" s="610"/>
      <c r="GZ6" s="610"/>
      <c r="HA6" s="610"/>
      <c r="HB6" s="610"/>
      <c r="HC6" s="610"/>
      <c r="HD6" s="610"/>
      <c r="HE6" s="610"/>
      <c r="HF6" s="610"/>
      <c r="HG6" s="610"/>
      <c r="HH6" s="610"/>
      <c r="HI6" s="610"/>
      <c r="HJ6" s="610"/>
      <c r="HK6" s="610"/>
      <c r="HL6" s="610"/>
      <c r="HM6" s="610"/>
      <c r="HN6" s="610"/>
      <c r="HO6" s="610"/>
      <c r="HP6" s="610"/>
      <c r="HQ6" s="610"/>
      <c r="HR6" s="610"/>
      <c r="HS6" s="610"/>
      <c r="HT6" s="610"/>
      <c r="HU6" s="610"/>
      <c r="HV6" s="610"/>
      <c r="HW6" s="610"/>
      <c r="HX6" s="610"/>
      <c r="HY6" s="610"/>
      <c r="HZ6" s="610"/>
      <c r="IA6" s="610"/>
      <c r="IB6" s="610"/>
      <c r="IC6" s="610"/>
      <c r="ID6" s="610"/>
      <c r="IE6" s="610"/>
      <c r="IF6" s="610"/>
      <c r="IG6" s="610"/>
      <c r="IH6" s="610"/>
      <c r="II6" s="610"/>
      <c r="IJ6" s="610"/>
      <c r="IK6" s="610"/>
      <c r="IL6" s="610"/>
      <c r="IM6" s="610"/>
      <c r="IN6" s="610"/>
      <c r="IO6" s="610"/>
      <c r="IP6" s="610"/>
      <c r="IQ6" s="610"/>
      <c r="IR6" s="610"/>
      <c r="IS6" s="610"/>
      <c r="IT6" s="610"/>
      <c r="IU6" s="610"/>
      <c r="IV6" s="610"/>
      <c r="IW6" s="610"/>
      <c r="IX6" s="610"/>
      <c r="IY6" s="610"/>
      <c r="IZ6" s="610"/>
      <c r="JA6" s="610"/>
      <c r="JB6" s="610"/>
      <c r="JC6" s="610"/>
      <c r="JD6" s="610"/>
      <c r="JE6" s="610"/>
      <c r="JF6" s="610"/>
      <c r="JG6" s="610"/>
      <c r="JH6" s="610"/>
      <c r="JI6" s="610"/>
      <c r="JJ6" s="610"/>
      <c r="JK6" s="610"/>
      <c r="JL6" s="610"/>
      <c r="JM6" s="610"/>
      <c r="JN6" s="610"/>
      <c r="JO6" s="610"/>
      <c r="JP6" s="610"/>
      <c r="JQ6" s="610"/>
      <c r="JR6" s="610"/>
      <c r="JS6" s="610"/>
      <c r="JT6" s="610"/>
      <c r="JU6" s="610"/>
      <c r="JV6" s="610"/>
      <c r="JW6" s="610"/>
      <c r="JX6" s="610"/>
      <c r="JY6" s="610"/>
      <c r="JZ6" s="610"/>
      <c r="KA6" s="610"/>
      <c r="KB6" s="610"/>
      <c r="KC6" s="610"/>
      <c r="KD6" s="610"/>
      <c r="KE6" s="610"/>
      <c r="KF6" s="610"/>
      <c r="KG6" s="610"/>
      <c r="KH6" s="610"/>
      <c r="KI6" s="610"/>
      <c r="KJ6" s="610"/>
      <c r="KK6" s="610"/>
      <c r="KL6" s="610"/>
      <c r="KM6" s="610"/>
      <c r="KN6" s="610"/>
      <c r="KO6" s="735"/>
    </row>
    <row r="7" spans="1:301" ht="3" customHeight="1">
      <c r="A7" s="750"/>
      <c r="B7" s="610"/>
      <c r="C7" s="610"/>
      <c r="D7" s="610"/>
      <c r="E7" s="610"/>
      <c r="F7" s="610"/>
      <c r="G7" s="610"/>
      <c r="H7" s="610"/>
      <c r="I7" s="610"/>
      <c r="J7" s="610"/>
      <c r="K7" s="610"/>
      <c r="L7" s="610"/>
      <c r="M7" s="610"/>
      <c r="N7" s="610"/>
      <c r="O7" s="610"/>
      <c r="P7" s="610"/>
      <c r="Q7" s="610"/>
      <c r="R7" s="610"/>
      <c r="S7" s="610"/>
      <c r="T7" s="610"/>
      <c r="U7" s="610"/>
      <c r="V7" s="610"/>
      <c r="W7" s="610"/>
      <c r="X7" s="610"/>
      <c r="Y7" s="610"/>
      <c r="Z7" s="610"/>
      <c r="AA7" s="610"/>
      <c r="AB7" s="610"/>
      <c r="AC7" s="75"/>
      <c r="AD7" s="616"/>
      <c r="AE7" s="616"/>
      <c r="AF7" s="616"/>
      <c r="AG7" s="616"/>
      <c r="AH7" s="610"/>
      <c r="AI7" s="751"/>
      <c r="AJ7" s="610"/>
      <c r="AK7" s="610"/>
      <c r="AL7" s="610"/>
      <c r="AM7" s="610"/>
      <c r="AN7" s="610"/>
      <c r="AO7" s="610"/>
      <c r="AP7" s="610"/>
      <c r="AQ7" s="610"/>
      <c r="AR7" s="610"/>
      <c r="AS7" s="610"/>
      <c r="AT7" s="610"/>
      <c r="AU7" s="610"/>
      <c r="AV7" s="610"/>
      <c r="AW7" s="610"/>
      <c r="AX7" s="610"/>
      <c r="AY7" s="610"/>
      <c r="AZ7" s="610"/>
      <c r="BA7" s="610"/>
      <c r="BB7" s="610"/>
      <c r="BC7" s="610"/>
      <c r="BD7" s="610"/>
      <c r="BE7" s="610"/>
      <c r="BF7" s="610"/>
      <c r="BG7" s="610"/>
      <c r="BH7" s="610"/>
      <c r="BI7" s="610"/>
      <c r="BJ7" s="610"/>
      <c r="BK7" s="610"/>
      <c r="BL7" s="610"/>
      <c r="BM7" s="610"/>
      <c r="BN7" s="610"/>
      <c r="BO7" s="610"/>
      <c r="BP7" s="610"/>
      <c r="BQ7" s="610"/>
      <c r="BR7" s="610"/>
      <c r="BS7" s="610"/>
      <c r="BT7" s="610"/>
      <c r="BU7" s="610"/>
      <c r="BV7" s="610"/>
      <c r="BW7" s="610"/>
      <c r="BX7" s="610"/>
      <c r="BY7" s="610"/>
      <c r="BZ7" s="610"/>
      <c r="CA7" s="610"/>
      <c r="CB7" s="610"/>
      <c r="CC7" s="610"/>
      <c r="CD7" s="610"/>
      <c r="CE7" s="610"/>
      <c r="CF7" s="610"/>
      <c r="CG7" s="610"/>
      <c r="CH7" s="610"/>
      <c r="CI7" s="610"/>
      <c r="CJ7" s="610"/>
      <c r="CK7" s="610"/>
      <c r="CL7" s="610"/>
      <c r="CM7" s="610"/>
      <c r="CN7" s="610"/>
      <c r="CO7" s="610"/>
      <c r="CP7" s="610"/>
      <c r="CQ7" s="610"/>
      <c r="CR7" s="610"/>
      <c r="CS7" s="610"/>
      <c r="CT7" s="610"/>
      <c r="CU7" s="610"/>
      <c r="CV7" s="610"/>
      <c r="CW7" s="610"/>
      <c r="CX7" s="610"/>
      <c r="CY7" s="610"/>
      <c r="CZ7" s="610"/>
      <c r="DA7" s="610"/>
      <c r="DB7" s="610"/>
      <c r="DC7" s="610"/>
      <c r="DD7" s="610"/>
      <c r="DE7" s="610"/>
      <c r="DF7" s="610"/>
      <c r="DG7" s="610"/>
      <c r="DH7" s="610"/>
      <c r="DI7" s="610"/>
      <c r="DJ7" s="610"/>
      <c r="DK7" s="610"/>
      <c r="DL7" s="610"/>
      <c r="DM7" s="610"/>
      <c r="DN7" s="610"/>
      <c r="DO7" s="610"/>
      <c r="DP7" s="610"/>
      <c r="DQ7" s="610"/>
      <c r="DR7" s="610"/>
      <c r="DS7" s="610"/>
      <c r="DT7" s="610"/>
      <c r="DU7" s="610"/>
      <c r="DV7" s="610"/>
      <c r="DW7" s="610"/>
      <c r="DX7" s="610"/>
      <c r="DY7" s="610"/>
      <c r="DZ7" s="610"/>
      <c r="EA7" s="610"/>
      <c r="EB7" s="610"/>
      <c r="EC7" s="610"/>
      <c r="ED7" s="610"/>
      <c r="EE7" s="610"/>
      <c r="EF7" s="610"/>
      <c r="EG7" s="610"/>
      <c r="EH7" s="610"/>
      <c r="EI7" s="610"/>
      <c r="EJ7" s="610"/>
      <c r="EK7" s="610"/>
      <c r="EL7" s="610"/>
      <c r="EM7" s="610"/>
      <c r="EN7" s="610"/>
      <c r="EO7" s="610"/>
      <c r="EP7" s="610"/>
      <c r="EQ7" s="610"/>
      <c r="ER7" s="610"/>
      <c r="ES7" s="610"/>
      <c r="ET7" s="610"/>
      <c r="EU7" s="610"/>
      <c r="EV7" s="610"/>
      <c r="EW7" s="610"/>
      <c r="EX7" s="610"/>
      <c r="EY7" s="610"/>
      <c r="EZ7" s="610"/>
      <c r="FA7" s="610"/>
      <c r="FB7" s="610"/>
      <c r="FC7" s="610"/>
      <c r="FD7" s="610"/>
      <c r="FE7" s="610"/>
      <c r="FF7" s="610"/>
      <c r="FG7" s="610"/>
      <c r="FH7" s="610"/>
      <c r="FI7" s="610"/>
      <c r="FJ7" s="610"/>
      <c r="FK7" s="610"/>
      <c r="FL7" s="610"/>
      <c r="FM7" s="610"/>
      <c r="FN7" s="610"/>
      <c r="FO7" s="610"/>
      <c r="FP7" s="610"/>
      <c r="FQ7" s="610"/>
      <c r="FR7" s="610"/>
      <c r="FS7" s="610"/>
      <c r="FT7" s="610"/>
      <c r="FU7" s="610"/>
      <c r="FV7" s="610"/>
      <c r="FW7" s="610"/>
      <c r="FX7" s="610"/>
      <c r="FY7" s="610"/>
      <c r="FZ7" s="610"/>
      <c r="GA7" s="610"/>
      <c r="GB7" s="610"/>
      <c r="GC7" s="610"/>
      <c r="GD7" s="610"/>
      <c r="GE7" s="610"/>
      <c r="GF7" s="610"/>
      <c r="GG7" s="610"/>
      <c r="GH7" s="610"/>
      <c r="GI7" s="610"/>
      <c r="GJ7" s="610"/>
      <c r="GK7" s="610"/>
      <c r="GL7" s="610"/>
      <c r="GM7" s="610"/>
      <c r="GN7" s="610"/>
      <c r="GO7" s="610"/>
      <c r="GP7" s="610"/>
      <c r="GQ7" s="610"/>
      <c r="GR7" s="610"/>
      <c r="GS7" s="610"/>
      <c r="GT7" s="610"/>
      <c r="GU7" s="610"/>
      <c r="GV7" s="610"/>
      <c r="GW7" s="610"/>
      <c r="GX7" s="610"/>
      <c r="GY7" s="610"/>
      <c r="GZ7" s="610"/>
      <c r="HA7" s="610"/>
      <c r="HB7" s="610"/>
      <c r="HC7" s="610"/>
      <c r="HD7" s="610"/>
      <c r="HE7" s="610"/>
      <c r="HF7" s="610"/>
      <c r="HG7" s="610"/>
      <c r="HH7" s="610"/>
      <c r="HI7" s="610"/>
      <c r="HJ7" s="610"/>
      <c r="HK7" s="610"/>
      <c r="HL7" s="610"/>
      <c r="HM7" s="610"/>
      <c r="HN7" s="610"/>
      <c r="HO7" s="610"/>
      <c r="HP7" s="610"/>
      <c r="HQ7" s="610"/>
      <c r="HR7" s="610"/>
      <c r="HS7" s="610"/>
      <c r="HT7" s="610"/>
      <c r="HU7" s="610"/>
      <c r="HV7" s="610"/>
      <c r="HW7" s="610"/>
      <c r="HX7" s="610"/>
      <c r="HY7" s="610"/>
      <c r="HZ7" s="610"/>
      <c r="IA7" s="610"/>
      <c r="IB7" s="610"/>
      <c r="IC7" s="610"/>
      <c r="ID7" s="610"/>
      <c r="IE7" s="610"/>
      <c r="IF7" s="610"/>
      <c r="IG7" s="610"/>
      <c r="IH7" s="610"/>
      <c r="II7" s="610"/>
      <c r="IJ7" s="610"/>
      <c r="IK7" s="610"/>
      <c r="IL7" s="610"/>
      <c r="IM7" s="610"/>
      <c r="IN7" s="610"/>
      <c r="IO7" s="610"/>
      <c r="IP7" s="610"/>
      <c r="IQ7" s="610"/>
      <c r="IR7" s="610"/>
      <c r="IS7" s="610"/>
      <c r="IT7" s="610"/>
      <c r="IU7" s="610"/>
      <c r="IV7" s="610"/>
      <c r="IW7" s="610"/>
      <c r="IX7" s="610"/>
      <c r="IY7" s="610"/>
      <c r="IZ7" s="610"/>
      <c r="JA7" s="610"/>
      <c r="JB7" s="610"/>
      <c r="JC7" s="610"/>
      <c r="JD7" s="610"/>
      <c r="JE7" s="610"/>
      <c r="JF7" s="610"/>
      <c r="JG7" s="610"/>
      <c r="JH7" s="610"/>
      <c r="JI7" s="610"/>
      <c r="JJ7" s="610"/>
      <c r="JK7" s="610"/>
      <c r="JL7" s="610"/>
      <c r="JM7" s="610"/>
      <c r="JN7" s="610"/>
      <c r="JO7" s="610"/>
      <c r="JP7" s="610"/>
      <c r="JQ7" s="610"/>
      <c r="JR7" s="610"/>
      <c r="JS7" s="610"/>
      <c r="JT7" s="610"/>
      <c r="JU7" s="610"/>
      <c r="JV7" s="610"/>
      <c r="JW7" s="610"/>
      <c r="JX7" s="610"/>
      <c r="JY7" s="610"/>
      <c r="JZ7" s="610"/>
      <c r="KA7" s="610"/>
      <c r="KB7" s="610"/>
      <c r="KC7" s="610"/>
      <c r="KD7" s="610"/>
      <c r="KE7" s="610"/>
      <c r="KF7" s="610"/>
      <c r="KG7" s="610"/>
      <c r="KH7" s="610"/>
      <c r="KI7" s="610"/>
      <c r="KJ7" s="610"/>
      <c r="KK7" s="610"/>
      <c r="KL7" s="610"/>
      <c r="KM7" s="610"/>
      <c r="KN7" s="610"/>
      <c r="KO7" s="735"/>
    </row>
    <row r="8" spans="1:301" ht="3" customHeight="1">
      <c r="A8" s="750"/>
      <c r="B8" s="610"/>
      <c r="C8" s="610"/>
      <c r="D8" s="610"/>
      <c r="E8" s="610"/>
      <c r="F8" s="610"/>
      <c r="G8" s="610"/>
      <c r="H8" s="610"/>
      <c r="I8" s="610"/>
      <c r="J8" s="610"/>
      <c r="K8" s="610"/>
      <c r="L8" s="610"/>
      <c r="M8" s="610"/>
      <c r="N8" s="610"/>
      <c r="O8" s="610"/>
      <c r="P8" s="610"/>
      <c r="Q8" s="610"/>
      <c r="R8" s="610"/>
      <c r="S8" s="610"/>
      <c r="T8" s="610"/>
      <c r="U8" s="610"/>
      <c r="V8" s="610"/>
      <c r="W8" s="610"/>
      <c r="X8" s="610"/>
      <c r="Y8" s="610"/>
      <c r="Z8" s="610"/>
      <c r="AA8" s="610"/>
      <c r="AB8" s="610"/>
      <c r="AC8" s="75"/>
      <c r="AD8" s="616"/>
      <c r="AE8" s="616"/>
      <c r="AF8" s="616"/>
      <c r="AG8" s="616"/>
      <c r="AH8" s="610"/>
      <c r="AI8" s="751"/>
      <c r="AJ8" s="610"/>
      <c r="AK8" s="610"/>
      <c r="AL8" s="610"/>
      <c r="AM8" s="610"/>
      <c r="AN8" s="610"/>
      <c r="AO8" s="610"/>
      <c r="AP8" s="610"/>
      <c r="AQ8" s="610"/>
      <c r="AR8" s="610"/>
      <c r="AS8" s="610"/>
      <c r="AT8" s="610"/>
      <c r="AU8" s="610"/>
      <c r="AV8" s="610"/>
      <c r="AW8" s="610"/>
      <c r="AX8" s="610"/>
      <c r="AY8" s="610"/>
      <c r="AZ8" s="610"/>
      <c r="BA8" s="610"/>
      <c r="BB8" s="610"/>
      <c r="BC8" s="610"/>
      <c r="BD8" s="610"/>
      <c r="BE8" s="610"/>
      <c r="BF8" s="610"/>
      <c r="BG8" s="610"/>
      <c r="BH8" s="610"/>
      <c r="BI8" s="610"/>
      <c r="BJ8" s="610"/>
      <c r="BK8" s="610"/>
      <c r="BL8" s="610"/>
      <c r="BM8" s="610"/>
      <c r="BN8" s="610"/>
      <c r="BO8" s="610"/>
      <c r="BP8" s="610"/>
      <c r="BQ8" s="610"/>
      <c r="BR8" s="610"/>
      <c r="BS8" s="610"/>
      <c r="BT8" s="610"/>
      <c r="BU8" s="610"/>
      <c r="BV8" s="610"/>
      <c r="BW8" s="610"/>
      <c r="BX8" s="610"/>
      <c r="BY8" s="610"/>
      <c r="BZ8" s="610"/>
      <c r="CA8" s="610"/>
      <c r="CB8" s="610"/>
      <c r="CC8" s="610"/>
      <c r="CD8" s="610"/>
      <c r="CE8" s="610"/>
      <c r="CF8" s="610"/>
      <c r="CG8" s="610"/>
      <c r="CH8" s="610"/>
      <c r="CI8" s="610"/>
      <c r="CJ8" s="610"/>
      <c r="CK8" s="610"/>
      <c r="CL8" s="610"/>
      <c r="CM8" s="610"/>
      <c r="CN8" s="610"/>
      <c r="CO8" s="610"/>
      <c r="CP8" s="610"/>
      <c r="CQ8" s="610"/>
      <c r="CR8" s="610"/>
      <c r="CS8" s="610"/>
      <c r="CT8" s="610"/>
      <c r="CU8" s="610"/>
      <c r="CV8" s="610"/>
      <c r="CW8" s="610"/>
      <c r="CX8" s="610"/>
      <c r="CY8" s="610"/>
      <c r="CZ8" s="610"/>
      <c r="DA8" s="610"/>
      <c r="DB8" s="610"/>
      <c r="DC8" s="610"/>
      <c r="DD8" s="610"/>
      <c r="DE8" s="610"/>
      <c r="DF8" s="610"/>
      <c r="DG8" s="610"/>
      <c r="DH8" s="610"/>
      <c r="DI8" s="610"/>
      <c r="DJ8" s="610"/>
      <c r="DK8" s="610"/>
      <c r="DL8" s="610"/>
      <c r="DM8" s="610"/>
      <c r="DN8" s="610"/>
      <c r="DO8" s="610"/>
      <c r="DP8" s="610"/>
      <c r="DQ8" s="610"/>
      <c r="DR8" s="610"/>
      <c r="DS8" s="610"/>
      <c r="DT8" s="610"/>
      <c r="DU8" s="610"/>
      <c r="DV8" s="610"/>
      <c r="DW8" s="610"/>
      <c r="DX8" s="610"/>
      <c r="DY8" s="610"/>
      <c r="DZ8" s="610"/>
      <c r="EA8" s="610"/>
      <c r="EB8" s="610"/>
      <c r="EC8" s="610"/>
      <c r="ED8" s="610"/>
      <c r="EE8" s="610"/>
      <c r="EF8" s="610"/>
      <c r="EG8" s="610"/>
      <c r="EH8" s="610"/>
      <c r="EI8" s="610"/>
      <c r="EJ8" s="610"/>
      <c r="EK8" s="610"/>
      <c r="EL8" s="610"/>
      <c r="EM8" s="610"/>
      <c r="EN8" s="610"/>
      <c r="EO8" s="610"/>
      <c r="EP8" s="610"/>
      <c r="EQ8" s="610"/>
      <c r="ER8" s="610"/>
      <c r="ES8" s="610"/>
      <c r="ET8" s="610"/>
      <c r="EU8" s="610"/>
      <c r="EV8" s="610"/>
      <c r="EW8" s="610"/>
      <c r="EX8" s="610"/>
      <c r="EY8" s="610"/>
      <c r="EZ8" s="610"/>
      <c r="FA8" s="610"/>
      <c r="FB8" s="610"/>
      <c r="FC8" s="610"/>
      <c r="FD8" s="610"/>
      <c r="FE8" s="610"/>
      <c r="FF8" s="610"/>
      <c r="FG8" s="610"/>
      <c r="FH8" s="610"/>
      <c r="FI8" s="610"/>
      <c r="FJ8" s="610"/>
      <c r="FK8" s="610"/>
      <c r="FL8" s="610"/>
      <c r="FM8" s="610"/>
      <c r="FN8" s="610"/>
      <c r="FO8" s="610"/>
      <c r="FP8" s="610"/>
      <c r="FQ8" s="610"/>
      <c r="FR8" s="610"/>
      <c r="FS8" s="610"/>
      <c r="FT8" s="610"/>
      <c r="FU8" s="610"/>
      <c r="FV8" s="610"/>
      <c r="FW8" s="610"/>
      <c r="FX8" s="610"/>
      <c r="FY8" s="610"/>
      <c r="FZ8" s="610"/>
      <c r="GA8" s="610"/>
      <c r="GB8" s="610"/>
      <c r="GC8" s="610"/>
      <c r="GD8" s="610"/>
      <c r="GE8" s="610"/>
      <c r="GF8" s="610"/>
      <c r="GG8" s="610"/>
      <c r="GH8" s="610"/>
      <c r="GI8" s="610"/>
      <c r="GJ8" s="610"/>
      <c r="GK8" s="610"/>
      <c r="GL8" s="610"/>
      <c r="GM8" s="610"/>
      <c r="GN8" s="610"/>
      <c r="GO8" s="610"/>
      <c r="GP8" s="610"/>
      <c r="GQ8" s="610"/>
      <c r="GR8" s="610"/>
      <c r="GS8" s="610"/>
      <c r="GT8" s="610"/>
      <c r="GU8" s="610"/>
      <c r="GV8" s="610"/>
      <c r="GW8" s="610"/>
      <c r="GX8" s="610"/>
      <c r="GY8" s="610"/>
      <c r="GZ8" s="610"/>
      <c r="HA8" s="610"/>
      <c r="HB8" s="610"/>
      <c r="HC8" s="610"/>
      <c r="HD8" s="610"/>
      <c r="HE8" s="610"/>
      <c r="HF8" s="610"/>
      <c r="HG8" s="610"/>
      <c r="HH8" s="610"/>
      <c r="HI8" s="610"/>
      <c r="HJ8" s="610"/>
      <c r="HK8" s="610"/>
      <c r="HL8" s="610"/>
      <c r="HM8" s="610"/>
      <c r="HN8" s="610"/>
      <c r="HO8" s="610"/>
      <c r="HP8" s="610"/>
      <c r="HQ8" s="610"/>
      <c r="HR8" s="610"/>
      <c r="HS8" s="610"/>
      <c r="HT8" s="610"/>
      <c r="HU8" s="610"/>
      <c r="HV8" s="610"/>
      <c r="HW8" s="610"/>
      <c r="HX8" s="610"/>
      <c r="HY8" s="610"/>
      <c r="HZ8" s="610"/>
      <c r="IA8" s="610"/>
      <c r="IB8" s="610"/>
      <c r="IC8" s="610"/>
      <c r="ID8" s="610"/>
      <c r="IE8" s="610"/>
      <c r="IF8" s="610"/>
      <c r="IG8" s="610"/>
      <c r="IH8" s="610"/>
      <c r="II8" s="610"/>
      <c r="IJ8" s="610"/>
      <c r="IK8" s="610"/>
      <c r="IL8" s="610"/>
      <c r="IM8" s="610"/>
      <c r="IN8" s="610"/>
      <c r="IO8" s="610"/>
      <c r="IP8" s="610"/>
      <c r="IQ8" s="610"/>
      <c r="IR8" s="610"/>
      <c r="IS8" s="610"/>
      <c r="IT8" s="610"/>
      <c r="IU8" s="610"/>
      <c r="IV8" s="610"/>
      <c r="IW8" s="610"/>
      <c r="IX8" s="610"/>
      <c r="IY8" s="610"/>
      <c r="IZ8" s="610"/>
      <c r="JA8" s="610"/>
      <c r="JB8" s="610"/>
      <c r="JC8" s="610"/>
      <c r="JD8" s="610"/>
      <c r="JE8" s="610"/>
      <c r="JF8" s="610"/>
      <c r="JG8" s="610"/>
      <c r="JH8" s="610"/>
      <c r="JI8" s="610"/>
      <c r="JJ8" s="610"/>
      <c r="JK8" s="610"/>
      <c r="JL8" s="610"/>
      <c r="JM8" s="610"/>
      <c r="JN8" s="610"/>
      <c r="JO8" s="610"/>
      <c r="JP8" s="610"/>
      <c r="JQ8" s="610"/>
      <c r="JR8" s="610"/>
      <c r="JS8" s="610"/>
      <c r="JT8" s="610"/>
      <c r="JU8" s="610"/>
      <c r="JV8" s="610"/>
      <c r="JW8" s="610"/>
      <c r="JX8" s="610"/>
      <c r="JY8" s="610"/>
      <c r="JZ8" s="610"/>
      <c r="KA8" s="610"/>
      <c r="KB8" s="610"/>
      <c r="KC8" s="610"/>
      <c r="KD8" s="610"/>
      <c r="KE8" s="610"/>
      <c r="KF8" s="610"/>
      <c r="KG8" s="610"/>
      <c r="KH8" s="610"/>
      <c r="KI8" s="610"/>
      <c r="KJ8" s="610"/>
      <c r="KK8" s="610"/>
      <c r="KL8" s="610"/>
      <c r="KM8" s="610"/>
      <c r="KN8" s="610"/>
      <c r="KO8" s="735"/>
    </row>
    <row r="9" spans="1:301" ht="3" customHeight="1">
      <c r="A9" s="750"/>
      <c r="B9" s="610"/>
      <c r="C9" s="610"/>
      <c r="D9" s="610"/>
      <c r="E9" s="610"/>
      <c r="F9" s="610"/>
      <c r="G9" s="610"/>
      <c r="H9" s="610"/>
      <c r="I9" s="610"/>
      <c r="J9" s="610"/>
      <c r="K9" s="610"/>
      <c r="L9" s="610"/>
      <c r="M9" s="610"/>
      <c r="N9" s="610"/>
      <c r="O9" s="610"/>
      <c r="P9" s="610"/>
      <c r="Q9" s="610"/>
      <c r="R9" s="610"/>
      <c r="S9" s="610"/>
      <c r="T9" s="610"/>
      <c r="U9" s="610"/>
      <c r="V9" s="610"/>
      <c r="W9" s="610"/>
      <c r="X9" s="610"/>
      <c r="Y9" s="610"/>
      <c r="Z9" s="610"/>
      <c r="AA9" s="610"/>
      <c r="AB9" s="610"/>
      <c r="AC9" s="75"/>
      <c r="AD9" s="616"/>
      <c r="AE9" s="616"/>
      <c r="AF9" s="616"/>
      <c r="AG9" s="616"/>
      <c r="AH9" s="610"/>
      <c r="AI9" s="751"/>
      <c r="AJ9" s="610"/>
      <c r="AK9" s="610"/>
      <c r="AL9" s="610"/>
      <c r="AM9" s="610"/>
      <c r="AN9" s="610"/>
      <c r="AO9" s="610"/>
      <c r="AP9" s="610"/>
      <c r="AQ9" s="610"/>
      <c r="AR9" s="610"/>
      <c r="AS9" s="610"/>
      <c r="AT9" s="610"/>
      <c r="AU9" s="610"/>
      <c r="AV9" s="610"/>
      <c r="AW9" s="610"/>
      <c r="AX9" s="610"/>
      <c r="AY9" s="610"/>
      <c r="AZ9" s="610"/>
      <c r="BA9" s="610"/>
      <c r="BB9" s="610"/>
      <c r="BC9" s="610"/>
      <c r="BD9" s="610"/>
      <c r="BE9" s="610"/>
      <c r="BF9" s="610"/>
      <c r="BG9" s="610"/>
      <c r="BH9" s="610"/>
      <c r="BI9" s="610"/>
      <c r="BJ9" s="610"/>
      <c r="BK9" s="610"/>
      <c r="BL9" s="610"/>
      <c r="BM9" s="610"/>
      <c r="BN9" s="610"/>
      <c r="BO9" s="610"/>
      <c r="BP9" s="610"/>
      <c r="BQ9" s="610"/>
      <c r="BR9" s="610"/>
      <c r="BS9" s="610"/>
      <c r="BT9" s="610"/>
      <c r="BU9" s="610"/>
      <c r="BV9" s="610"/>
      <c r="BW9" s="610"/>
      <c r="BX9" s="610"/>
      <c r="BY9" s="610"/>
      <c r="BZ9" s="610"/>
      <c r="CA9" s="610"/>
      <c r="CB9" s="610"/>
      <c r="CC9" s="610"/>
      <c r="CD9" s="610"/>
      <c r="CE9" s="610"/>
      <c r="CF9" s="610"/>
      <c r="CG9" s="610"/>
      <c r="CH9" s="610"/>
      <c r="CI9" s="610"/>
      <c r="CJ9" s="610"/>
      <c r="CK9" s="610"/>
      <c r="CL9" s="610"/>
      <c r="CM9" s="610"/>
      <c r="CN9" s="610"/>
      <c r="CO9" s="610"/>
      <c r="CP9" s="610"/>
      <c r="CQ9" s="610"/>
      <c r="CR9" s="610"/>
      <c r="CS9" s="610"/>
      <c r="CT9" s="610"/>
      <c r="CU9" s="610"/>
      <c r="CV9" s="610"/>
      <c r="CW9" s="610"/>
      <c r="CX9" s="610"/>
      <c r="CY9" s="610"/>
      <c r="CZ9" s="610"/>
      <c r="DA9" s="610"/>
      <c r="DB9" s="610"/>
      <c r="DC9" s="610"/>
      <c r="DD9" s="610"/>
      <c r="DE9" s="610"/>
      <c r="DF9" s="610"/>
      <c r="DG9" s="610"/>
      <c r="DH9" s="610"/>
      <c r="DI9" s="610"/>
      <c r="DJ9" s="610"/>
      <c r="DK9" s="610"/>
      <c r="DL9" s="610"/>
      <c r="DM9" s="610"/>
      <c r="DN9" s="610"/>
      <c r="DO9" s="610"/>
      <c r="DP9" s="610"/>
      <c r="DQ9" s="610"/>
      <c r="DR9" s="610"/>
      <c r="DS9" s="610"/>
      <c r="DT9" s="610"/>
      <c r="DU9" s="610"/>
      <c r="DV9" s="610"/>
      <c r="DW9" s="610"/>
      <c r="DX9" s="610"/>
      <c r="DY9" s="610"/>
      <c r="DZ9" s="610"/>
      <c r="EA9" s="610"/>
      <c r="EB9" s="610"/>
      <c r="EC9" s="610"/>
      <c r="ED9" s="610"/>
      <c r="EE9" s="610"/>
      <c r="EF9" s="610"/>
      <c r="EG9" s="610"/>
      <c r="EH9" s="610"/>
      <c r="EI9" s="610"/>
      <c r="EJ9" s="610"/>
      <c r="EK9" s="610"/>
      <c r="EL9" s="610"/>
      <c r="EM9" s="610"/>
      <c r="EN9" s="610"/>
      <c r="EO9" s="610"/>
      <c r="EP9" s="610"/>
      <c r="EQ9" s="610"/>
      <c r="ER9" s="610"/>
      <c r="ES9" s="610"/>
      <c r="ET9" s="610"/>
      <c r="EU9" s="610"/>
      <c r="EV9" s="610"/>
      <c r="EW9" s="610"/>
      <c r="EX9" s="610"/>
      <c r="EY9" s="610"/>
      <c r="EZ9" s="610"/>
      <c r="FA9" s="610"/>
      <c r="FB9" s="610"/>
      <c r="FC9" s="610"/>
      <c r="FD9" s="610"/>
      <c r="FE9" s="610"/>
      <c r="FF9" s="610"/>
      <c r="FG9" s="610"/>
      <c r="FH9" s="610"/>
      <c r="FI9" s="610"/>
      <c r="FJ9" s="610"/>
      <c r="FK9" s="610"/>
      <c r="FL9" s="610"/>
      <c r="FM9" s="610"/>
      <c r="FN9" s="610"/>
      <c r="FO9" s="610"/>
      <c r="FP9" s="610"/>
      <c r="FQ9" s="610"/>
      <c r="FR9" s="610"/>
      <c r="FS9" s="610"/>
      <c r="FT9" s="610"/>
      <c r="FU9" s="610"/>
      <c r="FV9" s="610"/>
      <c r="FW9" s="610"/>
      <c r="FX9" s="610"/>
      <c r="FY9" s="610"/>
      <c r="FZ9" s="610"/>
      <c r="GA9" s="610"/>
      <c r="GB9" s="610"/>
      <c r="GC9" s="610"/>
      <c r="GD9" s="610"/>
      <c r="GE9" s="610"/>
      <c r="GF9" s="610"/>
      <c r="GG9" s="610"/>
      <c r="GH9" s="610"/>
      <c r="GI9" s="610"/>
      <c r="GJ9" s="610"/>
      <c r="GK9" s="610"/>
      <c r="GL9" s="610"/>
      <c r="GM9" s="610"/>
      <c r="GN9" s="610"/>
      <c r="GO9" s="610"/>
      <c r="GP9" s="610"/>
      <c r="GQ9" s="610"/>
      <c r="GR9" s="610"/>
      <c r="GS9" s="610"/>
      <c r="GT9" s="610"/>
      <c r="GU9" s="610"/>
      <c r="GV9" s="610"/>
      <c r="GW9" s="610"/>
      <c r="GX9" s="610"/>
      <c r="GY9" s="610"/>
      <c r="GZ9" s="610"/>
      <c r="HA9" s="610"/>
      <c r="HB9" s="610"/>
      <c r="HC9" s="610"/>
      <c r="HD9" s="610"/>
      <c r="HE9" s="610"/>
      <c r="HF9" s="610"/>
      <c r="HG9" s="610"/>
      <c r="HH9" s="610"/>
      <c r="HI9" s="610"/>
      <c r="HJ9" s="610"/>
      <c r="HK9" s="610"/>
      <c r="HL9" s="610"/>
      <c r="HM9" s="610"/>
      <c r="HN9" s="610"/>
      <c r="HO9" s="610"/>
      <c r="HP9" s="610"/>
      <c r="HQ9" s="610"/>
      <c r="HR9" s="610"/>
      <c r="HS9" s="610"/>
      <c r="HT9" s="610"/>
      <c r="HU9" s="610"/>
      <c r="HV9" s="610"/>
      <c r="HW9" s="610"/>
      <c r="HX9" s="610"/>
      <c r="HY9" s="610"/>
      <c r="HZ9" s="610"/>
      <c r="IA9" s="610"/>
      <c r="IB9" s="610"/>
      <c r="IC9" s="610"/>
      <c r="ID9" s="610"/>
      <c r="IE9" s="610"/>
      <c r="IF9" s="610"/>
      <c r="IG9" s="610"/>
      <c r="IH9" s="610"/>
      <c r="II9" s="610"/>
      <c r="IJ9" s="610"/>
      <c r="IK9" s="610"/>
      <c r="IL9" s="610"/>
      <c r="IM9" s="610"/>
      <c r="IN9" s="610"/>
      <c r="IO9" s="610"/>
      <c r="IP9" s="610"/>
      <c r="IQ9" s="610"/>
      <c r="IR9" s="610"/>
      <c r="IS9" s="610"/>
      <c r="IT9" s="610"/>
      <c r="IU9" s="610"/>
      <c r="IV9" s="610"/>
      <c r="IW9" s="610"/>
      <c r="IX9" s="610"/>
      <c r="IY9" s="610"/>
      <c r="IZ9" s="610"/>
      <c r="JA9" s="610"/>
      <c r="JB9" s="610"/>
      <c r="JC9" s="610"/>
      <c r="JD9" s="610"/>
      <c r="JE9" s="610"/>
      <c r="JF9" s="610"/>
      <c r="JG9" s="610"/>
      <c r="JH9" s="610"/>
      <c r="JI9" s="610"/>
      <c r="JJ9" s="610"/>
      <c r="JK9" s="610"/>
      <c r="JL9" s="610"/>
      <c r="JM9" s="610"/>
      <c r="JN9" s="610"/>
      <c r="JO9" s="610"/>
      <c r="JP9" s="610"/>
      <c r="JQ9" s="610"/>
      <c r="JR9" s="610"/>
      <c r="JS9" s="610"/>
      <c r="JT9" s="610"/>
      <c r="JU9" s="610"/>
      <c r="JV9" s="610"/>
      <c r="JW9" s="610"/>
      <c r="JX9" s="610"/>
      <c r="JY9" s="610"/>
      <c r="JZ9" s="610"/>
      <c r="KA9" s="610"/>
      <c r="KB9" s="610"/>
      <c r="KC9" s="610"/>
      <c r="KD9" s="610"/>
      <c r="KE9" s="610"/>
      <c r="KF9" s="610"/>
      <c r="KG9" s="610"/>
      <c r="KH9" s="610"/>
      <c r="KI9" s="610"/>
      <c r="KJ9" s="610"/>
      <c r="KK9" s="610"/>
      <c r="KL9" s="610"/>
      <c r="KM9" s="610"/>
      <c r="KN9" s="610"/>
      <c r="KO9" s="735"/>
    </row>
    <row r="10" spans="1:301" ht="3" customHeight="1">
      <c r="A10" s="752"/>
      <c r="B10" s="610"/>
      <c r="C10" s="610"/>
      <c r="D10" s="610"/>
      <c r="E10" s="610"/>
      <c r="F10" s="610"/>
      <c r="G10" s="610"/>
      <c r="H10" s="610"/>
      <c r="I10" s="610"/>
      <c r="J10" s="610"/>
      <c r="K10" s="610"/>
      <c r="L10" s="610"/>
      <c r="M10" s="610"/>
      <c r="N10" s="610"/>
      <c r="O10" s="610"/>
      <c r="P10" s="610"/>
      <c r="Q10" s="610"/>
      <c r="R10" s="610"/>
      <c r="S10" s="610"/>
      <c r="T10" s="610"/>
      <c r="U10" s="610"/>
      <c r="V10" s="610"/>
      <c r="W10" s="610"/>
      <c r="X10" s="610"/>
      <c r="Y10" s="610"/>
      <c r="Z10" s="610"/>
      <c r="AA10" s="610"/>
      <c r="AB10" s="610"/>
      <c r="AC10" s="75"/>
      <c r="AD10" s="616"/>
      <c r="AE10" s="616"/>
      <c r="AF10" s="616"/>
      <c r="AG10" s="616"/>
      <c r="AH10" s="610"/>
      <c r="AI10" s="751"/>
      <c r="AJ10" s="610"/>
      <c r="AK10" s="610"/>
      <c r="AL10" s="610"/>
      <c r="AM10" s="610"/>
      <c r="AN10" s="610"/>
      <c r="AO10" s="610"/>
      <c r="AP10" s="610"/>
      <c r="AQ10" s="610"/>
      <c r="AR10" s="610"/>
      <c r="AS10" s="610"/>
      <c r="AT10" s="610"/>
      <c r="AU10" s="610"/>
      <c r="AV10" s="610"/>
      <c r="AW10" s="610"/>
      <c r="AX10" s="610"/>
      <c r="AY10" s="610"/>
      <c r="AZ10" s="610"/>
      <c r="BA10" s="610"/>
      <c r="BB10" s="610"/>
      <c r="BC10" s="610"/>
      <c r="BD10" s="610"/>
      <c r="BE10" s="610"/>
      <c r="BF10" s="610"/>
      <c r="BG10" s="610"/>
      <c r="BH10" s="610"/>
      <c r="BI10" s="610"/>
      <c r="BJ10" s="610"/>
      <c r="BK10" s="610"/>
      <c r="BL10" s="610"/>
      <c r="BM10" s="610"/>
      <c r="BN10" s="610"/>
      <c r="BO10" s="610"/>
      <c r="BP10" s="610"/>
      <c r="BQ10" s="610"/>
      <c r="BR10" s="610"/>
      <c r="BS10" s="610"/>
      <c r="BT10" s="610"/>
      <c r="BU10" s="610"/>
      <c r="BV10" s="610"/>
      <c r="BW10" s="610"/>
      <c r="BX10" s="610"/>
      <c r="BY10" s="610"/>
      <c r="BZ10" s="610"/>
      <c r="CA10" s="610"/>
      <c r="CB10" s="610"/>
      <c r="CC10" s="610"/>
      <c r="CD10" s="610"/>
      <c r="CE10" s="610"/>
      <c r="CF10" s="610"/>
      <c r="CG10" s="610"/>
      <c r="CH10" s="610"/>
      <c r="CI10" s="610"/>
      <c r="CJ10" s="610"/>
      <c r="CK10" s="610"/>
      <c r="CL10" s="610"/>
      <c r="CM10" s="610"/>
      <c r="CN10" s="610"/>
      <c r="CO10" s="610"/>
      <c r="CP10" s="610"/>
      <c r="CQ10" s="610"/>
      <c r="CR10" s="610"/>
      <c r="CS10" s="610"/>
      <c r="CT10" s="610"/>
      <c r="CU10" s="610"/>
      <c r="CV10" s="610"/>
      <c r="CW10" s="610"/>
      <c r="CX10" s="610"/>
      <c r="CY10" s="610"/>
      <c r="CZ10" s="610"/>
      <c r="DA10" s="610"/>
      <c r="DB10" s="610"/>
      <c r="DC10" s="610"/>
      <c r="DD10" s="610"/>
      <c r="DE10" s="610"/>
      <c r="DF10" s="610"/>
      <c r="DG10" s="610"/>
      <c r="DH10" s="610"/>
      <c r="DI10" s="610"/>
      <c r="DJ10" s="610"/>
      <c r="DK10" s="610"/>
      <c r="DL10" s="610"/>
      <c r="DM10" s="610"/>
      <c r="DN10" s="610"/>
      <c r="DO10" s="610"/>
      <c r="DP10" s="610"/>
      <c r="DQ10" s="610"/>
      <c r="DR10" s="610"/>
      <c r="DS10" s="610"/>
      <c r="DT10" s="610"/>
      <c r="DU10" s="610"/>
      <c r="DV10" s="610"/>
      <c r="DW10" s="610"/>
      <c r="DX10" s="610"/>
      <c r="DY10" s="610"/>
      <c r="DZ10" s="610"/>
      <c r="EA10" s="610"/>
      <c r="EB10" s="610"/>
      <c r="EC10" s="610"/>
      <c r="ED10" s="610"/>
      <c r="EE10" s="610"/>
      <c r="EF10" s="610"/>
      <c r="EG10" s="610"/>
      <c r="EH10" s="610"/>
      <c r="EI10" s="610"/>
      <c r="EJ10" s="610"/>
      <c r="EK10" s="610"/>
      <c r="EL10" s="610"/>
      <c r="EM10" s="610"/>
      <c r="EN10" s="610"/>
      <c r="EO10" s="610"/>
      <c r="EP10" s="610"/>
      <c r="EQ10" s="610"/>
      <c r="ER10" s="610"/>
      <c r="ES10" s="610"/>
      <c r="ET10" s="610"/>
      <c r="EU10" s="610"/>
      <c r="EV10" s="610"/>
      <c r="EW10" s="610"/>
      <c r="EX10" s="610"/>
      <c r="EY10" s="610"/>
      <c r="EZ10" s="610"/>
      <c r="FA10" s="610"/>
      <c r="FB10" s="610"/>
      <c r="FC10" s="610"/>
      <c r="FD10" s="610"/>
      <c r="FE10" s="610"/>
      <c r="FF10" s="610"/>
      <c r="FG10" s="610"/>
      <c r="FH10" s="610"/>
      <c r="FI10" s="610"/>
      <c r="FJ10" s="610"/>
      <c r="FK10" s="610"/>
      <c r="FL10" s="610"/>
      <c r="FM10" s="610"/>
      <c r="FN10" s="610"/>
      <c r="FO10" s="610"/>
      <c r="FP10" s="610"/>
      <c r="FQ10" s="610"/>
      <c r="FR10" s="610"/>
      <c r="FS10" s="610"/>
      <c r="FT10" s="610"/>
      <c r="FU10" s="610"/>
      <c r="FV10" s="610"/>
      <c r="FW10" s="610"/>
      <c r="FX10" s="610"/>
      <c r="FY10" s="610"/>
      <c r="FZ10" s="610"/>
      <c r="GA10" s="610"/>
      <c r="GB10" s="610"/>
      <c r="GC10" s="610"/>
      <c r="GD10" s="610"/>
      <c r="GE10" s="610"/>
      <c r="GF10" s="610"/>
      <c r="GG10" s="610"/>
      <c r="GH10" s="610"/>
      <c r="GI10" s="610"/>
      <c r="GJ10" s="610"/>
      <c r="GK10" s="610"/>
      <c r="GL10" s="610"/>
      <c r="GM10" s="610"/>
      <c r="GN10" s="610"/>
      <c r="GO10" s="610"/>
      <c r="GP10" s="610"/>
      <c r="GQ10" s="610"/>
      <c r="GR10" s="610"/>
      <c r="GS10" s="610"/>
      <c r="GT10" s="610"/>
      <c r="GU10" s="610"/>
      <c r="GV10" s="610"/>
      <c r="GW10" s="610"/>
      <c r="GX10" s="610"/>
      <c r="GY10" s="610"/>
      <c r="GZ10" s="610"/>
      <c r="HA10" s="610"/>
      <c r="HB10" s="610"/>
      <c r="HC10" s="610"/>
      <c r="HD10" s="610"/>
      <c r="HE10" s="610"/>
      <c r="HF10" s="610"/>
      <c r="HG10" s="610"/>
      <c r="HH10" s="610"/>
      <c r="HI10" s="610"/>
      <c r="HJ10" s="610"/>
      <c r="HK10" s="610"/>
      <c r="HL10" s="610"/>
      <c r="HM10" s="610"/>
      <c r="HN10" s="610"/>
      <c r="HO10" s="610"/>
      <c r="HP10" s="610"/>
      <c r="HQ10" s="610"/>
      <c r="HR10" s="610"/>
      <c r="HS10" s="610"/>
      <c r="HT10" s="610"/>
      <c r="HU10" s="610"/>
      <c r="HV10" s="610"/>
      <c r="HW10" s="610"/>
      <c r="HX10" s="610"/>
      <c r="HY10" s="610"/>
      <c r="HZ10" s="610"/>
      <c r="IA10" s="610"/>
      <c r="IB10" s="610"/>
      <c r="IC10" s="610"/>
      <c r="ID10" s="610"/>
      <c r="IE10" s="610"/>
      <c r="IF10" s="610"/>
      <c r="IG10" s="610"/>
      <c r="IH10" s="610"/>
      <c r="II10" s="610"/>
      <c r="IJ10" s="610"/>
      <c r="IK10" s="610"/>
      <c r="IL10" s="610"/>
      <c r="IM10" s="610"/>
      <c r="IN10" s="610"/>
      <c r="IO10" s="610"/>
      <c r="IP10" s="610"/>
      <c r="IQ10" s="610"/>
      <c r="IR10" s="610"/>
      <c r="IS10" s="610"/>
      <c r="IT10" s="610"/>
      <c r="IU10" s="610"/>
      <c r="IV10" s="610"/>
      <c r="IW10" s="610"/>
      <c r="IX10" s="610"/>
      <c r="IY10" s="610"/>
      <c r="IZ10" s="610"/>
      <c r="JA10" s="610"/>
      <c r="JB10" s="610"/>
      <c r="JC10" s="610"/>
      <c r="JD10" s="610"/>
      <c r="JE10" s="610"/>
      <c r="JF10" s="610"/>
      <c r="JG10" s="610"/>
      <c r="JH10" s="610"/>
      <c r="JI10" s="610"/>
      <c r="JJ10" s="610"/>
      <c r="JK10" s="610"/>
      <c r="JL10" s="610"/>
      <c r="JM10" s="610"/>
      <c r="JN10" s="610"/>
      <c r="JO10" s="610"/>
      <c r="JP10" s="610"/>
      <c r="JQ10" s="610"/>
      <c r="JR10" s="610"/>
      <c r="JS10" s="610"/>
      <c r="JT10" s="610"/>
      <c r="JU10" s="610"/>
      <c r="JV10" s="610"/>
      <c r="JW10" s="610"/>
      <c r="JX10" s="610"/>
      <c r="JY10" s="610"/>
      <c r="JZ10" s="610"/>
      <c r="KA10" s="610"/>
      <c r="KB10" s="610"/>
      <c r="KC10" s="610"/>
      <c r="KD10" s="610"/>
      <c r="KE10" s="610"/>
      <c r="KF10" s="610"/>
      <c r="KG10" s="610"/>
      <c r="KH10" s="610"/>
      <c r="KI10" s="610"/>
      <c r="KJ10" s="610"/>
      <c r="KK10" s="610"/>
      <c r="KL10" s="610"/>
      <c r="KM10" s="610"/>
      <c r="KN10" s="610"/>
      <c r="KO10" s="735"/>
    </row>
    <row r="11" spans="1:301" ht="15" customHeight="1">
      <c r="A11" s="752"/>
      <c r="B11" s="623"/>
      <c r="C11" s="623"/>
      <c r="D11" s="623"/>
      <c r="E11" s="623"/>
      <c r="F11" s="623"/>
      <c r="G11" s="623"/>
      <c r="H11" s="623"/>
      <c r="I11" s="623"/>
      <c r="J11" s="623"/>
      <c r="K11" s="623"/>
      <c r="L11" s="623"/>
      <c r="M11" s="623"/>
      <c r="N11" s="623"/>
      <c r="O11" s="623"/>
      <c r="P11" s="623"/>
      <c r="Q11" s="623"/>
      <c r="R11" s="623"/>
      <c r="S11" s="623"/>
      <c r="T11" s="645"/>
      <c r="U11" s="645"/>
      <c r="V11" s="645"/>
      <c r="W11" s="645"/>
      <c r="X11" s="646"/>
      <c r="Y11" s="646"/>
      <c r="Z11" s="646"/>
      <c r="AA11" s="646"/>
      <c r="AB11" s="639"/>
      <c r="AC11" s="754"/>
      <c r="AD11" s="635"/>
      <c r="AE11" s="635"/>
      <c r="AF11" s="635"/>
      <c r="AG11" s="635"/>
      <c r="AH11" s="623"/>
      <c r="AI11" s="648"/>
      <c r="AJ11" s="649"/>
      <c r="AK11" s="646"/>
      <c r="AL11" s="646"/>
      <c r="AM11" s="646"/>
      <c r="AN11" s="646"/>
      <c r="AO11" s="646"/>
      <c r="AP11" s="646"/>
      <c r="AQ11" s="755"/>
      <c r="AR11" s="755"/>
      <c r="AS11" s="755"/>
      <c r="AT11" s="755"/>
      <c r="AU11" s="755"/>
      <c r="AV11" s="756"/>
      <c r="AW11" s="755"/>
      <c r="AX11" s="755"/>
      <c r="AY11" s="755"/>
      <c r="AZ11" s="756"/>
      <c r="BA11" s="618"/>
      <c r="BB11" s="757"/>
      <c r="BC11" s="649"/>
      <c r="BD11" s="646"/>
      <c r="BE11" s="646"/>
      <c r="BF11" s="646"/>
      <c r="BG11" s="646"/>
      <c r="BH11" s="646"/>
      <c r="BI11" s="646"/>
      <c r="BJ11" s="755"/>
      <c r="BK11" s="755"/>
      <c r="BL11" s="755"/>
      <c r="BM11" s="755"/>
      <c r="BN11" s="755"/>
      <c r="BO11" s="756"/>
      <c r="BP11" s="755"/>
      <c r="BQ11" s="755"/>
      <c r="BR11" s="755"/>
      <c r="BS11" s="756"/>
      <c r="BT11" s="618"/>
      <c r="BU11" s="757"/>
      <c r="BV11" s="649"/>
      <c r="BW11" s="646"/>
      <c r="BX11" s="646"/>
      <c r="BY11" s="646"/>
      <c r="BZ11" s="646"/>
      <c r="CA11" s="646"/>
      <c r="CB11" s="646"/>
      <c r="CC11" s="755"/>
      <c r="CD11" s="755"/>
      <c r="CE11" s="755"/>
      <c r="CF11" s="755"/>
      <c r="CG11" s="755"/>
      <c r="CH11" s="756"/>
      <c r="CI11" s="755"/>
      <c r="CJ11" s="755"/>
      <c r="CK11" s="755"/>
      <c r="CL11" s="756"/>
      <c r="CM11" s="618"/>
      <c r="CN11" s="757"/>
      <c r="CO11" s="649"/>
      <c r="CP11" s="646"/>
      <c r="CQ11" s="646"/>
      <c r="CR11" s="646"/>
      <c r="CS11" s="646"/>
      <c r="CT11" s="646"/>
      <c r="CU11" s="646"/>
      <c r="CV11" s="755"/>
      <c r="CW11" s="755"/>
      <c r="CX11" s="755"/>
      <c r="CY11" s="755"/>
      <c r="CZ11" s="755"/>
      <c r="DA11" s="756"/>
      <c r="DB11" s="755"/>
      <c r="DC11" s="755"/>
      <c r="DD11" s="755"/>
      <c r="DE11" s="756"/>
      <c r="DF11" s="618"/>
      <c r="DG11" s="757"/>
      <c r="DH11" s="649"/>
      <c r="DI11" s="646"/>
      <c r="DJ11" s="646"/>
      <c r="DK11" s="646"/>
      <c r="DL11" s="646"/>
      <c r="DM11" s="646"/>
      <c r="DN11" s="646"/>
      <c r="DO11" s="755"/>
      <c r="DP11" s="755"/>
      <c r="DQ11" s="755"/>
      <c r="DR11" s="755"/>
      <c r="DS11" s="755"/>
      <c r="DT11" s="756"/>
      <c r="DU11" s="755"/>
      <c r="DV11" s="755"/>
      <c r="DW11" s="755"/>
      <c r="DX11" s="756"/>
      <c r="DY11" s="618"/>
      <c r="DZ11" s="757"/>
      <c r="EA11" s="649"/>
      <c r="EB11" s="646"/>
      <c r="EC11" s="646"/>
      <c r="ED11" s="646"/>
      <c r="EE11" s="646"/>
      <c r="EF11" s="646"/>
      <c r="EG11" s="646"/>
      <c r="EH11" s="755"/>
      <c r="EI11" s="755"/>
      <c r="EJ11" s="755"/>
      <c r="EK11" s="755"/>
      <c r="EL11" s="755"/>
      <c r="EM11" s="756"/>
      <c r="EN11" s="755"/>
      <c r="EO11" s="755"/>
      <c r="EP11" s="755"/>
      <c r="EQ11" s="756"/>
      <c r="ER11" s="618"/>
      <c r="ES11" s="757"/>
      <c r="ET11" s="649"/>
      <c r="EU11" s="646"/>
      <c r="EV11" s="646"/>
      <c r="EW11" s="646"/>
      <c r="EX11" s="646"/>
      <c r="EY11" s="646"/>
      <c r="EZ11" s="646"/>
      <c r="FA11" s="755"/>
      <c r="FB11" s="755"/>
      <c r="FC11" s="755"/>
      <c r="FD11" s="755"/>
      <c r="FE11" s="755"/>
      <c r="FF11" s="756"/>
      <c r="FG11" s="755"/>
      <c r="FH11" s="755"/>
      <c r="FI11" s="755"/>
      <c r="FJ11" s="756"/>
      <c r="FK11" s="618"/>
      <c r="FL11" s="757"/>
      <c r="FM11" s="649"/>
      <c r="FN11" s="646"/>
      <c r="FO11" s="646"/>
      <c r="FP11" s="646"/>
      <c r="FQ11" s="646"/>
      <c r="FR11" s="646"/>
      <c r="FS11" s="646"/>
      <c r="FT11" s="755"/>
      <c r="FU11" s="755"/>
      <c r="FV11" s="755"/>
      <c r="FW11" s="755"/>
      <c r="FX11" s="755"/>
      <c r="FY11" s="756"/>
      <c r="FZ11" s="755"/>
      <c r="GA11" s="755"/>
      <c r="GB11" s="755"/>
      <c r="GC11" s="756"/>
      <c r="GD11" s="618"/>
      <c r="GE11" s="757"/>
      <c r="GF11" s="649"/>
      <c r="GG11" s="646"/>
      <c r="GH11" s="646"/>
      <c r="GI11" s="646"/>
      <c r="GJ11" s="646"/>
      <c r="GK11" s="646"/>
      <c r="GL11" s="646"/>
      <c r="GM11" s="755"/>
      <c r="GN11" s="755"/>
      <c r="GO11" s="755"/>
      <c r="GP11" s="755"/>
      <c r="GQ11" s="755"/>
      <c r="GR11" s="756"/>
      <c r="GS11" s="755"/>
      <c r="GT11" s="755"/>
      <c r="GU11" s="755"/>
      <c r="GV11" s="756"/>
      <c r="GW11" s="618"/>
      <c r="GX11" s="757"/>
      <c r="GY11" s="649"/>
      <c r="GZ11" s="646"/>
      <c r="HA11" s="646"/>
      <c r="HB11" s="646"/>
      <c r="HC11" s="646"/>
      <c r="HD11" s="646"/>
      <c r="HE11" s="646"/>
      <c r="HF11" s="755"/>
      <c r="HG11" s="755"/>
      <c r="HH11" s="755"/>
      <c r="HI11" s="755"/>
      <c r="HJ11" s="755"/>
      <c r="HK11" s="756"/>
      <c r="HL11" s="755"/>
      <c r="HM11" s="755"/>
      <c r="HN11" s="755"/>
      <c r="HO11" s="756"/>
      <c r="HP11" s="618"/>
      <c r="HQ11" s="757"/>
      <c r="HR11" s="649"/>
      <c r="HS11" s="646"/>
      <c r="HT11" s="646"/>
      <c r="HU11" s="646"/>
      <c r="HV11" s="646"/>
      <c r="HW11" s="646"/>
      <c r="HX11" s="646"/>
      <c r="HY11" s="755"/>
      <c r="HZ11" s="755"/>
      <c r="IA11" s="755"/>
      <c r="IB11" s="755"/>
      <c r="IC11" s="755"/>
      <c r="ID11" s="756"/>
      <c r="IE11" s="755"/>
      <c r="IF11" s="755"/>
      <c r="IG11" s="755"/>
      <c r="IH11" s="756"/>
      <c r="II11" s="618"/>
      <c r="IJ11" s="757"/>
      <c r="IK11" s="649"/>
      <c r="IL11" s="646"/>
      <c r="IM11" s="646"/>
      <c r="IN11" s="646"/>
      <c r="IO11" s="646"/>
      <c r="IP11" s="646"/>
      <c r="IQ11" s="646"/>
      <c r="IR11" s="755"/>
      <c r="IS11" s="755"/>
      <c r="IT11" s="755"/>
      <c r="IU11" s="755"/>
      <c r="IV11" s="755"/>
      <c r="IW11" s="756"/>
      <c r="IX11" s="755"/>
      <c r="IY11" s="755"/>
      <c r="IZ11" s="755"/>
      <c r="JA11" s="756"/>
      <c r="JB11" s="618"/>
      <c r="JC11" s="757"/>
      <c r="JD11" s="649"/>
      <c r="JE11" s="646"/>
      <c r="JF11" s="646"/>
      <c r="JG11" s="646"/>
      <c r="JH11" s="646"/>
      <c r="JI11" s="646"/>
      <c r="JJ11" s="646"/>
      <c r="JK11" s="755"/>
      <c r="JL11" s="755"/>
      <c r="JM11" s="755"/>
      <c r="JN11" s="755"/>
      <c r="JO11" s="755"/>
      <c r="JP11" s="756"/>
      <c r="JQ11" s="755"/>
      <c r="JR11" s="755"/>
      <c r="JS11" s="755"/>
      <c r="JT11" s="756"/>
      <c r="JU11" s="618"/>
      <c r="JV11" s="757"/>
      <c r="JW11" s="649"/>
      <c r="JX11" s="646"/>
      <c r="JY11" s="646"/>
      <c r="JZ11" s="646"/>
      <c r="KA11" s="646"/>
      <c r="KB11" s="646"/>
      <c r="KC11" s="646"/>
      <c r="KD11" s="755"/>
      <c r="KE11" s="755"/>
      <c r="KF11" s="755"/>
      <c r="KG11" s="755"/>
      <c r="KH11" s="755"/>
      <c r="KI11" s="756"/>
      <c r="KJ11" s="755"/>
      <c r="KK11" s="755"/>
      <c r="KL11" s="755"/>
      <c r="KM11" s="756"/>
      <c r="KN11" s="618"/>
      <c r="KO11" s="758"/>
    </row>
    <row r="12" spans="1:301" ht="15" customHeight="1" thickBot="1">
      <c r="A12" s="750"/>
      <c r="B12" s="610"/>
      <c r="C12" s="610"/>
      <c r="D12" s="610"/>
      <c r="E12" s="610"/>
      <c r="F12" s="610"/>
      <c r="G12" s="610"/>
      <c r="H12" s="610"/>
      <c r="I12" s="610"/>
      <c r="J12" s="610"/>
      <c r="K12" s="610"/>
      <c r="L12" s="610"/>
      <c r="M12" s="610"/>
      <c r="N12" s="610"/>
      <c r="O12" s="610"/>
      <c r="P12" s="610"/>
      <c r="Q12" s="610"/>
      <c r="R12" s="610"/>
      <c r="S12" s="610"/>
      <c r="T12" s="610"/>
      <c r="U12" s="610"/>
      <c r="V12" s="610"/>
      <c r="W12" s="610"/>
      <c r="X12" s="610"/>
      <c r="Y12" s="610"/>
      <c r="Z12" s="610"/>
      <c r="AA12" s="610"/>
      <c r="AB12" s="610"/>
      <c r="AC12" s="75"/>
      <c r="AD12" s="616"/>
      <c r="AE12" s="616"/>
      <c r="AF12" s="616"/>
      <c r="AG12" s="616"/>
      <c r="AH12" s="610"/>
      <c r="AI12" s="751"/>
      <c r="AJ12" s="610"/>
      <c r="AK12" s="610"/>
      <c r="AL12" s="610"/>
      <c r="AM12" s="610"/>
      <c r="AN12" s="610"/>
      <c r="AO12" s="610"/>
      <c r="AP12" s="610"/>
      <c r="AQ12" s="610"/>
      <c r="AR12" s="610"/>
      <c r="AS12" s="610"/>
      <c r="AT12" s="610"/>
      <c r="AU12" s="610"/>
      <c r="AV12" s="610"/>
      <c r="AW12" s="610"/>
      <c r="AX12" s="610"/>
      <c r="AY12" s="610"/>
      <c r="AZ12" s="610"/>
      <c r="BA12" s="610"/>
      <c r="BB12" s="610"/>
      <c r="BC12" s="610"/>
      <c r="BD12" s="610"/>
      <c r="BE12" s="610"/>
      <c r="BF12" s="610"/>
      <c r="BG12" s="610"/>
      <c r="BH12" s="610"/>
      <c r="BI12" s="610"/>
      <c r="BJ12" s="610"/>
      <c r="BK12" s="610"/>
      <c r="BL12" s="610"/>
      <c r="BM12" s="610"/>
      <c r="BN12" s="610"/>
      <c r="BO12" s="610"/>
      <c r="BP12" s="610"/>
      <c r="BQ12" s="610"/>
      <c r="BR12" s="610"/>
      <c r="BS12" s="610"/>
      <c r="BT12" s="610"/>
      <c r="BU12" s="610"/>
      <c r="BV12" s="610"/>
      <c r="BW12" s="610"/>
      <c r="BX12" s="610"/>
      <c r="BY12" s="610"/>
      <c r="BZ12" s="610"/>
      <c r="CA12" s="610"/>
      <c r="CB12" s="610"/>
      <c r="CC12" s="610"/>
      <c r="CD12" s="610"/>
      <c r="CE12" s="610"/>
      <c r="CF12" s="610"/>
      <c r="CG12" s="610"/>
      <c r="CH12" s="610"/>
      <c r="CI12" s="610"/>
      <c r="CJ12" s="610"/>
      <c r="CK12" s="610"/>
      <c r="CL12" s="610"/>
      <c r="CM12" s="610"/>
      <c r="CN12" s="610"/>
      <c r="CO12" s="610"/>
      <c r="CP12" s="610"/>
      <c r="CQ12" s="610"/>
      <c r="CR12" s="610"/>
      <c r="CS12" s="610"/>
      <c r="CT12" s="610"/>
      <c r="CU12" s="610"/>
      <c r="CV12" s="610"/>
      <c r="CW12" s="610"/>
      <c r="CX12" s="610"/>
      <c r="CY12" s="610"/>
      <c r="CZ12" s="610"/>
      <c r="DA12" s="610"/>
      <c r="DB12" s="610"/>
      <c r="DC12" s="610"/>
      <c r="DD12" s="610"/>
      <c r="DE12" s="610"/>
      <c r="DF12" s="610"/>
      <c r="DG12" s="610"/>
      <c r="DH12" s="610"/>
      <c r="DI12" s="610"/>
      <c r="DJ12" s="610"/>
      <c r="DK12" s="610"/>
      <c r="DL12" s="610"/>
      <c r="DM12" s="610"/>
      <c r="DN12" s="610"/>
      <c r="DO12" s="610"/>
      <c r="DP12" s="610"/>
      <c r="DQ12" s="610"/>
      <c r="DR12" s="610"/>
      <c r="DS12" s="610"/>
      <c r="DT12" s="610"/>
      <c r="DU12" s="610"/>
      <c r="DV12" s="610"/>
      <c r="DW12" s="610"/>
      <c r="DX12" s="610"/>
      <c r="DY12" s="610"/>
      <c r="DZ12" s="610"/>
      <c r="EA12" s="610"/>
      <c r="EB12" s="610"/>
      <c r="EC12" s="610"/>
      <c r="ED12" s="610"/>
      <c r="EE12" s="610"/>
      <c r="EF12" s="610"/>
      <c r="EG12" s="610"/>
      <c r="EH12" s="610"/>
      <c r="EI12" s="610"/>
      <c r="EJ12" s="610"/>
      <c r="EK12" s="610"/>
      <c r="EL12" s="610"/>
      <c r="EM12" s="610"/>
      <c r="EN12" s="610"/>
      <c r="EO12" s="610"/>
      <c r="EP12" s="610"/>
      <c r="EQ12" s="610"/>
      <c r="ER12" s="610"/>
      <c r="ES12" s="610"/>
      <c r="ET12" s="610"/>
      <c r="EU12" s="610"/>
      <c r="EV12" s="610"/>
      <c r="EW12" s="610"/>
      <c r="EX12" s="610"/>
      <c r="EY12" s="610"/>
      <c r="EZ12" s="610"/>
      <c r="FA12" s="610"/>
      <c r="FB12" s="610"/>
      <c r="FC12" s="610"/>
      <c r="FD12" s="610"/>
      <c r="FE12" s="610"/>
      <c r="FF12" s="610"/>
      <c r="FG12" s="610"/>
      <c r="FH12" s="610"/>
      <c r="FI12" s="610"/>
      <c r="FJ12" s="610"/>
      <c r="FK12" s="610"/>
      <c r="FL12" s="610"/>
      <c r="FM12" s="610"/>
      <c r="FN12" s="610"/>
      <c r="FO12" s="610"/>
      <c r="FP12" s="610"/>
      <c r="FQ12" s="610"/>
      <c r="FR12" s="610"/>
      <c r="FS12" s="610"/>
      <c r="FT12" s="610"/>
      <c r="FU12" s="610"/>
      <c r="FV12" s="610"/>
      <c r="FW12" s="610"/>
      <c r="FX12" s="610"/>
      <c r="FY12" s="610"/>
      <c r="FZ12" s="610"/>
      <c r="GA12" s="610"/>
      <c r="GB12" s="610"/>
      <c r="GC12" s="610"/>
      <c r="GD12" s="610"/>
      <c r="GE12" s="610"/>
      <c r="GF12" s="610"/>
      <c r="GG12" s="610"/>
      <c r="GH12" s="610"/>
      <c r="GI12" s="610"/>
      <c r="GJ12" s="610"/>
      <c r="GK12" s="610"/>
      <c r="GL12" s="610"/>
      <c r="GM12" s="610"/>
      <c r="GN12" s="610"/>
      <c r="GO12" s="610"/>
      <c r="GP12" s="610"/>
      <c r="GQ12" s="610"/>
      <c r="GR12" s="610"/>
      <c r="GS12" s="610"/>
      <c r="GT12" s="610"/>
      <c r="GU12" s="610"/>
      <c r="GV12" s="610"/>
      <c r="GW12" s="610"/>
      <c r="GX12" s="610"/>
      <c r="GY12" s="610"/>
      <c r="GZ12" s="610"/>
      <c r="HA12" s="610"/>
      <c r="HB12" s="610"/>
      <c r="HC12" s="610"/>
      <c r="HD12" s="610"/>
      <c r="HE12" s="610"/>
      <c r="HF12" s="610"/>
      <c r="HG12" s="610"/>
      <c r="HH12" s="610"/>
      <c r="HI12" s="610"/>
      <c r="HJ12" s="610"/>
      <c r="HK12" s="610"/>
      <c r="HL12" s="610"/>
      <c r="HM12" s="610"/>
      <c r="HN12" s="610"/>
      <c r="HO12" s="610"/>
      <c r="HP12" s="610"/>
      <c r="HQ12" s="610"/>
      <c r="HR12" s="610"/>
      <c r="HS12" s="610"/>
      <c r="HT12" s="610"/>
      <c r="HU12" s="610"/>
      <c r="HV12" s="610"/>
      <c r="HW12" s="610"/>
      <c r="HX12" s="610"/>
      <c r="HY12" s="610"/>
      <c r="HZ12" s="610"/>
      <c r="IA12" s="610"/>
      <c r="IB12" s="610"/>
      <c r="IC12" s="610"/>
      <c r="ID12" s="610"/>
      <c r="IE12" s="610"/>
      <c r="IF12" s="610"/>
      <c r="IG12" s="610"/>
      <c r="IH12" s="610"/>
      <c r="II12" s="610"/>
      <c r="IJ12" s="610"/>
      <c r="IK12" s="610"/>
      <c r="IL12" s="610"/>
      <c r="IM12" s="610"/>
      <c r="IN12" s="610"/>
      <c r="IO12" s="610"/>
      <c r="IP12" s="610"/>
      <c r="IQ12" s="610"/>
      <c r="IR12" s="610"/>
      <c r="IS12" s="610"/>
      <c r="IT12" s="610"/>
      <c r="IU12" s="610"/>
      <c r="IV12" s="610"/>
      <c r="IW12" s="610"/>
      <c r="IX12" s="610"/>
      <c r="IY12" s="610"/>
      <c r="IZ12" s="610"/>
      <c r="JA12" s="610"/>
      <c r="JB12" s="610"/>
      <c r="JC12" s="610"/>
      <c r="JD12" s="610"/>
      <c r="JE12" s="610"/>
      <c r="JF12" s="610"/>
      <c r="JG12" s="610"/>
      <c r="JH12" s="610"/>
      <c r="JI12" s="610"/>
      <c r="JJ12" s="610"/>
      <c r="JK12" s="610"/>
      <c r="JL12" s="610"/>
      <c r="JM12" s="610"/>
      <c r="JN12" s="610"/>
      <c r="JO12" s="610"/>
      <c r="JP12" s="610"/>
      <c r="JQ12" s="610"/>
      <c r="JR12" s="610"/>
      <c r="JS12" s="610"/>
      <c r="JT12" s="610"/>
      <c r="JU12" s="610"/>
      <c r="JV12" s="610"/>
      <c r="JW12" s="610"/>
      <c r="JX12" s="610"/>
      <c r="JY12" s="610"/>
      <c r="JZ12" s="610"/>
      <c r="KA12" s="610"/>
      <c r="KB12" s="610"/>
      <c r="KC12" s="610"/>
      <c r="KD12" s="610"/>
      <c r="KE12" s="610"/>
      <c r="KF12" s="610"/>
      <c r="KG12" s="610"/>
      <c r="KH12" s="610"/>
      <c r="KI12" s="610"/>
      <c r="KJ12" s="610"/>
      <c r="KK12" s="610"/>
      <c r="KL12" s="610"/>
      <c r="KM12" s="610"/>
      <c r="KN12" s="610"/>
      <c r="KO12" s="735"/>
    </row>
    <row r="13" spans="1:301" ht="15" customHeight="1" thickTop="1" thickBot="1">
      <c r="A13" s="833">
        <v>1</v>
      </c>
      <c r="B13" s="834">
        <f>A13+1</f>
        <v>2</v>
      </c>
      <c r="C13" s="835">
        <f t="shared" ref="C13:R13" si="0">B13+1</f>
        <v>3</v>
      </c>
      <c r="D13" s="835">
        <f t="shared" si="0"/>
        <v>4</v>
      </c>
      <c r="E13" s="835">
        <f t="shared" si="0"/>
        <v>5</v>
      </c>
      <c r="F13" s="835">
        <f t="shared" si="0"/>
        <v>6</v>
      </c>
      <c r="G13" s="835">
        <f t="shared" si="0"/>
        <v>7</v>
      </c>
      <c r="H13" s="835">
        <f t="shared" si="0"/>
        <v>8</v>
      </c>
      <c r="I13" s="835">
        <f t="shared" si="0"/>
        <v>9</v>
      </c>
      <c r="J13" s="835">
        <f t="shared" si="0"/>
        <v>10</v>
      </c>
      <c r="K13" s="835">
        <f t="shared" si="0"/>
        <v>11</v>
      </c>
      <c r="L13" s="835">
        <f t="shared" si="0"/>
        <v>12</v>
      </c>
      <c r="M13" s="835">
        <f t="shared" si="0"/>
        <v>13</v>
      </c>
      <c r="N13" s="835">
        <f t="shared" si="0"/>
        <v>14</v>
      </c>
      <c r="O13" s="835">
        <f t="shared" si="0"/>
        <v>15</v>
      </c>
      <c r="P13" s="835">
        <f t="shared" si="0"/>
        <v>16</v>
      </c>
      <c r="Q13" s="835">
        <f t="shared" si="0"/>
        <v>17</v>
      </c>
      <c r="R13" s="835">
        <f t="shared" si="0"/>
        <v>18</v>
      </c>
      <c r="S13" s="835">
        <f t="shared" ref="S13:AH13" si="1">R13+1</f>
        <v>19</v>
      </c>
      <c r="T13" s="835">
        <f t="shared" si="1"/>
        <v>20</v>
      </c>
      <c r="U13" s="835">
        <f t="shared" si="1"/>
        <v>21</v>
      </c>
      <c r="V13" s="835">
        <f t="shared" si="1"/>
        <v>22</v>
      </c>
      <c r="W13" s="835">
        <f t="shared" si="1"/>
        <v>23</v>
      </c>
      <c r="X13" s="835">
        <f t="shared" si="1"/>
        <v>24</v>
      </c>
      <c r="Y13" s="835">
        <f t="shared" si="1"/>
        <v>25</v>
      </c>
      <c r="Z13" s="835">
        <f t="shared" si="1"/>
        <v>26</v>
      </c>
      <c r="AA13" s="835">
        <f t="shared" si="1"/>
        <v>27</v>
      </c>
      <c r="AB13" s="836">
        <f t="shared" si="1"/>
        <v>28</v>
      </c>
      <c r="AC13" s="837">
        <f t="shared" si="1"/>
        <v>29</v>
      </c>
      <c r="AD13" s="835">
        <f t="shared" si="1"/>
        <v>30</v>
      </c>
      <c r="AE13" s="835">
        <f t="shared" si="1"/>
        <v>31</v>
      </c>
      <c r="AF13" s="835">
        <f t="shared" si="1"/>
        <v>32</v>
      </c>
      <c r="AG13" s="835">
        <f t="shared" si="1"/>
        <v>33</v>
      </c>
      <c r="AH13" s="835">
        <f t="shared" si="1"/>
        <v>34</v>
      </c>
      <c r="AI13" s="838">
        <f t="shared" ref="AI13:AX14" si="2">AH13+1</f>
        <v>35</v>
      </c>
      <c r="AJ13" s="835">
        <f t="shared" si="2"/>
        <v>36</v>
      </c>
      <c r="AK13" s="835">
        <f t="shared" si="2"/>
        <v>37</v>
      </c>
      <c r="AL13" s="835">
        <f t="shared" si="2"/>
        <v>38</v>
      </c>
      <c r="AM13" s="835">
        <f t="shared" si="2"/>
        <v>39</v>
      </c>
      <c r="AN13" s="835">
        <f t="shared" si="2"/>
        <v>40</v>
      </c>
      <c r="AO13" s="835">
        <f t="shared" si="2"/>
        <v>41</v>
      </c>
      <c r="AP13" s="835">
        <f t="shared" si="2"/>
        <v>42</v>
      </c>
      <c r="AQ13" s="835">
        <f t="shared" si="2"/>
        <v>43</v>
      </c>
      <c r="AR13" s="835">
        <f t="shared" si="2"/>
        <v>44</v>
      </c>
      <c r="AS13" s="835">
        <f t="shared" si="2"/>
        <v>45</v>
      </c>
      <c r="AT13" s="835">
        <f t="shared" si="2"/>
        <v>46</v>
      </c>
      <c r="AU13" s="835">
        <f t="shared" si="2"/>
        <v>47</v>
      </c>
      <c r="AV13" s="835">
        <f t="shared" si="2"/>
        <v>48</v>
      </c>
      <c r="AW13" s="835">
        <f t="shared" si="2"/>
        <v>49</v>
      </c>
      <c r="AX13" s="835">
        <f t="shared" si="2"/>
        <v>50</v>
      </c>
      <c r="AY13" s="835">
        <f t="shared" ref="AY13:BN14" si="3">AX13+1</f>
        <v>51</v>
      </c>
      <c r="AZ13" s="835">
        <f t="shared" si="3"/>
        <v>52</v>
      </c>
      <c r="BA13" s="835">
        <f t="shared" si="3"/>
        <v>53</v>
      </c>
      <c r="BB13" s="835">
        <f t="shared" si="3"/>
        <v>54</v>
      </c>
      <c r="BC13" s="835">
        <f t="shared" si="3"/>
        <v>55</v>
      </c>
      <c r="BD13" s="835">
        <f t="shared" si="3"/>
        <v>56</v>
      </c>
      <c r="BE13" s="835">
        <f t="shared" si="3"/>
        <v>57</v>
      </c>
      <c r="BF13" s="835">
        <f t="shared" si="3"/>
        <v>58</v>
      </c>
      <c r="BG13" s="836">
        <f t="shared" si="3"/>
        <v>59</v>
      </c>
      <c r="BH13" s="835">
        <f t="shared" si="3"/>
        <v>60</v>
      </c>
      <c r="BI13" s="835">
        <f t="shared" si="3"/>
        <v>61</v>
      </c>
      <c r="BJ13" s="835">
        <f t="shared" si="3"/>
        <v>62</v>
      </c>
      <c r="BK13" s="835">
        <f t="shared" si="3"/>
        <v>63</v>
      </c>
      <c r="BL13" s="835">
        <f t="shared" si="3"/>
        <v>64</v>
      </c>
      <c r="BM13" s="835">
        <f t="shared" si="3"/>
        <v>65</v>
      </c>
      <c r="BN13" s="835">
        <f t="shared" si="3"/>
        <v>66</v>
      </c>
      <c r="BO13" s="835">
        <f t="shared" ref="BO13:CD14" si="4">BN13+1</f>
        <v>67</v>
      </c>
      <c r="BP13" s="835">
        <f t="shared" si="4"/>
        <v>68</v>
      </c>
      <c r="BQ13" s="835">
        <f t="shared" si="4"/>
        <v>69</v>
      </c>
      <c r="BR13" s="835">
        <f t="shared" si="4"/>
        <v>70</v>
      </c>
      <c r="BS13" s="835">
        <f t="shared" si="4"/>
        <v>71</v>
      </c>
      <c r="BT13" s="835">
        <f t="shared" si="4"/>
        <v>72</v>
      </c>
      <c r="BU13" s="835">
        <f t="shared" si="4"/>
        <v>73</v>
      </c>
      <c r="BV13" s="835">
        <f t="shared" si="4"/>
        <v>74</v>
      </c>
      <c r="BW13" s="835">
        <f t="shared" si="4"/>
        <v>75</v>
      </c>
      <c r="BX13" s="835">
        <f t="shared" si="4"/>
        <v>76</v>
      </c>
      <c r="BY13" s="835">
        <f t="shared" si="4"/>
        <v>77</v>
      </c>
      <c r="BZ13" s="836">
        <f t="shared" si="4"/>
        <v>78</v>
      </c>
      <c r="CA13" s="835">
        <f t="shared" si="4"/>
        <v>79</v>
      </c>
      <c r="CB13" s="835">
        <f t="shared" si="4"/>
        <v>80</v>
      </c>
      <c r="CC13" s="835">
        <f t="shared" si="4"/>
        <v>81</v>
      </c>
      <c r="CD13" s="835">
        <f t="shared" si="4"/>
        <v>82</v>
      </c>
      <c r="CE13" s="835">
        <f t="shared" ref="CE13:CT14" si="5">CD13+1</f>
        <v>83</v>
      </c>
      <c r="CF13" s="835">
        <f t="shared" si="5"/>
        <v>84</v>
      </c>
      <c r="CG13" s="835">
        <f t="shared" si="5"/>
        <v>85</v>
      </c>
      <c r="CH13" s="835">
        <f t="shared" si="5"/>
        <v>86</v>
      </c>
      <c r="CI13" s="835">
        <f t="shared" si="5"/>
        <v>87</v>
      </c>
      <c r="CJ13" s="835">
        <f t="shared" si="5"/>
        <v>88</v>
      </c>
      <c r="CK13" s="835">
        <f t="shared" si="5"/>
        <v>89</v>
      </c>
      <c r="CL13" s="835">
        <f t="shared" si="5"/>
        <v>90</v>
      </c>
      <c r="CM13" s="835">
        <f t="shared" si="5"/>
        <v>91</v>
      </c>
      <c r="CN13" s="835">
        <f t="shared" si="5"/>
        <v>92</v>
      </c>
      <c r="CO13" s="835">
        <f t="shared" si="5"/>
        <v>93</v>
      </c>
      <c r="CP13" s="835">
        <f t="shared" si="5"/>
        <v>94</v>
      </c>
      <c r="CQ13" s="838">
        <f t="shared" si="5"/>
        <v>95</v>
      </c>
      <c r="CR13" s="835">
        <f t="shared" si="5"/>
        <v>96</v>
      </c>
      <c r="CS13" s="835">
        <f t="shared" si="5"/>
        <v>97</v>
      </c>
      <c r="CT13" s="835">
        <f t="shared" si="5"/>
        <v>98</v>
      </c>
      <c r="CU13" s="835">
        <f t="shared" ref="CU13:DJ14" si="6">CT13+1</f>
        <v>99</v>
      </c>
      <c r="CV13" s="835">
        <f t="shared" si="6"/>
        <v>100</v>
      </c>
      <c r="CW13" s="835">
        <f t="shared" si="6"/>
        <v>101</v>
      </c>
      <c r="CX13" s="835">
        <f t="shared" si="6"/>
        <v>102</v>
      </c>
      <c r="CY13" s="835">
        <f t="shared" si="6"/>
        <v>103</v>
      </c>
      <c r="CZ13" s="835">
        <f t="shared" si="6"/>
        <v>104</v>
      </c>
      <c r="DA13" s="835">
        <f t="shared" si="6"/>
        <v>105</v>
      </c>
      <c r="DB13" s="835">
        <f t="shared" si="6"/>
        <v>106</v>
      </c>
      <c r="DC13" s="835">
        <f t="shared" si="6"/>
        <v>107</v>
      </c>
      <c r="DD13" s="835">
        <f t="shared" si="6"/>
        <v>108</v>
      </c>
      <c r="DE13" s="835">
        <f t="shared" si="6"/>
        <v>109</v>
      </c>
      <c r="DF13" s="835">
        <f t="shared" si="6"/>
        <v>110</v>
      </c>
      <c r="DG13" s="835">
        <f t="shared" si="6"/>
        <v>111</v>
      </c>
      <c r="DH13" s="835">
        <f t="shared" si="6"/>
        <v>112</v>
      </c>
      <c r="DI13" s="836">
        <f t="shared" si="6"/>
        <v>113</v>
      </c>
      <c r="DJ13" s="835">
        <f t="shared" si="6"/>
        <v>114</v>
      </c>
      <c r="DK13" s="835">
        <f t="shared" ref="DK13:DZ14" si="7">DJ13+1</f>
        <v>115</v>
      </c>
      <c r="DL13" s="835">
        <f t="shared" si="7"/>
        <v>116</v>
      </c>
      <c r="DM13" s="835">
        <f t="shared" si="7"/>
        <v>117</v>
      </c>
      <c r="DN13" s="835">
        <f t="shared" si="7"/>
        <v>118</v>
      </c>
      <c r="DO13" s="835">
        <f t="shared" si="7"/>
        <v>119</v>
      </c>
      <c r="DP13" s="835">
        <f t="shared" si="7"/>
        <v>120</v>
      </c>
      <c r="DQ13" s="835">
        <f t="shared" si="7"/>
        <v>121</v>
      </c>
      <c r="DR13" s="835">
        <f t="shared" si="7"/>
        <v>122</v>
      </c>
      <c r="DS13" s="835">
        <f t="shared" si="7"/>
        <v>123</v>
      </c>
      <c r="DT13" s="835">
        <f t="shared" si="7"/>
        <v>124</v>
      </c>
      <c r="DU13" s="835">
        <f t="shared" si="7"/>
        <v>125</v>
      </c>
      <c r="DV13" s="835">
        <f t="shared" si="7"/>
        <v>126</v>
      </c>
      <c r="DW13" s="835">
        <f t="shared" si="7"/>
        <v>127</v>
      </c>
      <c r="DX13" s="836">
        <f t="shared" si="7"/>
        <v>128</v>
      </c>
      <c r="DY13" s="835">
        <f t="shared" si="7"/>
        <v>129</v>
      </c>
      <c r="DZ13" s="835">
        <f t="shared" si="7"/>
        <v>130</v>
      </c>
      <c r="EA13" s="835">
        <f t="shared" ref="EA13:EP14" si="8">DZ13+1</f>
        <v>131</v>
      </c>
      <c r="EB13" s="835">
        <f t="shared" si="8"/>
        <v>132</v>
      </c>
      <c r="EC13" s="835">
        <f t="shared" si="8"/>
        <v>133</v>
      </c>
      <c r="ED13" s="835">
        <f t="shared" si="8"/>
        <v>134</v>
      </c>
      <c r="EE13" s="835">
        <f t="shared" si="8"/>
        <v>135</v>
      </c>
      <c r="EF13" s="835">
        <f t="shared" si="8"/>
        <v>136</v>
      </c>
      <c r="EG13" s="835">
        <f t="shared" si="8"/>
        <v>137</v>
      </c>
      <c r="EH13" s="835">
        <f t="shared" si="8"/>
        <v>138</v>
      </c>
      <c r="EI13" s="835">
        <f t="shared" si="8"/>
        <v>139</v>
      </c>
      <c r="EJ13" s="835">
        <f t="shared" si="8"/>
        <v>140</v>
      </c>
      <c r="EK13" s="835">
        <f t="shared" si="8"/>
        <v>141</v>
      </c>
      <c r="EL13" s="835">
        <f t="shared" si="8"/>
        <v>142</v>
      </c>
      <c r="EM13" s="836">
        <f t="shared" si="8"/>
        <v>143</v>
      </c>
      <c r="EN13" s="835">
        <f t="shared" si="8"/>
        <v>144</v>
      </c>
      <c r="EO13" s="835">
        <f t="shared" si="8"/>
        <v>145</v>
      </c>
      <c r="EP13" s="835">
        <f t="shared" si="8"/>
        <v>146</v>
      </c>
      <c r="EQ13" s="835">
        <f t="shared" ref="EQ13:FF14" si="9">EP13+1</f>
        <v>147</v>
      </c>
      <c r="ER13" s="835">
        <f t="shared" si="9"/>
        <v>148</v>
      </c>
      <c r="ES13" s="835">
        <f t="shared" si="9"/>
        <v>149</v>
      </c>
      <c r="ET13" s="835">
        <f t="shared" si="9"/>
        <v>150</v>
      </c>
      <c r="EU13" s="835">
        <f t="shared" si="9"/>
        <v>151</v>
      </c>
      <c r="EV13" s="835">
        <f t="shared" si="9"/>
        <v>152</v>
      </c>
      <c r="EW13" s="835">
        <f t="shared" si="9"/>
        <v>153</v>
      </c>
      <c r="EX13" s="835">
        <f t="shared" si="9"/>
        <v>154</v>
      </c>
      <c r="EY13" s="835">
        <f t="shared" si="9"/>
        <v>155</v>
      </c>
      <c r="EZ13" s="835">
        <f t="shared" si="9"/>
        <v>156</v>
      </c>
      <c r="FA13" s="835">
        <f t="shared" si="9"/>
        <v>157</v>
      </c>
      <c r="FB13" s="836">
        <f t="shared" si="9"/>
        <v>158</v>
      </c>
      <c r="FC13" s="835">
        <f t="shared" si="9"/>
        <v>159</v>
      </c>
      <c r="FD13" s="835">
        <f t="shared" si="9"/>
        <v>160</v>
      </c>
      <c r="FE13" s="835">
        <f t="shared" si="9"/>
        <v>161</v>
      </c>
      <c r="FF13" s="835">
        <f t="shared" si="9"/>
        <v>162</v>
      </c>
      <c r="FG13" s="835">
        <f t="shared" ref="FG13:FV14" si="10">FF13+1</f>
        <v>163</v>
      </c>
      <c r="FH13" s="835">
        <f t="shared" si="10"/>
        <v>164</v>
      </c>
      <c r="FI13" s="835">
        <f t="shared" si="10"/>
        <v>165</v>
      </c>
      <c r="FJ13" s="835">
        <f t="shared" si="10"/>
        <v>166</v>
      </c>
      <c r="FK13" s="835">
        <f t="shared" si="10"/>
        <v>167</v>
      </c>
      <c r="FL13" s="835">
        <f t="shared" si="10"/>
        <v>168</v>
      </c>
      <c r="FM13" s="835">
        <f t="shared" si="10"/>
        <v>169</v>
      </c>
      <c r="FN13" s="835">
        <f t="shared" si="10"/>
        <v>170</v>
      </c>
      <c r="FO13" s="835">
        <f t="shared" si="10"/>
        <v>171</v>
      </c>
      <c r="FP13" s="835">
        <f t="shared" si="10"/>
        <v>172</v>
      </c>
      <c r="FQ13" s="835">
        <f t="shared" si="10"/>
        <v>173</v>
      </c>
      <c r="FR13" s="836">
        <f t="shared" si="10"/>
        <v>174</v>
      </c>
      <c r="FS13" s="835">
        <f t="shared" si="10"/>
        <v>175</v>
      </c>
      <c r="FT13" s="835">
        <f t="shared" si="10"/>
        <v>176</v>
      </c>
      <c r="FU13" s="835">
        <f t="shared" si="10"/>
        <v>177</v>
      </c>
      <c r="FV13" s="835">
        <f t="shared" si="10"/>
        <v>178</v>
      </c>
      <c r="FW13" s="835">
        <f t="shared" ref="FW13:GL14" si="11">FV13+1</f>
        <v>179</v>
      </c>
      <c r="FX13" s="835">
        <f t="shared" si="11"/>
        <v>180</v>
      </c>
      <c r="FY13" s="835">
        <f t="shared" si="11"/>
        <v>181</v>
      </c>
      <c r="FZ13" s="835">
        <f t="shared" si="11"/>
        <v>182</v>
      </c>
      <c r="GA13" s="835">
        <f t="shared" si="11"/>
        <v>183</v>
      </c>
      <c r="GB13" s="835">
        <f t="shared" si="11"/>
        <v>184</v>
      </c>
      <c r="GC13" s="835">
        <f t="shared" si="11"/>
        <v>185</v>
      </c>
      <c r="GD13" s="835">
        <f t="shared" si="11"/>
        <v>186</v>
      </c>
      <c r="GE13" s="835">
        <f t="shared" si="11"/>
        <v>187</v>
      </c>
      <c r="GF13" s="835">
        <f t="shared" si="11"/>
        <v>188</v>
      </c>
      <c r="GG13" s="835">
        <f t="shared" si="11"/>
        <v>189</v>
      </c>
      <c r="GH13" s="835">
        <f t="shared" si="11"/>
        <v>190</v>
      </c>
      <c r="GI13" s="835">
        <f t="shared" si="11"/>
        <v>191</v>
      </c>
      <c r="GJ13" s="835">
        <f t="shared" si="11"/>
        <v>192</v>
      </c>
      <c r="GK13" s="835">
        <f t="shared" si="11"/>
        <v>193</v>
      </c>
      <c r="GL13" s="835">
        <f t="shared" si="11"/>
        <v>194</v>
      </c>
      <c r="GM13" s="835">
        <f t="shared" ref="GM13:HB14" si="12">GL13+1</f>
        <v>195</v>
      </c>
      <c r="GN13" s="835">
        <f t="shared" si="12"/>
        <v>196</v>
      </c>
      <c r="GO13" s="835">
        <f t="shared" si="12"/>
        <v>197</v>
      </c>
      <c r="GP13" s="835">
        <f t="shared" si="12"/>
        <v>198</v>
      </c>
      <c r="GQ13" s="835">
        <f t="shared" si="12"/>
        <v>199</v>
      </c>
      <c r="GR13" s="835">
        <f t="shared" si="12"/>
        <v>200</v>
      </c>
      <c r="GS13" s="835">
        <f t="shared" si="12"/>
        <v>201</v>
      </c>
      <c r="GT13" s="835">
        <f t="shared" si="12"/>
        <v>202</v>
      </c>
      <c r="GU13" s="835">
        <f t="shared" si="12"/>
        <v>203</v>
      </c>
      <c r="GV13" s="835">
        <f t="shared" si="12"/>
        <v>204</v>
      </c>
      <c r="GW13" s="835">
        <f t="shared" si="12"/>
        <v>205</v>
      </c>
      <c r="GX13" s="835">
        <f t="shared" si="12"/>
        <v>206</v>
      </c>
      <c r="GY13" s="835">
        <f t="shared" si="12"/>
        <v>207</v>
      </c>
      <c r="GZ13" s="835">
        <f t="shared" si="12"/>
        <v>208</v>
      </c>
      <c r="HA13" s="835">
        <f t="shared" si="12"/>
        <v>209</v>
      </c>
      <c r="HB13" s="835">
        <f t="shared" si="12"/>
        <v>210</v>
      </c>
      <c r="HC13" s="835">
        <f t="shared" ref="HC13:HR14" si="13">HB13+1</f>
        <v>211</v>
      </c>
      <c r="HD13" s="835">
        <f t="shared" si="13"/>
        <v>212</v>
      </c>
      <c r="HE13" s="835">
        <f t="shared" si="13"/>
        <v>213</v>
      </c>
      <c r="HF13" s="835">
        <f t="shared" si="13"/>
        <v>214</v>
      </c>
      <c r="HG13" s="835">
        <f t="shared" si="13"/>
        <v>215</v>
      </c>
      <c r="HH13" s="835">
        <f t="shared" si="13"/>
        <v>216</v>
      </c>
      <c r="HI13" s="835">
        <f t="shared" si="13"/>
        <v>217</v>
      </c>
      <c r="HJ13" s="835">
        <f t="shared" si="13"/>
        <v>218</v>
      </c>
      <c r="HK13" s="835">
        <f t="shared" si="13"/>
        <v>219</v>
      </c>
      <c r="HL13" s="835">
        <f t="shared" si="13"/>
        <v>220</v>
      </c>
      <c r="HM13" s="835">
        <f t="shared" si="13"/>
        <v>221</v>
      </c>
      <c r="HN13" s="835">
        <f t="shared" si="13"/>
        <v>222</v>
      </c>
      <c r="HO13" s="835">
        <f t="shared" si="13"/>
        <v>223</v>
      </c>
      <c r="HP13" s="836">
        <f t="shared" si="13"/>
        <v>224</v>
      </c>
      <c r="HQ13" s="835">
        <f t="shared" si="13"/>
        <v>225</v>
      </c>
      <c r="HR13" s="835">
        <f t="shared" si="13"/>
        <v>226</v>
      </c>
      <c r="HS13" s="835">
        <f t="shared" ref="HS13:IH14" si="14">HR13+1</f>
        <v>227</v>
      </c>
      <c r="HT13" s="835">
        <f t="shared" si="14"/>
        <v>228</v>
      </c>
      <c r="HU13" s="835">
        <f t="shared" si="14"/>
        <v>229</v>
      </c>
      <c r="HV13" s="835">
        <f t="shared" si="14"/>
        <v>230</v>
      </c>
      <c r="HW13" s="835">
        <f t="shared" si="14"/>
        <v>231</v>
      </c>
      <c r="HX13" s="835">
        <f t="shared" si="14"/>
        <v>232</v>
      </c>
      <c r="HY13" s="835">
        <f t="shared" si="14"/>
        <v>233</v>
      </c>
      <c r="HZ13" s="835">
        <f t="shared" si="14"/>
        <v>234</v>
      </c>
      <c r="IA13" s="835">
        <f t="shared" si="14"/>
        <v>235</v>
      </c>
      <c r="IB13" s="835">
        <f t="shared" si="14"/>
        <v>236</v>
      </c>
      <c r="IC13" s="835">
        <f t="shared" si="14"/>
        <v>237</v>
      </c>
      <c r="ID13" s="835">
        <f t="shared" si="14"/>
        <v>238</v>
      </c>
      <c r="IE13" s="836">
        <f t="shared" si="14"/>
        <v>239</v>
      </c>
      <c r="IF13" s="835">
        <f t="shared" si="14"/>
        <v>240</v>
      </c>
      <c r="IG13" s="835">
        <f t="shared" si="14"/>
        <v>241</v>
      </c>
      <c r="IH13" s="835">
        <f t="shared" si="14"/>
        <v>242</v>
      </c>
      <c r="II13" s="835">
        <f t="shared" ref="II13:IX14" si="15">IH13+1</f>
        <v>243</v>
      </c>
      <c r="IJ13" s="835">
        <f t="shared" si="15"/>
        <v>244</v>
      </c>
      <c r="IK13" s="835">
        <f t="shared" si="15"/>
        <v>245</v>
      </c>
      <c r="IL13" s="835">
        <f t="shared" si="15"/>
        <v>246</v>
      </c>
      <c r="IM13" s="835">
        <f t="shared" si="15"/>
        <v>247</v>
      </c>
      <c r="IN13" s="835">
        <f t="shared" si="15"/>
        <v>248</v>
      </c>
      <c r="IO13" s="835">
        <f t="shared" si="15"/>
        <v>249</v>
      </c>
      <c r="IP13" s="835">
        <f t="shared" si="15"/>
        <v>250</v>
      </c>
      <c r="IQ13" s="835">
        <f t="shared" si="15"/>
        <v>251</v>
      </c>
      <c r="IR13" s="835">
        <f t="shared" si="15"/>
        <v>252</v>
      </c>
      <c r="IS13" s="835">
        <f t="shared" si="15"/>
        <v>253</v>
      </c>
      <c r="IT13" s="836">
        <f t="shared" si="15"/>
        <v>254</v>
      </c>
      <c r="IU13" s="835">
        <f t="shared" si="15"/>
        <v>255</v>
      </c>
      <c r="IV13" s="835">
        <f t="shared" si="15"/>
        <v>256</v>
      </c>
      <c r="IW13" s="835">
        <f t="shared" si="15"/>
        <v>257</v>
      </c>
      <c r="IX13" s="835">
        <f t="shared" si="15"/>
        <v>258</v>
      </c>
      <c r="IY13" s="835">
        <f t="shared" ref="IY13:JN14" si="16">IX13+1</f>
        <v>259</v>
      </c>
      <c r="IZ13" s="835">
        <f t="shared" si="16"/>
        <v>260</v>
      </c>
      <c r="JA13" s="835">
        <f t="shared" si="16"/>
        <v>261</v>
      </c>
      <c r="JB13" s="835">
        <f t="shared" si="16"/>
        <v>262</v>
      </c>
      <c r="JC13" s="835">
        <f t="shared" si="16"/>
        <v>263</v>
      </c>
      <c r="JD13" s="835">
        <f t="shared" si="16"/>
        <v>264</v>
      </c>
      <c r="JE13" s="835">
        <f t="shared" si="16"/>
        <v>265</v>
      </c>
      <c r="JF13" s="836">
        <f t="shared" si="16"/>
        <v>266</v>
      </c>
      <c r="JG13" s="836">
        <f t="shared" si="16"/>
        <v>267</v>
      </c>
      <c r="JH13" s="836">
        <f t="shared" si="16"/>
        <v>268</v>
      </c>
      <c r="JI13" s="836">
        <f t="shared" si="16"/>
        <v>269</v>
      </c>
      <c r="JJ13" s="836">
        <f t="shared" si="16"/>
        <v>270</v>
      </c>
      <c r="JK13" s="836">
        <f t="shared" si="16"/>
        <v>271</v>
      </c>
      <c r="JL13" s="836">
        <f t="shared" si="16"/>
        <v>272</v>
      </c>
      <c r="JM13" s="836">
        <f t="shared" si="16"/>
        <v>273</v>
      </c>
      <c r="JN13" s="836">
        <f t="shared" si="16"/>
        <v>274</v>
      </c>
      <c r="JO13" s="836">
        <f t="shared" ref="JO13:KD14" si="17">JN13+1</f>
        <v>275</v>
      </c>
      <c r="JP13" s="836">
        <f t="shared" si="17"/>
        <v>276</v>
      </c>
      <c r="JQ13" s="836">
        <f t="shared" si="17"/>
        <v>277</v>
      </c>
      <c r="JR13" s="836">
        <f t="shared" si="17"/>
        <v>278</v>
      </c>
      <c r="JS13" s="836">
        <f t="shared" si="17"/>
        <v>279</v>
      </c>
      <c r="JT13" s="836">
        <f t="shared" si="17"/>
        <v>280</v>
      </c>
      <c r="JU13" s="836">
        <f t="shared" si="17"/>
        <v>281</v>
      </c>
      <c r="JV13" s="836">
        <f t="shared" si="17"/>
        <v>282</v>
      </c>
      <c r="JW13" s="836">
        <f t="shared" si="17"/>
        <v>283</v>
      </c>
      <c r="JX13" s="836">
        <f t="shared" si="17"/>
        <v>284</v>
      </c>
      <c r="JY13" s="836">
        <f t="shared" si="17"/>
        <v>285</v>
      </c>
      <c r="JZ13" s="836">
        <f t="shared" si="17"/>
        <v>286</v>
      </c>
      <c r="KA13" s="836">
        <f t="shared" si="17"/>
        <v>287</v>
      </c>
      <c r="KB13" s="836">
        <f t="shared" si="17"/>
        <v>288</v>
      </c>
      <c r="KC13" s="836">
        <f t="shared" si="17"/>
        <v>289</v>
      </c>
      <c r="KD13" s="836">
        <f t="shared" si="17"/>
        <v>290</v>
      </c>
      <c r="KE13" s="836">
        <f t="shared" ref="KE13:KO14" si="18">KD13+1</f>
        <v>291</v>
      </c>
      <c r="KF13" s="836">
        <f t="shared" si="18"/>
        <v>292</v>
      </c>
      <c r="KG13" s="836">
        <f t="shared" si="18"/>
        <v>293</v>
      </c>
      <c r="KH13" s="836">
        <f t="shared" si="18"/>
        <v>294</v>
      </c>
      <c r="KI13" s="836">
        <f t="shared" si="18"/>
        <v>295</v>
      </c>
      <c r="KJ13" s="836">
        <f t="shared" si="18"/>
        <v>296</v>
      </c>
      <c r="KK13" s="836">
        <f t="shared" si="18"/>
        <v>297</v>
      </c>
      <c r="KL13" s="836">
        <f t="shared" si="18"/>
        <v>298</v>
      </c>
      <c r="KM13" s="836">
        <f t="shared" si="18"/>
        <v>299</v>
      </c>
      <c r="KN13" s="836">
        <f t="shared" si="18"/>
        <v>300</v>
      </c>
      <c r="KO13" s="839">
        <f t="shared" si="18"/>
        <v>301</v>
      </c>
    </row>
    <row r="14" spans="1:301" s="688" customFormat="1" ht="15" customHeight="1" thickTop="1" thickBot="1">
      <c r="A14" s="840"/>
      <c r="B14" s="841"/>
      <c r="C14" s="841"/>
      <c r="D14" s="841"/>
      <c r="E14" s="841"/>
      <c r="F14" s="841"/>
      <c r="G14" s="841"/>
      <c r="H14" s="841"/>
      <c r="I14" s="841"/>
      <c r="J14" s="841"/>
      <c r="K14" s="841"/>
      <c r="L14" s="841"/>
      <c r="M14" s="841"/>
      <c r="N14" s="841"/>
      <c r="O14" s="841"/>
      <c r="P14" s="841"/>
      <c r="Q14" s="841"/>
      <c r="R14" s="841"/>
      <c r="S14" s="841"/>
      <c r="T14" s="841"/>
      <c r="U14" s="841"/>
      <c r="V14" s="841"/>
      <c r="W14" s="841"/>
      <c r="X14" s="841"/>
      <c r="Y14" s="841"/>
      <c r="Z14" s="841"/>
      <c r="AA14" s="841"/>
      <c r="AB14" s="841"/>
      <c r="AC14" s="842"/>
      <c r="AD14" s="843"/>
      <c r="AE14" s="843"/>
      <c r="AF14" s="843"/>
      <c r="AG14" s="843"/>
      <c r="AH14" s="841"/>
      <c r="AI14" s="844"/>
      <c r="AJ14" s="687" t="s">
        <v>268</v>
      </c>
      <c r="AK14" s="689">
        <v>1</v>
      </c>
      <c r="AL14" s="689">
        <f>AK14+1</f>
        <v>2</v>
      </c>
      <c r="AM14" s="689">
        <f t="shared" si="2"/>
        <v>3</v>
      </c>
      <c r="AN14" s="689">
        <f t="shared" si="2"/>
        <v>4</v>
      </c>
      <c r="AO14" s="689">
        <f t="shared" si="2"/>
        <v>5</v>
      </c>
      <c r="AP14" s="689">
        <f t="shared" si="2"/>
        <v>6</v>
      </c>
      <c r="AQ14" s="689">
        <f t="shared" si="2"/>
        <v>7</v>
      </c>
      <c r="AR14" s="689">
        <f t="shared" si="2"/>
        <v>8</v>
      </c>
      <c r="AS14" s="689">
        <f t="shared" si="2"/>
        <v>9</v>
      </c>
      <c r="AT14" s="689">
        <f t="shared" si="2"/>
        <v>10</v>
      </c>
      <c r="AU14" s="689">
        <f t="shared" si="2"/>
        <v>11</v>
      </c>
      <c r="AV14" s="689">
        <f t="shared" si="2"/>
        <v>12</v>
      </c>
      <c r="AW14" s="689">
        <f t="shared" si="2"/>
        <v>13</v>
      </c>
      <c r="AX14" s="689">
        <f t="shared" si="2"/>
        <v>14</v>
      </c>
      <c r="AY14" s="689">
        <f t="shared" si="3"/>
        <v>15</v>
      </c>
      <c r="AZ14" s="689">
        <f t="shared" si="3"/>
        <v>16</v>
      </c>
      <c r="BA14" s="689">
        <f t="shared" si="3"/>
        <v>17</v>
      </c>
      <c r="BB14" s="689">
        <f t="shared" si="3"/>
        <v>18</v>
      </c>
      <c r="BC14" s="687" t="s">
        <v>269</v>
      </c>
      <c r="BD14" s="689">
        <v>1</v>
      </c>
      <c r="BE14" s="689">
        <f>BD14+1</f>
        <v>2</v>
      </c>
      <c r="BF14" s="689">
        <f t="shared" si="3"/>
        <v>3</v>
      </c>
      <c r="BG14" s="689">
        <f t="shared" si="3"/>
        <v>4</v>
      </c>
      <c r="BH14" s="689">
        <f t="shared" si="3"/>
        <v>5</v>
      </c>
      <c r="BI14" s="689">
        <f t="shared" si="3"/>
        <v>6</v>
      </c>
      <c r="BJ14" s="689">
        <f t="shared" si="3"/>
        <v>7</v>
      </c>
      <c r="BK14" s="689">
        <f t="shared" si="3"/>
        <v>8</v>
      </c>
      <c r="BL14" s="689">
        <f t="shared" si="3"/>
        <v>9</v>
      </c>
      <c r="BM14" s="689">
        <f t="shared" si="3"/>
        <v>10</v>
      </c>
      <c r="BN14" s="689">
        <f t="shared" si="3"/>
        <v>11</v>
      </c>
      <c r="BO14" s="689">
        <f t="shared" si="4"/>
        <v>12</v>
      </c>
      <c r="BP14" s="689">
        <f t="shared" si="4"/>
        <v>13</v>
      </c>
      <c r="BQ14" s="689">
        <f t="shared" si="4"/>
        <v>14</v>
      </c>
      <c r="BR14" s="689">
        <f t="shared" si="4"/>
        <v>15</v>
      </c>
      <c r="BS14" s="689">
        <f t="shared" si="4"/>
        <v>16</v>
      </c>
      <c r="BT14" s="689">
        <f t="shared" si="4"/>
        <v>17</v>
      </c>
      <c r="BU14" s="689">
        <f t="shared" si="4"/>
        <v>18</v>
      </c>
      <c r="BV14" s="687" t="s">
        <v>1600</v>
      </c>
      <c r="BW14" s="689">
        <v>1</v>
      </c>
      <c r="BX14" s="689">
        <f>BW14+1</f>
        <v>2</v>
      </c>
      <c r="BY14" s="689">
        <f t="shared" si="4"/>
        <v>3</v>
      </c>
      <c r="BZ14" s="689">
        <f t="shared" si="4"/>
        <v>4</v>
      </c>
      <c r="CA14" s="689">
        <f t="shared" si="4"/>
        <v>5</v>
      </c>
      <c r="CB14" s="689">
        <f t="shared" si="4"/>
        <v>6</v>
      </c>
      <c r="CC14" s="689">
        <f t="shared" si="4"/>
        <v>7</v>
      </c>
      <c r="CD14" s="689">
        <f t="shared" si="4"/>
        <v>8</v>
      </c>
      <c r="CE14" s="689">
        <f t="shared" si="5"/>
        <v>9</v>
      </c>
      <c r="CF14" s="689">
        <f t="shared" si="5"/>
        <v>10</v>
      </c>
      <c r="CG14" s="689">
        <f t="shared" si="5"/>
        <v>11</v>
      </c>
      <c r="CH14" s="689">
        <f t="shared" si="5"/>
        <v>12</v>
      </c>
      <c r="CI14" s="689">
        <f t="shared" si="5"/>
        <v>13</v>
      </c>
      <c r="CJ14" s="689">
        <f t="shared" si="5"/>
        <v>14</v>
      </c>
      <c r="CK14" s="689">
        <f t="shared" si="5"/>
        <v>15</v>
      </c>
      <c r="CL14" s="689">
        <f t="shared" si="5"/>
        <v>16</v>
      </c>
      <c r="CM14" s="689">
        <f t="shared" si="5"/>
        <v>17</v>
      </c>
      <c r="CN14" s="689">
        <f t="shared" si="5"/>
        <v>18</v>
      </c>
      <c r="CO14" s="687" t="s">
        <v>1601</v>
      </c>
      <c r="CP14" s="689">
        <v>1</v>
      </c>
      <c r="CQ14" s="689">
        <f>CP14+1</f>
        <v>2</v>
      </c>
      <c r="CR14" s="689">
        <f t="shared" si="5"/>
        <v>3</v>
      </c>
      <c r="CS14" s="689">
        <f t="shared" si="5"/>
        <v>4</v>
      </c>
      <c r="CT14" s="689">
        <f t="shared" si="5"/>
        <v>5</v>
      </c>
      <c r="CU14" s="689">
        <f t="shared" si="6"/>
        <v>6</v>
      </c>
      <c r="CV14" s="689">
        <f t="shared" si="6"/>
        <v>7</v>
      </c>
      <c r="CW14" s="689">
        <f t="shared" si="6"/>
        <v>8</v>
      </c>
      <c r="CX14" s="689">
        <f t="shared" si="6"/>
        <v>9</v>
      </c>
      <c r="CY14" s="689">
        <f t="shared" si="6"/>
        <v>10</v>
      </c>
      <c r="CZ14" s="689">
        <f t="shared" si="6"/>
        <v>11</v>
      </c>
      <c r="DA14" s="689">
        <f t="shared" si="6"/>
        <v>12</v>
      </c>
      <c r="DB14" s="689">
        <f t="shared" si="6"/>
        <v>13</v>
      </c>
      <c r="DC14" s="689">
        <f t="shared" si="6"/>
        <v>14</v>
      </c>
      <c r="DD14" s="689">
        <f t="shared" si="6"/>
        <v>15</v>
      </c>
      <c r="DE14" s="689">
        <f t="shared" si="6"/>
        <v>16</v>
      </c>
      <c r="DF14" s="689">
        <f t="shared" si="6"/>
        <v>17</v>
      </c>
      <c r="DG14" s="689">
        <f t="shared" si="6"/>
        <v>18</v>
      </c>
      <c r="DH14" s="687" t="s">
        <v>1602</v>
      </c>
      <c r="DI14" s="689">
        <v>1</v>
      </c>
      <c r="DJ14" s="689">
        <f>DI14+1</f>
        <v>2</v>
      </c>
      <c r="DK14" s="689">
        <f t="shared" si="7"/>
        <v>3</v>
      </c>
      <c r="DL14" s="689">
        <f t="shared" si="7"/>
        <v>4</v>
      </c>
      <c r="DM14" s="689">
        <f t="shared" si="7"/>
        <v>5</v>
      </c>
      <c r="DN14" s="689">
        <f t="shared" si="7"/>
        <v>6</v>
      </c>
      <c r="DO14" s="689">
        <f t="shared" si="7"/>
        <v>7</v>
      </c>
      <c r="DP14" s="689">
        <f t="shared" si="7"/>
        <v>8</v>
      </c>
      <c r="DQ14" s="689">
        <f t="shared" si="7"/>
        <v>9</v>
      </c>
      <c r="DR14" s="689">
        <f t="shared" si="7"/>
        <v>10</v>
      </c>
      <c r="DS14" s="689">
        <f t="shared" si="7"/>
        <v>11</v>
      </c>
      <c r="DT14" s="689">
        <f t="shared" si="7"/>
        <v>12</v>
      </c>
      <c r="DU14" s="689">
        <f t="shared" si="7"/>
        <v>13</v>
      </c>
      <c r="DV14" s="689">
        <f t="shared" si="7"/>
        <v>14</v>
      </c>
      <c r="DW14" s="689">
        <f t="shared" si="7"/>
        <v>15</v>
      </c>
      <c r="DX14" s="689">
        <f t="shared" si="7"/>
        <v>16</v>
      </c>
      <c r="DY14" s="689">
        <f t="shared" si="7"/>
        <v>17</v>
      </c>
      <c r="DZ14" s="689">
        <f t="shared" si="7"/>
        <v>18</v>
      </c>
      <c r="EA14" s="687" t="s">
        <v>1603</v>
      </c>
      <c r="EB14" s="689">
        <v>1</v>
      </c>
      <c r="EC14" s="689">
        <f>EB14+1</f>
        <v>2</v>
      </c>
      <c r="ED14" s="689">
        <f t="shared" si="8"/>
        <v>3</v>
      </c>
      <c r="EE14" s="689">
        <f t="shared" si="8"/>
        <v>4</v>
      </c>
      <c r="EF14" s="689">
        <f t="shared" si="8"/>
        <v>5</v>
      </c>
      <c r="EG14" s="689">
        <f t="shared" si="8"/>
        <v>6</v>
      </c>
      <c r="EH14" s="689">
        <f t="shared" si="8"/>
        <v>7</v>
      </c>
      <c r="EI14" s="689">
        <f t="shared" si="8"/>
        <v>8</v>
      </c>
      <c r="EJ14" s="689">
        <f t="shared" si="8"/>
        <v>9</v>
      </c>
      <c r="EK14" s="689">
        <f t="shared" si="8"/>
        <v>10</v>
      </c>
      <c r="EL14" s="689">
        <f t="shared" si="8"/>
        <v>11</v>
      </c>
      <c r="EM14" s="689">
        <f t="shared" si="8"/>
        <v>12</v>
      </c>
      <c r="EN14" s="689">
        <f t="shared" si="8"/>
        <v>13</v>
      </c>
      <c r="EO14" s="689">
        <f t="shared" si="8"/>
        <v>14</v>
      </c>
      <c r="EP14" s="689">
        <f t="shared" si="8"/>
        <v>15</v>
      </c>
      <c r="EQ14" s="689">
        <f t="shared" si="9"/>
        <v>16</v>
      </c>
      <c r="ER14" s="689">
        <f t="shared" si="9"/>
        <v>17</v>
      </c>
      <c r="ES14" s="689">
        <f t="shared" si="9"/>
        <v>18</v>
      </c>
      <c r="ET14" s="687" t="s">
        <v>1604</v>
      </c>
      <c r="EU14" s="689">
        <v>1</v>
      </c>
      <c r="EV14" s="689">
        <f>EU14+1</f>
        <v>2</v>
      </c>
      <c r="EW14" s="689">
        <f t="shared" si="9"/>
        <v>3</v>
      </c>
      <c r="EX14" s="689">
        <f t="shared" si="9"/>
        <v>4</v>
      </c>
      <c r="EY14" s="689">
        <f t="shared" si="9"/>
        <v>5</v>
      </c>
      <c r="EZ14" s="689">
        <f t="shared" si="9"/>
        <v>6</v>
      </c>
      <c r="FA14" s="689">
        <f t="shared" si="9"/>
        <v>7</v>
      </c>
      <c r="FB14" s="689">
        <f t="shared" si="9"/>
        <v>8</v>
      </c>
      <c r="FC14" s="689">
        <f t="shared" si="9"/>
        <v>9</v>
      </c>
      <c r="FD14" s="689">
        <f t="shared" si="9"/>
        <v>10</v>
      </c>
      <c r="FE14" s="689">
        <f t="shared" si="9"/>
        <v>11</v>
      </c>
      <c r="FF14" s="689">
        <f t="shared" si="9"/>
        <v>12</v>
      </c>
      <c r="FG14" s="689">
        <f t="shared" si="10"/>
        <v>13</v>
      </c>
      <c r="FH14" s="689">
        <f t="shared" si="10"/>
        <v>14</v>
      </c>
      <c r="FI14" s="689">
        <f t="shared" si="10"/>
        <v>15</v>
      </c>
      <c r="FJ14" s="689">
        <f t="shared" si="10"/>
        <v>16</v>
      </c>
      <c r="FK14" s="689">
        <f t="shared" si="10"/>
        <v>17</v>
      </c>
      <c r="FL14" s="689">
        <f t="shared" si="10"/>
        <v>18</v>
      </c>
      <c r="FM14" s="687" t="s">
        <v>1605</v>
      </c>
      <c r="FN14" s="689">
        <v>1</v>
      </c>
      <c r="FO14" s="689">
        <f>FN14+1</f>
        <v>2</v>
      </c>
      <c r="FP14" s="689">
        <f t="shared" si="10"/>
        <v>3</v>
      </c>
      <c r="FQ14" s="689">
        <f t="shared" si="10"/>
        <v>4</v>
      </c>
      <c r="FR14" s="689">
        <f t="shared" si="10"/>
        <v>5</v>
      </c>
      <c r="FS14" s="689">
        <f t="shared" si="10"/>
        <v>6</v>
      </c>
      <c r="FT14" s="689">
        <f t="shared" si="10"/>
        <v>7</v>
      </c>
      <c r="FU14" s="689">
        <f t="shared" si="10"/>
        <v>8</v>
      </c>
      <c r="FV14" s="689">
        <f t="shared" si="10"/>
        <v>9</v>
      </c>
      <c r="FW14" s="689">
        <f t="shared" si="11"/>
        <v>10</v>
      </c>
      <c r="FX14" s="689">
        <f t="shared" si="11"/>
        <v>11</v>
      </c>
      <c r="FY14" s="689">
        <f t="shared" si="11"/>
        <v>12</v>
      </c>
      <c r="FZ14" s="689">
        <f t="shared" si="11"/>
        <v>13</v>
      </c>
      <c r="GA14" s="689">
        <f t="shared" si="11"/>
        <v>14</v>
      </c>
      <c r="GB14" s="689">
        <f t="shared" si="11"/>
        <v>15</v>
      </c>
      <c r="GC14" s="689">
        <f t="shared" si="11"/>
        <v>16</v>
      </c>
      <c r="GD14" s="689">
        <f t="shared" si="11"/>
        <v>17</v>
      </c>
      <c r="GE14" s="689">
        <f t="shared" si="11"/>
        <v>18</v>
      </c>
      <c r="GF14" s="687" t="s">
        <v>1606</v>
      </c>
      <c r="GG14" s="689">
        <v>1</v>
      </c>
      <c r="GH14" s="689">
        <f>GG14+1</f>
        <v>2</v>
      </c>
      <c r="GI14" s="689">
        <f t="shared" si="11"/>
        <v>3</v>
      </c>
      <c r="GJ14" s="689">
        <f t="shared" si="11"/>
        <v>4</v>
      </c>
      <c r="GK14" s="689">
        <f t="shared" si="11"/>
        <v>5</v>
      </c>
      <c r="GL14" s="689">
        <f t="shared" si="11"/>
        <v>6</v>
      </c>
      <c r="GM14" s="689">
        <f t="shared" si="12"/>
        <v>7</v>
      </c>
      <c r="GN14" s="689">
        <f t="shared" si="12"/>
        <v>8</v>
      </c>
      <c r="GO14" s="689">
        <f t="shared" si="12"/>
        <v>9</v>
      </c>
      <c r="GP14" s="689">
        <f t="shared" si="12"/>
        <v>10</v>
      </c>
      <c r="GQ14" s="689">
        <f t="shared" si="12"/>
        <v>11</v>
      </c>
      <c r="GR14" s="689">
        <f t="shared" si="12"/>
        <v>12</v>
      </c>
      <c r="GS14" s="689">
        <f t="shared" si="12"/>
        <v>13</v>
      </c>
      <c r="GT14" s="689">
        <f t="shared" si="12"/>
        <v>14</v>
      </c>
      <c r="GU14" s="689">
        <f t="shared" si="12"/>
        <v>15</v>
      </c>
      <c r="GV14" s="689">
        <f t="shared" si="12"/>
        <v>16</v>
      </c>
      <c r="GW14" s="689">
        <f t="shared" si="12"/>
        <v>17</v>
      </c>
      <c r="GX14" s="689">
        <f t="shared" si="12"/>
        <v>18</v>
      </c>
      <c r="GY14" s="687" t="s">
        <v>1607</v>
      </c>
      <c r="GZ14" s="689">
        <v>1</v>
      </c>
      <c r="HA14" s="689">
        <f>GZ14+1</f>
        <v>2</v>
      </c>
      <c r="HB14" s="689">
        <f t="shared" si="12"/>
        <v>3</v>
      </c>
      <c r="HC14" s="689">
        <f t="shared" si="13"/>
        <v>4</v>
      </c>
      <c r="HD14" s="689">
        <f t="shared" si="13"/>
        <v>5</v>
      </c>
      <c r="HE14" s="689">
        <f t="shared" si="13"/>
        <v>6</v>
      </c>
      <c r="HF14" s="689">
        <f t="shared" si="13"/>
        <v>7</v>
      </c>
      <c r="HG14" s="689">
        <f t="shared" si="13"/>
        <v>8</v>
      </c>
      <c r="HH14" s="689">
        <f t="shared" si="13"/>
        <v>9</v>
      </c>
      <c r="HI14" s="689">
        <f t="shared" si="13"/>
        <v>10</v>
      </c>
      <c r="HJ14" s="689">
        <f t="shared" si="13"/>
        <v>11</v>
      </c>
      <c r="HK14" s="689">
        <f t="shared" si="13"/>
        <v>12</v>
      </c>
      <c r="HL14" s="689">
        <f t="shared" si="13"/>
        <v>13</v>
      </c>
      <c r="HM14" s="689">
        <f t="shared" si="13"/>
        <v>14</v>
      </c>
      <c r="HN14" s="689">
        <f t="shared" si="13"/>
        <v>15</v>
      </c>
      <c r="HO14" s="689">
        <f t="shared" si="13"/>
        <v>16</v>
      </c>
      <c r="HP14" s="689">
        <f t="shared" si="13"/>
        <v>17</v>
      </c>
      <c r="HQ14" s="689">
        <f t="shared" si="13"/>
        <v>18</v>
      </c>
      <c r="HR14" s="687" t="s">
        <v>256</v>
      </c>
      <c r="HS14" s="689">
        <v>1</v>
      </c>
      <c r="HT14" s="689">
        <f>HS14+1</f>
        <v>2</v>
      </c>
      <c r="HU14" s="689">
        <f t="shared" si="14"/>
        <v>3</v>
      </c>
      <c r="HV14" s="689">
        <f t="shared" si="14"/>
        <v>4</v>
      </c>
      <c r="HW14" s="689">
        <f t="shared" si="14"/>
        <v>5</v>
      </c>
      <c r="HX14" s="689">
        <f t="shared" si="14"/>
        <v>6</v>
      </c>
      <c r="HY14" s="689">
        <f t="shared" si="14"/>
        <v>7</v>
      </c>
      <c r="HZ14" s="689">
        <f t="shared" si="14"/>
        <v>8</v>
      </c>
      <c r="IA14" s="689">
        <f t="shared" si="14"/>
        <v>9</v>
      </c>
      <c r="IB14" s="689">
        <f t="shared" si="14"/>
        <v>10</v>
      </c>
      <c r="IC14" s="689">
        <f t="shared" si="14"/>
        <v>11</v>
      </c>
      <c r="ID14" s="689">
        <f t="shared" si="14"/>
        <v>12</v>
      </c>
      <c r="IE14" s="689">
        <f t="shared" si="14"/>
        <v>13</v>
      </c>
      <c r="IF14" s="689">
        <f t="shared" si="14"/>
        <v>14</v>
      </c>
      <c r="IG14" s="689">
        <f t="shared" si="14"/>
        <v>15</v>
      </c>
      <c r="IH14" s="689">
        <f t="shared" si="14"/>
        <v>16</v>
      </c>
      <c r="II14" s="689">
        <f t="shared" si="15"/>
        <v>17</v>
      </c>
      <c r="IJ14" s="689">
        <f t="shared" si="15"/>
        <v>18</v>
      </c>
      <c r="IK14" s="687" t="s">
        <v>257</v>
      </c>
      <c r="IL14" s="689">
        <v>1</v>
      </c>
      <c r="IM14" s="689">
        <f>IL14+1</f>
        <v>2</v>
      </c>
      <c r="IN14" s="689">
        <f t="shared" si="15"/>
        <v>3</v>
      </c>
      <c r="IO14" s="689">
        <f t="shared" si="15"/>
        <v>4</v>
      </c>
      <c r="IP14" s="689">
        <f t="shared" si="15"/>
        <v>5</v>
      </c>
      <c r="IQ14" s="689">
        <f t="shared" si="15"/>
        <v>6</v>
      </c>
      <c r="IR14" s="689">
        <f t="shared" si="15"/>
        <v>7</v>
      </c>
      <c r="IS14" s="689">
        <f t="shared" si="15"/>
        <v>8</v>
      </c>
      <c r="IT14" s="689">
        <f t="shared" si="15"/>
        <v>9</v>
      </c>
      <c r="IU14" s="689">
        <f t="shared" si="15"/>
        <v>10</v>
      </c>
      <c r="IV14" s="689">
        <f t="shared" si="15"/>
        <v>11</v>
      </c>
      <c r="IW14" s="689">
        <f t="shared" si="15"/>
        <v>12</v>
      </c>
      <c r="IX14" s="689">
        <f t="shared" si="15"/>
        <v>13</v>
      </c>
      <c r="IY14" s="689">
        <f t="shared" si="16"/>
        <v>14</v>
      </c>
      <c r="IZ14" s="689">
        <f t="shared" si="16"/>
        <v>15</v>
      </c>
      <c r="JA14" s="689">
        <f t="shared" si="16"/>
        <v>16</v>
      </c>
      <c r="JB14" s="689">
        <f t="shared" si="16"/>
        <v>17</v>
      </c>
      <c r="JC14" s="689">
        <f t="shared" si="16"/>
        <v>18</v>
      </c>
      <c r="JD14" s="687" t="s">
        <v>270</v>
      </c>
      <c r="JE14" s="689">
        <v>1</v>
      </c>
      <c r="JF14" s="689">
        <f>JE14+1</f>
        <v>2</v>
      </c>
      <c r="JG14" s="689">
        <f t="shared" si="16"/>
        <v>3</v>
      </c>
      <c r="JH14" s="689">
        <f t="shared" si="16"/>
        <v>4</v>
      </c>
      <c r="JI14" s="689">
        <f t="shared" si="16"/>
        <v>5</v>
      </c>
      <c r="JJ14" s="689">
        <f t="shared" si="16"/>
        <v>6</v>
      </c>
      <c r="JK14" s="689">
        <f t="shared" si="16"/>
        <v>7</v>
      </c>
      <c r="JL14" s="689">
        <f t="shared" si="16"/>
        <v>8</v>
      </c>
      <c r="JM14" s="689">
        <f t="shared" si="16"/>
        <v>9</v>
      </c>
      <c r="JN14" s="689">
        <f t="shared" si="16"/>
        <v>10</v>
      </c>
      <c r="JO14" s="689">
        <f t="shared" si="17"/>
        <v>11</v>
      </c>
      <c r="JP14" s="689">
        <f t="shared" si="17"/>
        <v>12</v>
      </c>
      <c r="JQ14" s="689">
        <f t="shared" si="17"/>
        <v>13</v>
      </c>
      <c r="JR14" s="689">
        <f t="shared" si="17"/>
        <v>14</v>
      </c>
      <c r="JS14" s="689">
        <f t="shared" si="17"/>
        <v>15</v>
      </c>
      <c r="JT14" s="689">
        <f t="shared" si="17"/>
        <v>16</v>
      </c>
      <c r="JU14" s="689">
        <f t="shared" si="17"/>
        <v>17</v>
      </c>
      <c r="JV14" s="689">
        <f t="shared" si="17"/>
        <v>18</v>
      </c>
      <c r="JW14" s="687" t="s">
        <v>271</v>
      </c>
      <c r="JX14" s="689">
        <v>1</v>
      </c>
      <c r="JY14" s="689">
        <f>JX14+1</f>
        <v>2</v>
      </c>
      <c r="JZ14" s="689">
        <f t="shared" si="17"/>
        <v>3</v>
      </c>
      <c r="KA14" s="689">
        <f t="shared" si="17"/>
        <v>4</v>
      </c>
      <c r="KB14" s="689">
        <f t="shared" si="17"/>
        <v>5</v>
      </c>
      <c r="KC14" s="689">
        <f t="shared" si="17"/>
        <v>6</v>
      </c>
      <c r="KD14" s="689">
        <f t="shared" si="17"/>
        <v>7</v>
      </c>
      <c r="KE14" s="689">
        <f t="shared" si="18"/>
        <v>8</v>
      </c>
      <c r="KF14" s="689">
        <f t="shared" si="18"/>
        <v>9</v>
      </c>
      <c r="KG14" s="689">
        <f t="shared" si="18"/>
        <v>10</v>
      </c>
      <c r="KH14" s="689">
        <f t="shared" si="18"/>
        <v>11</v>
      </c>
      <c r="KI14" s="689">
        <f t="shared" si="18"/>
        <v>12</v>
      </c>
      <c r="KJ14" s="689">
        <f t="shared" si="18"/>
        <v>13</v>
      </c>
      <c r="KK14" s="689">
        <f t="shared" si="18"/>
        <v>14</v>
      </c>
      <c r="KL14" s="689">
        <f t="shared" si="18"/>
        <v>15</v>
      </c>
      <c r="KM14" s="689">
        <f t="shared" si="18"/>
        <v>16</v>
      </c>
      <c r="KN14" s="689">
        <f t="shared" si="18"/>
        <v>17</v>
      </c>
      <c r="KO14" s="690">
        <f t="shared" si="18"/>
        <v>18</v>
      </c>
    </row>
    <row r="15" spans="1:301" ht="15" customHeight="1">
      <c r="A15" s="845"/>
      <c r="B15" s="618"/>
      <c r="C15" s="655"/>
      <c r="D15" s="618"/>
      <c r="E15" s="618"/>
      <c r="F15" s="618"/>
      <c r="G15" s="618"/>
      <c r="H15" s="618"/>
      <c r="I15" s="618"/>
      <c r="J15" s="618"/>
      <c r="K15" s="618"/>
      <c r="L15" s="618"/>
      <c r="M15" s="618"/>
      <c r="N15" s="656"/>
      <c r="O15" s="656"/>
      <c r="P15" s="656"/>
      <c r="Q15" s="656"/>
      <c r="R15" s="618"/>
      <c r="S15" s="618"/>
      <c r="T15" s="618"/>
      <c r="U15" s="618"/>
      <c r="V15" s="618"/>
      <c r="W15" s="657">
        <v>0.75</v>
      </c>
      <c r="X15" s="562"/>
      <c r="Y15" s="562"/>
      <c r="Z15" s="618"/>
      <c r="AA15" s="618"/>
      <c r="AB15" s="562"/>
      <c r="AC15" s="790"/>
      <c r="AD15" s="619"/>
      <c r="AE15" s="619"/>
      <c r="AF15" s="619"/>
      <c r="AG15" s="619"/>
      <c r="AH15" s="618"/>
      <c r="AI15" s="846"/>
      <c r="AJ15" s="658"/>
      <c r="AK15" s="656"/>
      <c r="AL15" s="656"/>
      <c r="AM15" s="656"/>
      <c r="AN15" s="618"/>
      <c r="AO15" s="618"/>
      <c r="AP15" s="656"/>
      <c r="AQ15" s="656"/>
      <c r="AR15" s="656"/>
      <c r="AS15" s="656"/>
      <c r="AT15" s="656"/>
      <c r="AU15" s="656"/>
      <c r="AV15" s="656"/>
      <c r="AW15" s="656"/>
      <c r="AX15" s="656"/>
      <c r="AY15" s="656"/>
      <c r="AZ15" s="656"/>
      <c r="BA15" s="656"/>
      <c r="BB15" s="659"/>
      <c r="BC15" s="658"/>
      <c r="BD15" s="656"/>
      <c r="BE15" s="656"/>
      <c r="BF15" s="656"/>
      <c r="BG15" s="618"/>
      <c r="BH15" s="618"/>
      <c r="BI15" s="656"/>
      <c r="BJ15" s="656"/>
      <c r="BK15" s="656"/>
      <c r="BL15" s="656"/>
      <c r="BM15" s="656"/>
      <c r="BN15" s="656"/>
      <c r="BO15" s="656"/>
      <c r="BP15" s="656"/>
      <c r="BQ15" s="656"/>
      <c r="BR15" s="656"/>
      <c r="BS15" s="656"/>
      <c r="BT15" s="656"/>
      <c r="BU15" s="659"/>
      <c r="BV15" s="658"/>
      <c r="BW15" s="656"/>
      <c r="BX15" s="656"/>
      <c r="BY15" s="656"/>
      <c r="BZ15" s="618"/>
      <c r="CA15" s="618"/>
      <c r="CB15" s="656"/>
      <c r="CC15" s="656"/>
      <c r="CD15" s="656"/>
      <c r="CE15" s="656"/>
      <c r="CF15" s="656"/>
      <c r="CG15" s="656"/>
      <c r="CH15" s="656"/>
      <c r="CI15" s="656"/>
      <c r="CJ15" s="656"/>
      <c r="CK15" s="656"/>
      <c r="CL15" s="656"/>
      <c r="CM15" s="656"/>
      <c r="CN15" s="659"/>
      <c r="CO15" s="658"/>
      <c r="CP15" s="656"/>
      <c r="CQ15" s="656"/>
      <c r="CR15" s="656"/>
      <c r="CS15" s="618"/>
      <c r="CT15" s="618"/>
      <c r="CU15" s="656"/>
      <c r="CV15" s="656"/>
      <c r="CW15" s="656"/>
      <c r="CX15" s="656"/>
      <c r="CY15" s="656"/>
      <c r="CZ15" s="656"/>
      <c r="DA15" s="656"/>
      <c r="DB15" s="656"/>
      <c r="DC15" s="656"/>
      <c r="DD15" s="656"/>
      <c r="DE15" s="656"/>
      <c r="DF15" s="656"/>
      <c r="DG15" s="659"/>
      <c r="DH15" s="658"/>
      <c r="DI15" s="656"/>
      <c r="DJ15" s="656"/>
      <c r="DK15" s="656"/>
      <c r="DL15" s="618"/>
      <c r="DM15" s="618"/>
      <c r="DN15" s="656"/>
      <c r="DO15" s="656"/>
      <c r="DP15" s="656"/>
      <c r="DQ15" s="656"/>
      <c r="DR15" s="656"/>
      <c r="DS15" s="656"/>
      <c r="DT15" s="656"/>
      <c r="DU15" s="656"/>
      <c r="DV15" s="656"/>
      <c r="DW15" s="656"/>
      <c r="DX15" s="656"/>
      <c r="DY15" s="656"/>
      <c r="DZ15" s="659"/>
      <c r="EA15" s="658"/>
      <c r="EB15" s="656"/>
      <c r="EC15" s="656"/>
      <c r="ED15" s="656"/>
      <c r="EE15" s="618"/>
      <c r="EF15" s="618"/>
      <c r="EG15" s="656"/>
      <c r="EH15" s="656"/>
      <c r="EI15" s="656"/>
      <c r="EJ15" s="656"/>
      <c r="EK15" s="656"/>
      <c r="EL15" s="656"/>
      <c r="EM15" s="656"/>
      <c r="EN15" s="656"/>
      <c r="EO15" s="656"/>
      <c r="EP15" s="656"/>
      <c r="EQ15" s="656"/>
      <c r="ER15" s="656"/>
      <c r="ES15" s="659"/>
      <c r="ET15" s="658"/>
      <c r="EU15" s="656"/>
      <c r="EV15" s="656"/>
      <c r="EW15" s="656"/>
      <c r="EX15" s="618"/>
      <c r="EY15" s="618"/>
      <c r="EZ15" s="656"/>
      <c r="FA15" s="656"/>
      <c r="FB15" s="656"/>
      <c r="FC15" s="656"/>
      <c r="FD15" s="656"/>
      <c r="FE15" s="656"/>
      <c r="FF15" s="656"/>
      <c r="FG15" s="656"/>
      <c r="FH15" s="656"/>
      <c r="FI15" s="656"/>
      <c r="FJ15" s="656"/>
      <c r="FK15" s="656"/>
      <c r="FL15" s="659"/>
      <c r="FM15" s="658"/>
      <c r="FN15" s="656"/>
      <c r="FO15" s="656"/>
      <c r="FP15" s="656"/>
      <c r="FQ15" s="618"/>
      <c r="FR15" s="618"/>
      <c r="FS15" s="656"/>
      <c r="FT15" s="656"/>
      <c r="FU15" s="656"/>
      <c r="FV15" s="656"/>
      <c r="FW15" s="656"/>
      <c r="FX15" s="656"/>
      <c r="FY15" s="656"/>
      <c r="FZ15" s="656"/>
      <c r="GA15" s="656"/>
      <c r="GB15" s="656"/>
      <c r="GC15" s="656"/>
      <c r="GD15" s="656"/>
      <c r="GE15" s="659"/>
      <c r="GF15" s="658"/>
      <c r="GG15" s="656"/>
      <c r="GH15" s="656"/>
      <c r="GI15" s="656"/>
      <c r="GJ15" s="618"/>
      <c r="GK15" s="618"/>
      <c r="GL15" s="656"/>
      <c r="GM15" s="656"/>
      <c r="GN15" s="656"/>
      <c r="GO15" s="656"/>
      <c r="GP15" s="656"/>
      <c r="GQ15" s="656"/>
      <c r="GR15" s="656"/>
      <c r="GS15" s="656"/>
      <c r="GT15" s="656"/>
      <c r="GU15" s="656"/>
      <c r="GV15" s="656"/>
      <c r="GW15" s="656"/>
      <c r="GX15" s="659"/>
      <c r="GY15" s="658"/>
      <c r="GZ15" s="656"/>
      <c r="HA15" s="656"/>
      <c r="HB15" s="656"/>
      <c r="HC15" s="618"/>
      <c r="HD15" s="618"/>
      <c r="HE15" s="656"/>
      <c r="HF15" s="656"/>
      <c r="HG15" s="656"/>
      <c r="HH15" s="656"/>
      <c r="HI15" s="656"/>
      <c r="HJ15" s="656"/>
      <c r="HK15" s="656"/>
      <c r="HL15" s="656"/>
      <c r="HM15" s="656"/>
      <c r="HN15" s="656"/>
      <c r="HO15" s="656"/>
      <c r="HP15" s="656"/>
      <c r="HQ15" s="659"/>
      <c r="HR15" s="658"/>
      <c r="HS15" s="656"/>
      <c r="HT15" s="656"/>
      <c r="HU15" s="656"/>
      <c r="HV15" s="618"/>
      <c r="HW15" s="618"/>
      <c r="HX15" s="656"/>
      <c r="HY15" s="656"/>
      <c r="HZ15" s="656"/>
      <c r="IA15" s="656"/>
      <c r="IB15" s="656"/>
      <c r="IC15" s="656"/>
      <c r="ID15" s="656"/>
      <c r="IE15" s="656"/>
      <c r="IF15" s="656"/>
      <c r="IG15" s="656"/>
      <c r="IH15" s="656"/>
      <c r="II15" s="656"/>
      <c r="IJ15" s="659"/>
      <c r="IK15" s="658"/>
      <c r="IL15" s="656"/>
      <c r="IM15" s="656"/>
      <c r="IN15" s="656"/>
      <c r="IO15" s="618"/>
      <c r="IP15" s="618"/>
      <c r="IQ15" s="656"/>
      <c r="IR15" s="656"/>
      <c r="IS15" s="656"/>
      <c r="IT15" s="656"/>
      <c r="IU15" s="656"/>
      <c r="IV15" s="656"/>
      <c r="IW15" s="656"/>
      <c r="IX15" s="656"/>
      <c r="IY15" s="656"/>
      <c r="IZ15" s="656"/>
      <c r="JA15" s="656"/>
      <c r="JB15" s="656"/>
      <c r="JC15" s="659"/>
      <c r="JD15" s="658"/>
      <c r="JE15" s="656"/>
      <c r="JF15" s="656"/>
      <c r="JG15" s="656"/>
      <c r="JH15" s="618"/>
      <c r="JI15" s="618"/>
      <c r="JJ15" s="656"/>
      <c r="JK15" s="656"/>
      <c r="JL15" s="656"/>
      <c r="JM15" s="656"/>
      <c r="JN15" s="656"/>
      <c r="JO15" s="656"/>
      <c r="JP15" s="656"/>
      <c r="JQ15" s="656"/>
      <c r="JR15" s="656"/>
      <c r="JS15" s="656"/>
      <c r="JT15" s="656"/>
      <c r="JU15" s="656"/>
      <c r="JV15" s="659"/>
      <c r="JW15" s="658"/>
      <c r="JX15" s="656"/>
      <c r="JY15" s="656"/>
      <c r="JZ15" s="656"/>
      <c r="KA15" s="618"/>
      <c r="KB15" s="618"/>
      <c r="KC15" s="656"/>
      <c r="KD15" s="656"/>
      <c r="KE15" s="656"/>
      <c r="KF15" s="656"/>
      <c r="KG15" s="656"/>
      <c r="KH15" s="656"/>
      <c r="KI15" s="656"/>
      <c r="KJ15" s="656"/>
      <c r="KK15" s="656"/>
      <c r="KL15" s="656"/>
      <c r="KM15" s="656"/>
      <c r="KN15" s="656"/>
      <c r="KO15" s="660"/>
    </row>
    <row r="16" spans="1:301" s="621" customFormat="1" ht="60" customHeight="1" thickBot="1">
      <c r="A16" s="822" t="s">
        <v>1656</v>
      </c>
      <c r="B16" s="824" t="s">
        <v>570</v>
      </c>
      <c r="C16" s="824" t="s">
        <v>224</v>
      </c>
      <c r="D16" s="824" t="s">
        <v>213</v>
      </c>
      <c r="E16" s="824" t="s">
        <v>702</v>
      </c>
      <c r="F16" s="824" t="s">
        <v>281</v>
      </c>
      <c r="G16" s="824" t="s">
        <v>703</v>
      </c>
      <c r="H16" s="824" t="s">
        <v>566</v>
      </c>
      <c r="I16" s="824" t="s">
        <v>223</v>
      </c>
      <c r="J16" s="824" t="s">
        <v>320</v>
      </c>
      <c r="K16" s="824" t="s">
        <v>321</v>
      </c>
      <c r="L16" s="824" t="s">
        <v>1590</v>
      </c>
      <c r="M16" s="824" t="s">
        <v>705</v>
      </c>
      <c r="N16" s="824" t="s">
        <v>221</v>
      </c>
      <c r="O16" s="824" t="s">
        <v>784</v>
      </c>
      <c r="P16" s="824" t="s">
        <v>222</v>
      </c>
      <c r="Q16" s="824" t="s">
        <v>785</v>
      </c>
      <c r="R16" s="824" t="s">
        <v>706</v>
      </c>
      <c r="S16" s="824" t="s">
        <v>707</v>
      </c>
      <c r="T16" s="824" t="s">
        <v>786</v>
      </c>
      <c r="U16" s="824" t="s">
        <v>708</v>
      </c>
      <c r="V16" s="824" t="s">
        <v>709</v>
      </c>
      <c r="W16" s="825" t="s">
        <v>710</v>
      </c>
      <c r="X16" s="824" t="s">
        <v>394</v>
      </c>
      <c r="Y16" s="824" t="s">
        <v>285</v>
      </c>
      <c r="Z16" s="824" t="s">
        <v>286</v>
      </c>
      <c r="AA16" s="824" t="s">
        <v>711</v>
      </c>
      <c r="AB16" s="824" t="s">
        <v>712</v>
      </c>
      <c r="AC16" s="824" t="s">
        <v>665</v>
      </c>
      <c r="AD16" s="826" t="s">
        <v>713</v>
      </c>
      <c r="AE16" s="826" t="s">
        <v>714</v>
      </c>
      <c r="AF16" s="826" t="s">
        <v>715</v>
      </c>
      <c r="AG16" s="826" t="s">
        <v>716</v>
      </c>
      <c r="AH16" s="824"/>
      <c r="AI16" s="827" t="s">
        <v>717</v>
      </c>
      <c r="AJ16" s="828" t="s">
        <v>989</v>
      </c>
      <c r="AK16" s="824" t="s">
        <v>718</v>
      </c>
      <c r="AL16" s="824" t="s">
        <v>1591</v>
      </c>
      <c r="AM16" s="824" t="s">
        <v>1592</v>
      </c>
      <c r="AN16" s="824" t="s">
        <v>719</v>
      </c>
      <c r="AO16" s="824" t="s">
        <v>1644</v>
      </c>
      <c r="AP16" s="824" t="s">
        <v>258</v>
      </c>
      <c r="AQ16" s="824" t="s">
        <v>778</v>
      </c>
      <c r="AR16" s="824" t="s">
        <v>1593</v>
      </c>
      <c r="AS16" s="824" t="s">
        <v>1594</v>
      </c>
      <c r="AT16" s="824" t="s">
        <v>1595</v>
      </c>
      <c r="AU16" s="824" t="s">
        <v>1596</v>
      </c>
      <c r="AV16" s="824" t="s">
        <v>262</v>
      </c>
      <c r="AW16" s="824" t="s">
        <v>1597</v>
      </c>
      <c r="AX16" s="824" t="s">
        <v>1598</v>
      </c>
      <c r="AY16" s="824" t="s">
        <v>1599</v>
      </c>
      <c r="AZ16" s="824" t="s">
        <v>265</v>
      </c>
      <c r="BA16" s="829" t="s">
        <v>181</v>
      </c>
      <c r="BB16" s="830" t="s">
        <v>175</v>
      </c>
      <c r="BC16" s="828" t="s">
        <v>989</v>
      </c>
      <c r="BD16" s="824" t="s">
        <v>718</v>
      </c>
      <c r="BE16" s="824" t="s">
        <v>1591</v>
      </c>
      <c r="BF16" s="824" t="s">
        <v>1592</v>
      </c>
      <c r="BG16" s="824" t="s">
        <v>719</v>
      </c>
      <c r="BH16" s="824" t="s">
        <v>1644</v>
      </c>
      <c r="BI16" s="824" t="s">
        <v>258</v>
      </c>
      <c r="BJ16" s="824" t="s">
        <v>778</v>
      </c>
      <c r="BK16" s="824" t="s">
        <v>1593</v>
      </c>
      <c r="BL16" s="824" t="s">
        <v>1594</v>
      </c>
      <c r="BM16" s="824" t="s">
        <v>1595</v>
      </c>
      <c r="BN16" s="824" t="s">
        <v>1596</v>
      </c>
      <c r="BO16" s="824" t="s">
        <v>262</v>
      </c>
      <c r="BP16" s="824" t="s">
        <v>1597</v>
      </c>
      <c r="BQ16" s="824" t="s">
        <v>1598</v>
      </c>
      <c r="BR16" s="824" t="s">
        <v>1599</v>
      </c>
      <c r="BS16" s="824" t="s">
        <v>265</v>
      </c>
      <c r="BT16" s="829" t="s">
        <v>181</v>
      </c>
      <c r="BU16" s="830" t="s">
        <v>175</v>
      </c>
      <c r="BV16" s="828" t="s">
        <v>989</v>
      </c>
      <c r="BW16" s="824" t="s">
        <v>718</v>
      </c>
      <c r="BX16" s="824" t="s">
        <v>1591</v>
      </c>
      <c r="BY16" s="824" t="s">
        <v>1592</v>
      </c>
      <c r="BZ16" s="824" t="s">
        <v>719</v>
      </c>
      <c r="CA16" s="824" t="s">
        <v>1644</v>
      </c>
      <c r="CB16" s="824" t="s">
        <v>258</v>
      </c>
      <c r="CC16" s="824" t="s">
        <v>778</v>
      </c>
      <c r="CD16" s="824" t="s">
        <v>1593</v>
      </c>
      <c r="CE16" s="824" t="s">
        <v>1594</v>
      </c>
      <c r="CF16" s="824" t="s">
        <v>1595</v>
      </c>
      <c r="CG16" s="824" t="s">
        <v>1596</v>
      </c>
      <c r="CH16" s="824" t="s">
        <v>262</v>
      </c>
      <c r="CI16" s="824" t="s">
        <v>1597</v>
      </c>
      <c r="CJ16" s="824" t="s">
        <v>1598</v>
      </c>
      <c r="CK16" s="824" t="s">
        <v>1599</v>
      </c>
      <c r="CL16" s="824" t="s">
        <v>265</v>
      </c>
      <c r="CM16" s="829" t="s">
        <v>181</v>
      </c>
      <c r="CN16" s="830" t="s">
        <v>175</v>
      </c>
      <c r="CO16" s="828" t="s">
        <v>989</v>
      </c>
      <c r="CP16" s="824" t="s">
        <v>718</v>
      </c>
      <c r="CQ16" s="824" t="s">
        <v>1591</v>
      </c>
      <c r="CR16" s="824" t="s">
        <v>1592</v>
      </c>
      <c r="CS16" s="824" t="s">
        <v>719</v>
      </c>
      <c r="CT16" s="824" t="s">
        <v>1644</v>
      </c>
      <c r="CU16" s="824" t="s">
        <v>258</v>
      </c>
      <c r="CV16" s="824" t="s">
        <v>778</v>
      </c>
      <c r="CW16" s="824" t="s">
        <v>1593</v>
      </c>
      <c r="CX16" s="824" t="s">
        <v>1594</v>
      </c>
      <c r="CY16" s="824" t="s">
        <v>1595</v>
      </c>
      <c r="CZ16" s="824" t="s">
        <v>1596</v>
      </c>
      <c r="DA16" s="824" t="s">
        <v>262</v>
      </c>
      <c r="DB16" s="824" t="s">
        <v>1597</v>
      </c>
      <c r="DC16" s="824" t="s">
        <v>1598</v>
      </c>
      <c r="DD16" s="824" t="s">
        <v>1599</v>
      </c>
      <c r="DE16" s="824" t="s">
        <v>265</v>
      </c>
      <c r="DF16" s="829" t="s">
        <v>181</v>
      </c>
      <c r="DG16" s="830" t="s">
        <v>175</v>
      </c>
      <c r="DH16" s="828" t="s">
        <v>989</v>
      </c>
      <c r="DI16" s="824" t="s">
        <v>718</v>
      </c>
      <c r="DJ16" s="824" t="s">
        <v>1591</v>
      </c>
      <c r="DK16" s="824" t="s">
        <v>1592</v>
      </c>
      <c r="DL16" s="824" t="s">
        <v>719</v>
      </c>
      <c r="DM16" s="824" t="s">
        <v>1644</v>
      </c>
      <c r="DN16" s="824" t="s">
        <v>258</v>
      </c>
      <c r="DO16" s="824" t="s">
        <v>778</v>
      </c>
      <c r="DP16" s="824" t="s">
        <v>1593</v>
      </c>
      <c r="DQ16" s="824" t="s">
        <v>1594</v>
      </c>
      <c r="DR16" s="824" t="s">
        <v>1595</v>
      </c>
      <c r="DS16" s="824" t="s">
        <v>1596</v>
      </c>
      <c r="DT16" s="824" t="s">
        <v>262</v>
      </c>
      <c r="DU16" s="824" t="s">
        <v>1597</v>
      </c>
      <c r="DV16" s="824" t="s">
        <v>1598</v>
      </c>
      <c r="DW16" s="824" t="s">
        <v>1599</v>
      </c>
      <c r="DX16" s="824" t="s">
        <v>265</v>
      </c>
      <c r="DY16" s="829" t="s">
        <v>181</v>
      </c>
      <c r="DZ16" s="830" t="s">
        <v>175</v>
      </c>
      <c r="EA16" s="828" t="s">
        <v>989</v>
      </c>
      <c r="EB16" s="824" t="s">
        <v>718</v>
      </c>
      <c r="EC16" s="824" t="s">
        <v>1591</v>
      </c>
      <c r="ED16" s="824" t="s">
        <v>1592</v>
      </c>
      <c r="EE16" s="824" t="s">
        <v>719</v>
      </c>
      <c r="EF16" s="824" t="s">
        <v>1644</v>
      </c>
      <c r="EG16" s="824" t="s">
        <v>258</v>
      </c>
      <c r="EH16" s="824" t="s">
        <v>778</v>
      </c>
      <c r="EI16" s="824" t="s">
        <v>1593</v>
      </c>
      <c r="EJ16" s="824" t="s">
        <v>1594</v>
      </c>
      <c r="EK16" s="824" t="s">
        <v>1595</v>
      </c>
      <c r="EL16" s="824" t="s">
        <v>1596</v>
      </c>
      <c r="EM16" s="824" t="s">
        <v>262</v>
      </c>
      <c r="EN16" s="824" t="s">
        <v>1597</v>
      </c>
      <c r="EO16" s="824" t="s">
        <v>1598</v>
      </c>
      <c r="EP16" s="824" t="s">
        <v>1599</v>
      </c>
      <c r="EQ16" s="824" t="s">
        <v>265</v>
      </c>
      <c r="ER16" s="829" t="s">
        <v>181</v>
      </c>
      <c r="ES16" s="830" t="s">
        <v>175</v>
      </c>
      <c r="ET16" s="828" t="s">
        <v>989</v>
      </c>
      <c r="EU16" s="824" t="s">
        <v>718</v>
      </c>
      <c r="EV16" s="824" t="s">
        <v>1591</v>
      </c>
      <c r="EW16" s="824" t="s">
        <v>1592</v>
      </c>
      <c r="EX16" s="824" t="s">
        <v>719</v>
      </c>
      <c r="EY16" s="824" t="s">
        <v>1644</v>
      </c>
      <c r="EZ16" s="824" t="s">
        <v>258</v>
      </c>
      <c r="FA16" s="824" t="s">
        <v>778</v>
      </c>
      <c r="FB16" s="824" t="s">
        <v>1593</v>
      </c>
      <c r="FC16" s="824" t="s">
        <v>1594</v>
      </c>
      <c r="FD16" s="824" t="s">
        <v>1595</v>
      </c>
      <c r="FE16" s="824" t="s">
        <v>1596</v>
      </c>
      <c r="FF16" s="824" t="s">
        <v>262</v>
      </c>
      <c r="FG16" s="824" t="s">
        <v>1597</v>
      </c>
      <c r="FH16" s="824" t="s">
        <v>1598</v>
      </c>
      <c r="FI16" s="824" t="s">
        <v>1599</v>
      </c>
      <c r="FJ16" s="824" t="s">
        <v>265</v>
      </c>
      <c r="FK16" s="829" t="s">
        <v>181</v>
      </c>
      <c r="FL16" s="830" t="s">
        <v>175</v>
      </c>
      <c r="FM16" s="828" t="s">
        <v>989</v>
      </c>
      <c r="FN16" s="824" t="s">
        <v>718</v>
      </c>
      <c r="FO16" s="824" t="s">
        <v>1591</v>
      </c>
      <c r="FP16" s="824" t="s">
        <v>1592</v>
      </c>
      <c r="FQ16" s="824" t="s">
        <v>719</v>
      </c>
      <c r="FR16" s="824" t="s">
        <v>1644</v>
      </c>
      <c r="FS16" s="824" t="s">
        <v>258</v>
      </c>
      <c r="FT16" s="824" t="s">
        <v>778</v>
      </c>
      <c r="FU16" s="824" t="s">
        <v>1593</v>
      </c>
      <c r="FV16" s="824" t="s">
        <v>1594</v>
      </c>
      <c r="FW16" s="824" t="s">
        <v>1595</v>
      </c>
      <c r="FX16" s="824" t="s">
        <v>1596</v>
      </c>
      <c r="FY16" s="824" t="s">
        <v>262</v>
      </c>
      <c r="FZ16" s="824" t="s">
        <v>1597</v>
      </c>
      <c r="GA16" s="824" t="s">
        <v>1598</v>
      </c>
      <c r="GB16" s="824" t="s">
        <v>1599</v>
      </c>
      <c r="GC16" s="824" t="s">
        <v>265</v>
      </c>
      <c r="GD16" s="829" t="s">
        <v>181</v>
      </c>
      <c r="GE16" s="830" t="s">
        <v>175</v>
      </c>
      <c r="GF16" s="828" t="s">
        <v>989</v>
      </c>
      <c r="GG16" s="824" t="s">
        <v>718</v>
      </c>
      <c r="GH16" s="824" t="s">
        <v>1591</v>
      </c>
      <c r="GI16" s="824" t="s">
        <v>1592</v>
      </c>
      <c r="GJ16" s="824" t="s">
        <v>719</v>
      </c>
      <c r="GK16" s="824" t="s">
        <v>1644</v>
      </c>
      <c r="GL16" s="824" t="s">
        <v>258</v>
      </c>
      <c r="GM16" s="824" t="s">
        <v>778</v>
      </c>
      <c r="GN16" s="824" t="s">
        <v>1593</v>
      </c>
      <c r="GO16" s="824" t="s">
        <v>1594</v>
      </c>
      <c r="GP16" s="824" t="s">
        <v>1595</v>
      </c>
      <c r="GQ16" s="824" t="s">
        <v>1596</v>
      </c>
      <c r="GR16" s="824" t="s">
        <v>262</v>
      </c>
      <c r="GS16" s="824" t="s">
        <v>1597</v>
      </c>
      <c r="GT16" s="824" t="s">
        <v>1598</v>
      </c>
      <c r="GU16" s="824" t="s">
        <v>1599</v>
      </c>
      <c r="GV16" s="824" t="s">
        <v>265</v>
      </c>
      <c r="GW16" s="829" t="s">
        <v>181</v>
      </c>
      <c r="GX16" s="830" t="s">
        <v>175</v>
      </c>
      <c r="GY16" s="828" t="s">
        <v>989</v>
      </c>
      <c r="GZ16" s="824" t="s">
        <v>718</v>
      </c>
      <c r="HA16" s="824" t="s">
        <v>1591</v>
      </c>
      <c r="HB16" s="824" t="s">
        <v>1592</v>
      </c>
      <c r="HC16" s="824" t="s">
        <v>719</v>
      </c>
      <c r="HD16" s="824" t="s">
        <v>1644</v>
      </c>
      <c r="HE16" s="824" t="s">
        <v>258</v>
      </c>
      <c r="HF16" s="824" t="s">
        <v>778</v>
      </c>
      <c r="HG16" s="824" t="s">
        <v>1593</v>
      </c>
      <c r="HH16" s="824" t="s">
        <v>1594</v>
      </c>
      <c r="HI16" s="824" t="s">
        <v>1595</v>
      </c>
      <c r="HJ16" s="824" t="s">
        <v>1596</v>
      </c>
      <c r="HK16" s="824" t="s">
        <v>262</v>
      </c>
      <c r="HL16" s="824" t="s">
        <v>1597</v>
      </c>
      <c r="HM16" s="824" t="s">
        <v>1598</v>
      </c>
      <c r="HN16" s="824" t="s">
        <v>1599</v>
      </c>
      <c r="HO16" s="824" t="s">
        <v>265</v>
      </c>
      <c r="HP16" s="829" t="s">
        <v>181</v>
      </c>
      <c r="HQ16" s="830" t="s">
        <v>175</v>
      </c>
      <c r="HR16" s="828" t="s">
        <v>989</v>
      </c>
      <c r="HS16" s="824" t="s">
        <v>718</v>
      </c>
      <c r="HT16" s="824" t="s">
        <v>1591</v>
      </c>
      <c r="HU16" s="824" t="s">
        <v>1592</v>
      </c>
      <c r="HV16" s="824" t="s">
        <v>719</v>
      </c>
      <c r="HW16" s="824" t="s">
        <v>1644</v>
      </c>
      <c r="HX16" s="824" t="s">
        <v>258</v>
      </c>
      <c r="HY16" s="824" t="s">
        <v>778</v>
      </c>
      <c r="HZ16" s="824" t="s">
        <v>1593</v>
      </c>
      <c r="IA16" s="824" t="s">
        <v>1594</v>
      </c>
      <c r="IB16" s="824" t="s">
        <v>1595</v>
      </c>
      <c r="IC16" s="824" t="s">
        <v>1596</v>
      </c>
      <c r="ID16" s="824" t="s">
        <v>262</v>
      </c>
      <c r="IE16" s="824" t="s">
        <v>1597</v>
      </c>
      <c r="IF16" s="824" t="s">
        <v>1598</v>
      </c>
      <c r="IG16" s="824" t="s">
        <v>1599</v>
      </c>
      <c r="IH16" s="824" t="s">
        <v>265</v>
      </c>
      <c r="II16" s="829" t="s">
        <v>181</v>
      </c>
      <c r="IJ16" s="830" t="s">
        <v>175</v>
      </c>
      <c r="IK16" s="828" t="s">
        <v>989</v>
      </c>
      <c r="IL16" s="824" t="s">
        <v>718</v>
      </c>
      <c r="IM16" s="824" t="s">
        <v>1591</v>
      </c>
      <c r="IN16" s="824" t="s">
        <v>1592</v>
      </c>
      <c r="IO16" s="824" t="s">
        <v>719</v>
      </c>
      <c r="IP16" s="824" t="s">
        <v>1644</v>
      </c>
      <c r="IQ16" s="824" t="s">
        <v>258</v>
      </c>
      <c r="IR16" s="824" t="s">
        <v>778</v>
      </c>
      <c r="IS16" s="824" t="s">
        <v>1593</v>
      </c>
      <c r="IT16" s="824" t="s">
        <v>1594</v>
      </c>
      <c r="IU16" s="824" t="s">
        <v>1595</v>
      </c>
      <c r="IV16" s="824" t="s">
        <v>1596</v>
      </c>
      <c r="IW16" s="824" t="s">
        <v>262</v>
      </c>
      <c r="IX16" s="824" t="s">
        <v>1597</v>
      </c>
      <c r="IY16" s="824" t="s">
        <v>1598</v>
      </c>
      <c r="IZ16" s="824" t="s">
        <v>1599</v>
      </c>
      <c r="JA16" s="824" t="s">
        <v>265</v>
      </c>
      <c r="JB16" s="829" t="s">
        <v>181</v>
      </c>
      <c r="JC16" s="830" t="s">
        <v>175</v>
      </c>
      <c r="JD16" s="828" t="s">
        <v>989</v>
      </c>
      <c r="JE16" s="824" t="s">
        <v>718</v>
      </c>
      <c r="JF16" s="824" t="s">
        <v>1591</v>
      </c>
      <c r="JG16" s="824" t="s">
        <v>1592</v>
      </c>
      <c r="JH16" s="824" t="s">
        <v>719</v>
      </c>
      <c r="JI16" s="824" t="s">
        <v>1644</v>
      </c>
      <c r="JJ16" s="824" t="s">
        <v>258</v>
      </c>
      <c r="JK16" s="824" t="s">
        <v>778</v>
      </c>
      <c r="JL16" s="824" t="s">
        <v>1593</v>
      </c>
      <c r="JM16" s="824" t="s">
        <v>1594</v>
      </c>
      <c r="JN16" s="824" t="s">
        <v>1595</v>
      </c>
      <c r="JO16" s="824" t="s">
        <v>1596</v>
      </c>
      <c r="JP16" s="824" t="s">
        <v>262</v>
      </c>
      <c r="JQ16" s="824" t="s">
        <v>1597</v>
      </c>
      <c r="JR16" s="824" t="s">
        <v>1598</v>
      </c>
      <c r="JS16" s="824" t="s">
        <v>1599</v>
      </c>
      <c r="JT16" s="824" t="s">
        <v>265</v>
      </c>
      <c r="JU16" s="829" t="s">
        <v>181</v>
      </c>
      <c r="JV16" s="830" t="s">
        <v>175</v>
      </c>
      <c r="JW16" s="828" t="s">
        <v>989</v>
      </c>
      <c r="JX16" s="824" t="s">
        <v>718</v>
      </c>
      <c r="JY16" s="824" t="s">
        <v>1591</v>
      </c>
      <c r="JZ16" s="824" t="s">
        <v>1592</v>
      </c>
      <c r="KA16" s="824" t="s">
        <v>719</v>
      </c>
      <c r="KB16" s="824" t="s">
        <v>1644</v>
      </c>
      <c r="KC16" s="824" t="s">
        <v>258</v>
      </c>
      <c r="KD16" s="824" t="s">
        <v>778</v>
      </c>
      <c r="KE16" s="824" t="s">
        <v>1593</v>
      </c>
      <c r="KF16" s="824" t="s">
        <v>1594</v>
      </c>
      <c r="KG16" s="824" t="s">
        <v>1595</v>
      </c>
      <c r="KH16" s="824" t="s">
        <v>1596</v>
      </c>
      <c r="KI16" s="824" t="s">
        <v>262</v>
      </c>
      <c r="KJ16" s="824" t="s">
        <v>1597</v>
      </c>
      <c r="KK16" s="824" t="s">
        <v>1598</v>
      </c>
      <c r="KL16" s="824" t="s">
        <v>1599</v>
      </c>
      <c r="KM16" s="824" t="s">
        <v>265</v>
      </c>
      <c r="KN16" s="829" t="s">
        <v>181</v>
      </c>
      <c r="KO16" s="831" t="s">
        <v>175</v>
      </c>
    </row>
    <row r="17" spans="1:301" s="662" customFormat="1" ht="15" customHeight="1" thickBot="1">
      <c r="A17" s="823" t="s">
        <v>794</v>
      </c>
      <c r="B17" s="770">
        <v>0</v>
      </c>
      <c r="C17" s="770">
        <v>0</v>
      </c>
      <c r="D17" s="770">
        <v>0</v>
      </c>
      <c r="E17" s="770">
        <v>0</v>
      </c>
      <c r="F17" s="770">
        <v>0</v>
      </c>
      <c r="G17" s="770">
        <v>0</v>
      </c>
      <c r="H17" s="770">
        <v>0</v>
      </c>
      <c r="I17" s="770">
        <v>0</v>
      </c>
      <c r="J17" s="770">
        <v>0</v>
      </c>
      <c r="K17" s="770">
        <v>0</v>
      </c>
      <c r="L17" s="770">
        <v>0</v>
      </c>
      <c r="M17" s="770">
        <v>0</v>
      </c>
      <c r="N17" s="770">
        <v>0</v>
      </c>
      <c r="O17" s="771">
        <v>0</v>
      </c>
      <c r="P17" s="770">
        <v>0</v>
      </c>
      <c r="Q17" s="771">
        <v>0</v>
      </c>
      <c r="R17" s="770">
        <v>0</v>
      </c>
      <c r="S17" s="770">
        <v>0</v>
      </c>
      <c r="T17" s="772">
        <v>0</v>
      </c>
      <c r="U17" s="772">
        <v>0</v>
      </c>
      <c r="V17" s="772">
        <v>10</v>
      </c>
      <c r="W17" s="792">
        <v>0</v>
      </c>
      <c r="X17" s="773">
        <v>0</v>
      </c>
      <c r="Y17" s="773">
        <v>0</v>
      </c>
      <c r="Z17" s="773">
        <v>0</v>
      </c>
      <c r="AA17" s="773">
        <v>0</v>
      </c>
      <c r="AB17" s="774">
        <v>0</v>
      </c>
      <c r="AC17" s="795">
        <v>0</v>
      </c>
      <c r="AD17" s="775">
        <v>0</v>
      </c>
      <c r="AE17" s="775">
        <v>0</v>
      </c>
      <c r="AF17" s="775">
        <v>0</v>
      </c>
      <c r="AG17" s="775">
        <v>0</v>
      </c>
      <c r="AH17" s="770"/>
      <c r="AI17" s="776">
        <v>0</v>
      </c>
      <c r="AJ17" s="777"/>
      <c r="AK17" s="773"/>
      <c r="AL17" s="773"/>
      <c r="AM17" s="773"/>
      <c r="AN17" s="773"/>
      <c r="AO17" s="773"/>
      <c r="AP17" s="797"/>
      <c r="AQ17" s="798"/>
      <c r="AR17" s="798"/>
      <c r="AS17" s="798"/>
      <c r="AT17" s="798"/>
      <c r="AU17" s="798"/>
      <c r="AV17" s="799"/>
      <c r="AW17" s="798"/>
      <c r="AX17" s="798"/>
      <c r="AY17" s="798"/>
      <c r="AZ17" s="799"/>
      <c r="BA17" s="778"/>
      <c r="BB17" s="779"/>
      <c r="BC17" s="796"/>
      <c r="BD17" s="797"/>
      <c r="BE17" s="798"/>
      <c r="BF17" s="798"/>
      <c r="BG17" s="795"/>
      <c r="BH17" s="795"/>
      <c r="BI17" s="795"/>
      <c r="BJ17" s="798"/>
      <c r="BK17" s="798"/>
      <c r="BL17" s="798"/>
      <c r="BM17" s="798"/>
      <c r="BN17" s="798"/>
      <c r="BO17" s="799"/>
      <c r="BP17" s="798"/>
      <c r="BQ17" s="798"/>
      <c r="BR17" s="798"/>
      <c r="BS17" s="799"/>
      <c r="BT17" s="778"/>
      <c r="BU17" s="779"/>
      <c r="BV17" s="796"/>
      <c r="BW17" s="797"/>
      <c r="BX17" s="798"/>
      <c r="BY17" s="798"/>
      <c r="BZ17" s="795"/>
      <c r="CA17" s="795"/>
      <c r="CB17" s="795"/>
      <c r="CC17" s="798"/>
      <c r="CD17" s="798"/>
      <c r="CE17" s="798"/>
      <c r="CF17" s="798"/>
      <c r="CG17" s="798"/>
      <c r="CH17" s="799"/>
      <c r="CI17" s="798"/>
      <c r="CJ17" s="798"/>
      <c r="CK17" s="798"/>
      <c r="CL17" s="799"/>
      <c r="CM17" s="778"/>
      <c r="CN17" s="779"/>
      <c r="CO17" s="796"/>
      <c r="CP17" s="797"/>
      <c r="CQ17" s="798"/>
      <c r="CR17" s="798"/>
      <c r="CS17" s="795"/>
      <c r="CT17" s="795"/>
      <c r="CU17" s="795"/>
      <c r="CV17" s="798"/>
      <c r="CW17" s="798"/>
      <c r="CX17" s="798"/>
      <c r="CY17" s="798"/>
      <c r="CZ17" s="798"/>
      <c r="DA17" s="799"/>
      <c r="DB17" s="798"/>
      <c r="DC17" s="798"/>
      <c r="DD17" s="798"/>
      <c r="DE17" s="799"/>
      <c r="DF17" s="778"/>
      <c r="DG17" s="779"/>
      <c r="DH17" s="796"/>
      <c r="DI17" s="797"/>
      <c r="DJ17" s="798"/>
      <c r="DK17" s="798"/>
      <c r="DL17" s="795"/>
      <c r="DM17" s="795"/>
      <c r="DN17" s="795"/>
      <c r="DO17" s="798"/>
      <c r="DP17" s="798"/>
      <c r="DQ17" s="798"/>
      <c r="DR17" s="798"/>
      <c r="DS17" s="798"/>
      <c r="DT17" s="799"/>
      <c r="DU17" s="798"/>
      <c r="DV17" s="798"/>
      <c r="DW17" s="798"/>
      <c r="DX17" s="799"/>
      <c r="DY17" s="778"/>
      <c r="DZ17" s="779"/>
      <c r="EA17" s="796"/>
      <c r="EB17" s="797"/>
      <c r="EC17" s="798"/>
      <c r="ED17" s="798"/>
      <c r="EE17" s="795"/>
      <c r="EF17" s="795"/>
      <c r="EG17" s="795"/>
      <c r="EH17" s="798"/>
      <c r="EI17" s="798"/>
      <c r="EJ17" s="798"/>
      <c r="EK17" s="798"/>
      <c r="EL17" s="798"/>
      <c r="EM17" s="799"/>
      <c r="EN17" s="798"/>
      <c r="EO17" s="798"/>
      <c r="EP17" s="798"/>
      <c r="EQ17" s="799"/>
      <c r="ER17" s="778"/>
      <c r="ES17" s="779"/>
      <c r="ET17" s="796"/>
      <c r="EU17" s="797"/>
      <c r="EV17" s="798"/>
      <c r="EW17" s="798"/>
      <c r="EX17" s="795"/>
      <c r="EY17" s="795"/>
      <c r="EZ17" s="795"/>
      <c r="FA17" s="798"/>
      <c r="FB17" s="798"/>
      <c r="FC17" s="798"/>
      <c r="FD17" s="798"/>
      <c r="FE17" s="798"/>
      <c r="FF17" s="799"/>
      <c r="FG17" s="798"/>
      <c r="FH17" s="798"/>
      <c r="FI17" s="798"/>
      <c r="FJ17" s="799"/>
      <c r="FK17" s="778"/>
      <c r="FL17" s="779"/>
      <c r="FM17" s="796"/>
      <c r="FN17" s="797"/>
      <c r="FO17" s="798"/>
      <c r="FP17" s="798"/>
      <c r="FQ17" s="795"/>
      <c r="FR17" s="795"/>
      <c r="FS17" s="795"/>
      <c r="FT17" s="798"/>
      <c r="FU17" s="798"/>
      <c r="FV17" s="798"/>
      <c r="FW17" s="798"/>
      <c r="FX17" s="798"/>
      <c r="FY17" s="799"/>
      <c r="FZ17" s="798"/>
      <c r="GA17" s="798"/>
      <c r="GB17" s="798"/>
      <c r="GC17" s="799"/>
      <c r="GD17" s="778"/>
      <c r="GE17" s="779"/>
      <c r="GF17" s="796"/>
      <c r="GG17" s="797"/>
      <c r="GH17" s="798"/>
      <c r="GI17" s="798"/>
      <c r="GJ17" s="795"/>
      <c r="GK17" s="795"/>
      <c r="GL17" s="795"/>
      <c r="GM17" s="798"/>
      <c r="GN17" s="798"/>
      <c r="GO17" s="798"/>
      <c r="GP17" s="798"/>
      <c r="GQ17" s="798"/>
      <c r="GR17" s="799"/>
      <c r="GS17" s="798"/>
      <c r="GT17" s="798"/>
      <c r="GU17" s="798"/>
      <c r="GV17" s="799"/>
      <c r="GW17" s="778"/>
      <c r="GX17" s="779"/>
      <c r="GY17" s="796"/>
      <c r="GZ17" s="797"/>
      <c r="HA17" s="798"/>
      <c r="HB17" s="798"/>
      <c r="HC17" s="795"/>
      <c r="HD17" s="795"/>
      <c r="HE17" s="795"/>
      <c r="HF17" s="798"/>
      <c r="HG17" s="798"/>
      <c r="HH17" s="798"/>
      <c r="HI17" s="798"/>
      <c r="HJ17" s="798"/>
      <c r="HK17" s="799"/>
      <c r="HL17" s="798"/>
      <c r="HM17" s="798"/>
      <c r="HN17" s="798"/>
      <c r="HO17" s="799"/>
      <c r="HP17" s="778"/>
      <c r="HQ17" s="779"/>
      <c r="HR17" s="796"/>
      <c r="HS17" s="797"/>
      <c r="HT17" s="798"/>
      <c r="HU17" s="798"/>
      <c r="HV17" s="795"/>
      <c r="HW17" s="795"/>
      <c r="HX17" s="795"/>
      <c r="HY17" s="798"/>
      <c r="HZ17" s="798"/>
      <c r="IA17" s="798"/>
      <c r="IB17" s="798"/>
      <c r="IC17" s="798"/>
      <c r="ID17" s="799"/>
      <c r="IE17" s="798"/>
      <c r="IF17" s="798"/>
      <c r="IG17" s="798"/>
      <c r="IH17" s="799"/>
      <c r="II17" s="778"/>
      <c r="IJ17" s="779"/>
      <c r="IK17" s="796"/>
      <c r="IL17" s="797"/>
      <c r="IM17" s="798"/>
      <c r="IN17" s="798"/>
      <c r="IO17" s="795"/>
      <c r="IP17" s="795"/>
      <c r="IQ17" s="795"/>
      <c r="IR17" s="798"/>
      <c r="IS17" s="798"/>
      <c r="IT17" s="798"/>
      <c r="IU17" s="798"/>
      <c r="IV17" s="798"/>
      <c r="IW17" s="799"/>
      <c r="IX17" s="798"/>
      <c r="IY17" s="798"/>
      <c r="IZ17" s="798"/>
      <c r="JA17" s="799"/>
      <c r="JB17" s="778"/>
      <c r="JC17" s="779"/>
      <c r="JD17" s="796"/>
      <c r="JE17" s="797"/>
      <c r="JF17" s="798"/>
      <c r="JG17" s="798"/>
      <c r="JH17" s="795"/>
      <c r="JI17" s="795"/>
      <c r="JJ17" s="795"/>
      <c r="JK17" s="798"/>
      <c r="JL17" s="798"/>
      <c r="JM17" s="798"/>
      <c r="JN17" s="798"/>
      <c r="JO17" s="798"/>
      <c r="JP17" s="799"/>
      <c r="JQ17" s="798"/>
      <c r="JR17" s="798"/>
      <c r="JS17" s="798"/>
      <c r="JT17" s="799"/>
      <c r="JU17" s="778"/>
      <c r="JV17" s="779"/>
      <c r="JW17" s="796"/>
      <c r="JX17" s="797"/>
      <c r="JY17" s="798"/>
      <c r="JZ17" s="798"/>
      <c r="KA17" s="795"/>
      <c r="KB17" s="795"/>
      <c r="KC17" s="795"/>
      <c r="KD17" s="798"/>
      <c r="KE17" s="798"/>
      <c r="KF17" s="798"/>
      <c r="KG17" s="798"/>
      <c r="KH17" s="798"/>
      <c r="KI17" s="799"/>
      <c r="KJ17" s="798"/>
      <c r="KK17" s="798"/>
      <c r="KL17" s="798"/>
      <c r="KM17" s="799"/>
      <c r="KN17" s="778"/>
      <c r="KO17" s="800"/>
    </row>
    <row r="18" spans="1:301" ht="15" customHeight="1">
      <c r="A18" s="663" t="s">
        <v>795</v>
      </c>
      <c r="B18" s="629" t="s">
        <v>382</v>
      </c>
      <c r="C18" s="629">
        <v>272.5</v>
      </c>
      <c r="D18" s="629">
        <v>560</v>
      </c>
      <c r="E18" s="629">
        <v>280</v>
      </c>
      <c r="F18" s="629">
        <v>250</v>
      </c>
      <c r="G18" s="629">
        <v>149</v>
      </c>
      <c r="H18" s="629">
        <v>105</v>
      </c>
      <c r="I18" s="629">
        <v>71</v>
      </c>
      <c r="J18" s="629">
        <v>30.66</v>
      </c>
      <c r="K18" s="629">
        <v>44.99</v>
      </c>
      <c r="L18" s="629">
        <v>10</v>
      </c>
      <c r="M18" s="629">
        <v>223</v>
      </c>
      <c r="N18" s="629">
        <v>3</v>
      </c>
      <c r="O18" s="623">
        <v>4.3502890111319301</v>
      </c>
      <c r="P18" s="629">
        <v>4</v>
      </c>
      <c r="Q18" s="623">
        <v>4.0001747582448548</v>
      </c>
      <c r="R18" s="629">
        <v>13.000000000000002</v>
      </c>
      <c r="S18" s="629">
        <v>389.09740859358476</v>
      </c>
      <c r="T18" s="645">
        <v>12.134435211133153</v>
      </c>
      <c r="U18" s="645">
        <v>58.364611289037711</v>
      </c>
      <c r="V18" s="645">
        <v>60</v>
      </c>
      <c r="W18" s="793">
        <v>0.94508581932863978</v>
      </c>
      <c r="X18" s="646">
        <v>0</v>
      </c>
      <c r="Y18" s="646">
        <v>0</v>
      </c>
      <c r="Z18" s="646">
        <v>0</v>
      </c>
      <c r="AA18" s="646">
        <v>0</v>
      </c>
      <c r="AB18" s="647">
        <v>3.0118231593620988</v>
      </c>
      <c r="AC18" s="784">
        <v>4000</v>
      </c>
      <c r="AD18" s="631">
        <v>0.9708924696388932</v>
      </c>
      <c r="AE18" s="631">
        <v>0.59281268482821858</v>
      </c>
      <c r="AF18" s="631">
        <v>-0.39235611544875931</v>
      </c>
      <c r="AG18" s="631">
        <v>0.98350537585865627</v>
      </c>
      <c r="AH18" s="629"/>
      <c r="AI18" s="648">
        <v>1.2610420114241956</v>
      </c>
      <c r="AJ18" s="649">
        <v>4.6214520000000014</v>
      </c>
      <c r="AK18" s="646">
        <v>26.05143679983858</v>
      </c>
      <c r="AL18" s="646">
        <v>0</v>
      </c>
      <c r="AM18" s="646">
        <v>0</v>
      </c>
      <c r="AN18" s="646">
        <v>31.270188105042049</v>
      </c>
      <c r="AO18" s="646">
        <v>0.89936941881652865</v>
      </c>
      <c r="AP18" s="801">
        <v>3600</v>
      </c>
      <c r="AQ18" s="563" t="s">
        <v>71</v>
      </c>
      <c r="AR18" s="563">
        <v>3</v>
      </c>
      <c r="AS18" s="563">
        <v>0</v>
      </c>
      <c r="AT18" s="563">
        <v>0</v>
      </c>
      <c r="AU18" s="563">
        <v>0</v>
      </c>
      <c r="AV18" s="650">
        <v>4539.433016837007</v>
      </c>
      <c r="AW18" s="563">
        <v>0</v>
      </c>
      <c r="AX18" s="563">
        <v>0</v>
      </c>
      <c r="AY18" s="563">
        <v>0</v>
      </c>
      <c r="AZ18" s="650">
        <v>4923.589605821785</v>
      </c>
      <c r="BA18" s="564">
        <v>4000</v>
      </c>
      <c r="BB18" s="565">
        <v>117.28612573401894</v>
      </c>
      <c r="BC18" s="649">
        <v>4.6214520000000014</v>
      </c>
      <c r="BD18" s="646">
        <v>26.05143679983858</v>
      </c>
      <c r="BE18" s="646">
        <v>0</v>
      </c>
      <c r="BF18" s="646">
        <v>0</v>
      </c>
      <c r="BG18" s="646">
        <v>31.270188105042049</v>
      </c>
      <c r="BH18" s="646">
        <v>0.89936941881652865</v>
      </c>
      <c r="BI18" s="646">
        <v>3600</v>
      </c>
      <c r="BJ18" s="563" t="s">
        <v>71</v>
      </c>
      <c r="BK18" s="563">
        <v>3</v>
      </c>
      <c r="BL18" s="563">
        <v>0</v>
      </c>
      <c r="BM18" s="563">
        <v>0</v>
      </c>
      <c r="BN18" s="563">
        <v>0</v>
      </c>
      <c r="BO18" s="650">
        <v>4539.433016837007</v>
      </c>
      <c r="BP18" s="563">
        <v>0</v>
      </c>
      <c r="BQ18" s="563">
        <v>0</v>
      </c>
      <c r="BR18" s="563">
        <v>0</v>
      </c>
      <c r="BS18" s="650">
        <v>4923.589605821785</v>
      </c>
      <c r="BT18" s="564">
        <v>4000</v>
      </c>
      <c r="BU18" s="565">
        <v>117.28612573401894</v>
      </c>
      <c r="BV18" s="649">
        <v>4.6214520000000014</v>
      </c>
      <c r="BW18" s="646">
        <v>26.05143679983858</v>
      </c>
      <c r="BX18" s="646">
        <v>0</v>
      </c>
      <c r="BY18" s="646">
        <v>0</v>
      </c>
      <c r="BZ18" s="646">
        <v>31.270188105042049</v>
      </c>
      <c r="CA18" s="646">
        <v>0.89936941881652865</v>
      </c>
      <c r="CB18" s="646">
        <v>3600</v>
      </c>
      <c r="CC18" s="563" t="s">
        <v>1584</v>
      </c>
      <c r="CD18" s="563">
        <v>3</v>
      </c>
      <c r="CE18" s="563">
        <v>0</v>
      </c>
      <c r="CF18" s="563">
        <v>0</v>
      </c>
      <c r="CG18" s="563">
        <v>0</v>
      </c>
      <c r="CH18" s="650">
        <v>4447.7178451174186</v>
      </c>
      <c r="CI18" s="563">
        <v>0</v>
      </c>
      <c r="CJ18" s="563">
        <v>0</v>
      </c>
      <c r="CK18" s="563">
        <v>0</v>
      </c>
      <c r="CL18" s="650">
        <v>4824.1128948537335</v>
      </c>
      <c r="CM18" s="564">
        <v>4000</v>
      </c>
      <c r="CN18" s="565">
        <v>117.28612573401894</v>
      </c>
      <c r="CO18" s="649">
        <v>4.6214520000000014</v>
      </c>
      <c r="CP18" s="646">
        <v>26.05143679983858</v>
      </c>
      <c r="CQ18" s="646">
        <v>0</v>
      </c>
      <c r="CR18" s="646">
        <v>0</v>
      </c>
      <c r="CS18" s="646">
        <v>31.270188105042049</v>
      </c>
      <c r="CT18" s="646">
        <v>0.89936941881652865</v>
      </c>
      <c r="CU18" s="646">
        <v>3600</v>
      </c>
      <c r="CV18" s="563" t="s">
        <v>1584</v>
      </c>
      <c r="CW18" s="563">
        <v>3</v>
      </c>
      <c r="CX18" s="563">
        <v>0</v>
      </c>
      <c r="CY18" s="563">
        <v>0</v>
      </c>
      <c r="CZ18" s="563">
        <v>0</v>
      </c>
      <c r="DA18" s="650">
        <v>4447.7178451174186</v>
      </c>
      <c r="DB18" s="563">
        <v>0</v>
      </c>
      <c r="DC18" s="563">
        <v>0</v>
      </c>
      <c r="DD18" s="563">
        <v>0</v>
      </c>
      <c r="DE18" s="650">
        <v>4824.1128948537335</v>
      </c>
      <c r="DF18" s="564">
        <v>4000</v>
      </c>
      <c r="DG18" s="565">
        <v>117.28612573401894</v>
      </c>
      <c r="DH18" s="649">
        <v>4.6214520000000014</v>
      </c>
      <c r="DI18" s="646">
        <v>26.05143679983858</v>
      </c>
      <c r="DJ18" s="646">
        <v>0</v>
      </c>
      <c r="DK18" s="646">
        <v>0</v>
      </c>
      <c r="DL18" s="646">
        <v>31.270188105042049</v>
      </c>
      <c r="DM18" s="646">
        <v>0.89936941881652865</v>
      </c>
      <c r="DN18" s="646">
        <v>3600</v>
      </c>
      <c r="DO18" s="563" t="s">
        <v>1588</v>
      </c>
      <c r="DP18" s="563">
        <v>3</v>
      </c>
      <c r="DQ18" s="563">
        <v>0</v>
      </c>
      <c r="DR18" s="563">
        <v>0</v>
      </c>
      <c r="DS18" s="563">
        <v>0</v>
      </c>
      <c r="DT18" s="650">
        <v>4629.3315066996392</v>
      </c>
      <c r="DU18" s="563">
        <v>0</v>
      </c>
      <c r="DV18" s="563">
        <v>0</v>
      </c>
      <c r="DW18" s="563">
        <v>0</v>
      </c>
      <c r="DX18" s="650">
        <v>5021.0958954012494</v>
      </c>
      <c r="DY18" s="564">
        <v>4000</v>
      </c>
      <c r="DZ18" s="565">
        <v>117.28612573401894</v>
      </c>
      <c r="EA18" s="649">
        <v>4.6214520000000014</v>
      </c>
      <c r="EB18" s="646">
        <v>26.05143679983858</v>
      </c>
      <c r="EC18" s="646">
        <v>0</v>
      </c>
      <c r="ED18" s="646">
        <v>0</v>
      </c>
      <c r="EE18" s="646">
        <v>31.270188105042049</v>
      </c>
      <c r="EF18" s="646">
        <v>0.89936941881652865</v>
      </c>
      <c r="EG18" s="646">
        <v>3600</v>
      </c>
      <c r="EH18" s="563" t="s">
        <v>1588</v>
      </c>
      <c r="EI18" s="563">
        <v>3</v>
      </c>
      <c r="EJ18" s="563">
        <v>0</v>
      </c>
      <c r="EK18" s="563">
        <v>0</v>
      </c>
      <c r="EL18" s="563">
        <v>0</v>
      </c>
      <c r="EM18" s="650">
        <v>4629.3315066996392</v>
      </c>
      <c r="EN18" s="563">
        <v>0</v>
      </c>
      <c r="EO18" s="563">
        <v>0</v>
      </c>
      <c r="EP18" s="563">
        <v>0</v>
      </c>
      <c r="EQ18" s="650">
        <v>5021.0958954012494</v>
      </c>
      <c r="ER18" s="564">
        <v>4000</v>
      </c>
      <c r="ES18" s="565">
        <v>117.28612573401894</v>
      </c>
      <c r="ET18" s="649">
        <v>4.6214520000000014</v>
      </c>
      <c r="EU18" s="646">
        <v>26.05143679983858</v>
      </c>
      <c r="EV18" s="646">
        <v>0</v>
      </c>
      <c r="EW18" s="646">
        <v>0</v>
      </c>
      <c r="EX18" s="646">
        <v>31.270188105042049</v>
      </c>
      <c r="EY18" s="646">
        <v>0.89936941881652865</v>
      </c>
      <c r="EZ18" s="646">
        <v>3600</v>
      </c>
      <c r="FA18" s="563" t="s">
        <v>1589</v>
      </c>
      <c r="FB18" s="563">
        <v>3</v>
      </c>
      <c r="FC18" s="563">
        <v>0</v>
      </c>
      <c r="FD18" s="563">
        <v>0</v>
      </c>
      <c r="FE18" s="563">
        <v>0</v>
      </c>
      <c r="FF18" s="650">
        <v>4931.086441640492</v>
      </c>
      <c r="FG18" s="563">
        <v>0</v>
      </c>
      <c r="FH18" s="563">
        <v>0</v>
      </c>
      <c r="FI18" s="563">
        <v>0</v>
      </c>
      <c r="FJ18" s="650">
        <v>5348.3873116793557</v>
      </c>
      <c r="FK18" s="564">
        <v>4000</v>
      </c>
      <c r="FL18" s="565">
        <v>117.28612573401894</v>
      </c>
      <c r="FM18" s="649">
        <v>4.6214520000000014</v>
      </c>
      <c r="FN18" s="646">
        <v>26.05143679983858</v>
      </c>
      <c r="FO18" s="646">
        <v>0</v>
      </c>
      <c r="FP18" s="646">
        <v>0</v>
      </c>
      <c r="FQ18" s="646">
        <v>31.270188105042049</v>
      </c>
      <c r="FR18" s="646">
        <v>0.89936941881652865</v>
      </c>
      <c r="FS18" s="646">
        <v>3600</v>
      </c>
      <c r="FT18" s="563" t="s">
        <v>1589</v>
      </c>
      <c r="FU18" s="563">
        <v>3</v>
      </c>
      <c r="FV18" s="563">
        <v>0</v>
      </c>
      <c r="FW18" s="563">
        <v>0</v>
      </c>
      <c r="FX18" s="563">
        <v>0</v>
      </c>
      <c r="FY18" s="650">
        <v>4931.086441640492</v>
      </c>
      <c r="FZ18" s="563">
        <v>0</v>
      </c>
      <c r="GA18" s="563">
        <v>0</v>
      </c>
      <c r="GB18" s="563">
        <v>0</v>
      </c>
      <c r="GC18" s="650">
        <v>5348.3873116793557</v>
      </c>
      <c r="GD18" s="564">
        <v>4000</v>
      </c>
      <c r="GE18" s="565">
        <v>117.28612573401894</v>
      </c>
      <c r="GF18" s="649">
        <v>3.0809680000000008</v>
      </c>
      <c r="GG18" s="646">
        <v>24.510952799838581</v>
      </c>
      <c r="GH18" s="646">
        <v>0</v>
      </c>
      <c r="GI18" s="646">
        <v>0</v>
      </c>
      <c r="GJ18" s="646">
        <v>29.935919877516934</v>
      </c>
      <c r="GK18" s="646">
        <v>0.82468362538840367</v>
      </c>
      <c r="GL18" s="646">
        <v>3600</v>
      </c>
      <c r="GM18" s="563" t="s">
        <v>1587</v>
      </c>
      <c r="GN18" s="563">
        <v>2</v>
      </c>
      <c r="GO18" s="563">
        <v>0</v>
      </c>
      <c r="GP18" s="563">
        <v>0</v>
      </c>
      <c r="GQ18" s="563">
        <v>0</v>
      </c>
      <c r="GR18" s="650">
        <v>4734.0913930005836</v>
      </c>
      <c r="GS18" s="563">
        <v>0</v>
      </c>
      <c r="GT18" s="563">
        <v>0</v>
      </c>
      <c r="GU18" s="563">
        <v>0</v>
      </c>
      <c r="GV18" s="650">
        <v>5028.4260593718263</v>
      </c>
      <c r="GW18" s="564">
        <v>4000</v>
      </c>
      <c r="GX18" s="565">
        <v>117.28612573401894</v>
      </c>
      <c r="GY18" s="649">
        <v>3.0809680000000008</v>
      </c>
      <c r="GZ18" s="646">
        <v>24.510952799838581</v>
      </c>
      <c r="HA18" s="646">
        <v>0</v>
      </c>
      <c r="HB18" s="646">
        <v>0</v>
      </c>
      <c r="HC18" s="646">
        <v>29.935919877516934</v>
      </c>
      <c r="HD18" s="646">
        <v>0.82468362538840367</v>
      </c>
      <c r="HE18" s="646">
        <v>3600</v>
      </c>
      <c r="HF18" s="563" t="s">
        <v>1587</v>
      </c>
      <c r="HG18" s="563">
        <v>2</v>
      </c>
      <c r="HH18" s="563">
        <v>0</v>
      </c>
      <c r="HI18" s="563">
        <v>0</v>
      </c>
      <c r="HJ18" s="563">
        <v>0</v>
      </c>
      <c r="HK18" s="650">
        <v>4734.0913930005836</v>
      </c>
      <c r="HL18" s="563">
        <v>0</v>
      </c>
      <c r="HM18" s="563">
        <v>0</v>
      </c>
      <c r="HN18" s="563">
        <v>0</v>
      </c>
      <c r="HO18" s="650">
        <v>5028.4260593718263</v>
      </c>
      <c r="HP18" s="564">
        <v>4000</v>
      </c>
      <c r="HQ18" s="565">
        <v>117.28612573401894</v>
      </c>
      <c r="HR18" s="649">
        <v>3.0809680000000008</v>
      </c>
      <c r="HS18" s="646">
        <v>24.510952799838581</v>
      </c>
      <c r="HT18" s="646">
        <v>0</v>
      </c>
      <c r="HU18" s="646">
        <v>0</v>
      </c>
      <c r="HV18" s="646">
        <v>29.935919877516934</v>
      </c>
      <c r="HW18" s="646">
        <v>0.82468362538840367</v>
      </c>
      <c r="HX18" s="646">
        <v>3600</v>
      </c>
      <c r="HY18" s="563" t="s">
        <v>68</v>
      </c>
      <c r="HZ18" s="563">
        <v>2</v>
      </c>
      <c r="IA18" s="563">
        <v>0</v>
      </c>
      <c r="IB18" s="563">
        <v>0</v>
      </c>
      <c r="IC18" s="563">
        <v>0</v>
      </c>
      <c r="ID18" s="650">
        <v>4175.0761699102959</v>
      </c>
      <c r="IE18" s="563">
        <v>0</v>
      </c>
      <c r="IF18" s="563">
        <v>0</v>
      </c>
      <c r="IG18" s="563">
        <v>0</v>
      </c>
      <c r="IH18" s="650">
        <v>4434.6549463914553</v>
      </c>
      <c r="II18" s="564">
        <v>4000</v>
      </c>
      <c r="IJ18" s="565">
        <v>117.28612573401894</v>
      </c>
      <c r="IK18" s="649">
        <v>3.0809680000000008</v>
      </c>
      <c r="IL18" s="646">
        <v>24.510952799838581</v>
      </c>
      <c r="IM18" s="646">
        <v>0</v>
      </c>
      <c r="IN18" s="646">
        <v>0</v>
      </c>
      <c r="IO18" s="646">
        <v>29.935919877516934</v>
      </c>
      <c r="IP18" s="646">
        <v>0.82468362538840367</v>
      </c>
      <c r="IQ18" s="646">
        <v>3600</v>
      </c>
      <c r="IR18" s="563" t="s">
        <v>68</v>
      </c>
      <c r="IS18" s="563">
        <v>2</v>
      </c>
      <c r="IT18" s="563">
        <v>0</v>
      </c>
      <c r="IU18" s="563">
        <v>0</v>
      </c>
      <c r="IV18" s="563">
        <v>0</v>
      </c>
      <c r="IW18" s="650">
        <v>4175.0761699102959</v>
      </c>
      <c r="IX18" s="563">
        <v>0</v>
      </c>
      <c r="IY18" s="563">
        <v>0</v>
      </c>
      <c r="IZ18" s="563">
        <v>0</v>
      </c>
      <c r="JA18" s="650">
        <v>4434.6549463914553</v>
      </c>
      <c r="JB18" s="564">
        <v>4000</v>
      </c>
      <c r="JC18" s="565">
        <v>117.28612573401894</v>
      </c>
      <c r="JD18" s="649">
        <v>3.0809680000000008</v>
      </c>
      <c r="JE18" s="646">
        <v>24.510952799838581</v>
      </c>
      <c r="JF18" s="646">
        <v>0</v>
      </c>
      <c r="JG18" s="646">
        <v>0</v>
      </c>
      <c r="JH18" s="646">
        <v>29.935919877516934</v>
      </c>
      <c r="JI18" s="646">
        <v>0.82468362538840367</v>
      </c>
      <c r="JJ18" s="646">
        <v>3600</v>
      </c>
      <c r="JK18" s="563" t="s">
        <v>67</v>
      </c>
      <c r="JL18" s="563">
        <v>2</v>
      </c>
      <c r="JM18" s="563">
        <v>0</v>
      </c>
      <c r="JN18" s="563">
        <v>0</v>
      </c>
      <c r="JO18" s="563">
        <v>0</v>
      </c>
      <c r="JP18" s="650">
        <v>5689.6697533987835</v>
      </c>
      <c r="JQ18" s="563">
        <v>0</v>
      </c>
      <c r="JR18" s="563">
        <v>0</v>
      </c>
      <c r="JS18" s="563">
        <v>0</v>
      </c>
      <c r="JT18" s="650">
        <v>6043.4159973148171</v>
      </c>
      <c r="JU18" s="564">
        <v>4000</v>
      </c>
      <c r="JV18" s="565">
        <v>117.28612573401894</v>
      </c>
      <c r="JW18" s="649">
        <v>3.0809680000000008</v>
      </c>
      <c r="JX18" s="646">
        <v>24.510952799838581</v>
      </c>
      <c r="JY18" s="646">
        <v>0</v>
      </c>
      <c r="JZ18" s="646">
        <v>0</v>
      </c>
      <c r="KA18" s="646">
        <v>29.935919877516934</v>
      </c>
      <c r="KB18" s="646">
        <v>0.82468362538840367</v>
      </c>
      <c r="KC18" s="646">
        <v>3600</v>
      </c>
      <c r="KD18" s="563" t="s">
        <v>67</v>
      </c>
      <c r="KE18" s="563">
        <v>2</v>
      </c>
      <c r="KF18" s="563">
        <v>0</v>
      </c>
      <c r="KG18" s="563">
        <v>0</v>
      </c>
      <c r="KH18" s="563">
        <v>0</v>
      </c>
      <c r="KI18" s="650">
        <v>5689.6697533987835</v>
      </c>
      <c r="KJ18" s="563">
        <v>0</v>
      </c>
      <c r="KK18" s="563">
        <v>0</v>
      </c>
      <c r="KL18" s="563">
        <v>0</v>
      </c>
      <c r="KM18" s="650">
        <v>6043.4159973148171</v>
      </c>
      <c r="KN18" s="564">
        <v>4000</v>
      </c>
      <c r="KO18" s="566">
        <v>117.28612573401894</v>
      </c>
    </row>
    <row r="19" spans="1:301" ht="15" customHeight="1">
      <c r="A19" s="663" t="s">
        <v>796</v>
      </c>
      <c r="B19" s="629" t="s">
        <v>382</v>
      </c>
      <c r="C19" s="629">
        <v>272.5</v>
      </c>
      <c r="D19" s="629">
        <v>690</v>
      </c>
      <c r="E19" s="629">
        <v>280</v>
      </c>
      <c r="F19" s="629">
        <v>250</v>
      </c>
      <c r="G19" s="629">
        <v>146</v>
      </c>
      <c r="H19" s="629">
        <v>106</v>
      </c>
      <c r="I19" s="629">
        <v>73</v>
      </c>
      <c r="J19" s="629">
        <v>37.5</v>
      </c>
      <c r="K19" s="629">
        <v>49</v>
      </c>
      <c r="L19" s="629">
        <v>10</v>
      </c>
      <c r="M19" s="629">
        <v>306</v>
      </c>
      <c r="N19" s="629">
        <v>4</v>
      </c>
      <c r="O19" s="623">
        <v>9.8078794769113866</v>
      </c>
      <c r="P19" s="629">
        <v>4</v>
      </c>
      <c r="Q19" s="623">
        <v>6.6411651325843062</v>
      </c>
      <c r="R19" s="629">
        <v>13.000000000000002</v>
      </c>
      <c r="S19" s="629">
        <v>454.76059110854408</v>
      </c>
      <c r="T19" s="645">
        <v>16.575572412920248</v>
      </c>
      <c r="U19" s="645">
        <v>68.214088666281611</v>
      </c>
      <c r="V19" s="645">
        <v>60</v>
      </c>
      <c r="W19" s="793">
        <v>1.2909820821601345</v>
      </c>
      <c r="X19" s="646">
        <v>0</v>
      </c>
      <c r="Y19" s="646">
        <v>0</v>
      </c>
      <c r="Z19" s="646">
        <v>0</v>
      </c>
      <c r="AA19" s="646">
        <v>0</v>
      </c>
      <c r="AB19" s="647">
        <v>5.6981210418809498</v>
      </c>
      <c r="AC19" s="784">
        <v>4000</v>
      </c>
      <c r="AD19" s="631">
        <v>0.61766286408577342</v>
      </c>
      <c r="AE19" s="631">
        <v>0.76732698797896037</v>
      </c>
      <c r="AF19" s="631">
        <v>-0.28788259185426668</v>
      </c>
      <c r="AG19" s="631">
        <v>1.0365839401957009</v>
      </c>
      <c r="AH19" s="629"/>
      <c r="AI19" s="648">
        <v>1.9268108176325365</v>
      </c>
      <c r="AJ19" s="649">
        <v>6.4496385000000007</v>
      </c>
      <c r="AK19" s="646">
        <v>40.765237604576072</v>
      </c>
      <c r="AL19" s="646">
        <v>0</v>
      </c>
      <c r="AM19" s="646">
        <v>0</v>
      </c>
      <c r="AN19" s="646">
        <v>37.807189876247719</v>
      </c>
      <c r="AO19" s="646">
        <v>2.1189143902945293</v>
      </c>
      <c r="AP19" s="801">
        <v>3600</v>
      </c>
      <c r="AQ19" s="563" t="s">
        <v>71</v>
      </c>
      <c r="AR19" s="563">
        <v>3</v>
      </c>
      <c r="AS19" s="563">
        <v>0</v>
      </c>
      <c r="AT19" s="563">
        <v>0</v>
      </c>
      <c r="AU19" s="563">
        <v>0</v>
      </c>
      <c r="AV19" s="650">
        <v>4566.392459835075</v>
      </c>
      <c r="AW19" s="563">
        <v>0</v>
      </c>
      <c r="AX19" s="563">
        <v>0</v>
      </c>
      <c r="AY19" s="563">
        <v>0</v>
      </c>
      <c r="AZ19" s="650">
        <v>4456.3591958661209</v>
      </c>
      <c r="BA19" s="564">
        <v>4000</v>
      </c>
      <c r="BB19" s="565">
        <v>144.5132620651305</v>
      </c>
      <c r="BC19" s="649">
        <v>6.4496385000000007</v>
      </c>
      <c r="BD19" s="646">
        <v>40.765237604576072</v>
      </c>
      <c r="BE19" s="646">
        <v>0</v>
      </c>
      <c r="BF19" s="646">
        <v>0</v>
      </c>
      <c r="BG19" s="646">
        <v>37.807189876247719</v>
      </c>
      <c r="BH19" s="646">
        <v>2.1189143902945293</v>
      </c>
      <c r="BI19" s="646">
        <v>3600</v>
      </c>
      <c r="BJ19" s="563" t="s">
        <v>71</v>
      </c>
      <c r="BK19" s="563">
        <v>3</v>
      </c>
      <c r="BL19" s="563">
        <v>0</v>
      </c>
      <c r="BM19" s="563">
        <v>0</v>
      </c>
      <c r="BN19" s="563">
        <v>0</v>
      </c>
      <c r="BO19" s="650">
        <v>4566.392459835075</v>
      </c>
      <c r="BP19" s="563">
        <v>0</v>
      </c>
      <c r="BQ19" s="563">
        <v>0</v>
      </c>
      <c r="BR19" s="563">
        <v>0</v>
      </c>
      <c r="BS19" s="650">
        <v>4456.3591958661209</v>
      </c>
      <c r="BT19" s="564">
        <v>4000</v>
      </c>
      <c r="BU19" s="565">
        <v>144.5132620651305</v>
      </c>
      <c r="BV19" s="649">
        <v>6.4496385000000007</v>
      </c>
      <c r="BW19" s="646">
        <v>40.765237604576072</v>
      </c>
      <c r="BX19" s="646">
        <v>0</v>
      </c>
      <c r="BY19" s="646">
        <v>0</v>
      </c>
      <c r="BZ19" s="646">
        <v>37.807189876247719</v>
      </c>
      <c r="CA19" s="646">
        <v>2.1189143902945293</v>
      </c>
      <c r="CB19" s="646">
        <v>3600</v>
      </c>
      <c r="CC19" s="563" t="s">
        <v>1584</v>
      </c>
      <c r="CD19" s="563">
        <v>3</v>
      </c>
      <c r="CE19" s="563">
        <v>0</v>
      </c>
      <c r="CF19" s="563">
        <v>0</v>
      </c>
      <c r="CG19" s="563">
        <v>0</v>
      </c>
      <c r="CH19" s="650">
        <v>4474.1325967553839</v>
      </c>
      <c r="CI19" s="563">
        <v>0</v>
      </c>
      <c r="CJ19" s="563">
        <v>0</v>
      </c>
      <c r="CK19" s="563">
        <v>0</v>
      </c>
      <c r="CL19" s="650">
        <v>4366.322456172622</v>
      </c>
      <c r="CM19" s="564">
        <v>4000</v>
      </c>
      <c r="CN19" s="565">
        <v>144.5132620651305</v>
      </c>
      <c r="CO19" s="649">
        <v>6.4496385000000007</v>
      </c>
      <c r="CP19" s="646">
        <v>40.765237604576072</v>
      </c>
      <c r="CQ19" s="646">
        <v>0</v>
      </c>
      <c r="CR19" s="646">
        <v>0</v>
      </c>
      <c r="CS19" s="646">
        <v>37.807189876247719</v>
      </c>
      <c r="CT19" s="646">
        <v>2.1189143902945293</v>
      </c>
      <c r="CU19" s="646">
        <v>3600</v>
      </c>
      <c r="CV19" s="563" t="s">
        <v>1584</v>
      </c>
      <c r="CW19" s="563">
        <v>3</v>
      </c>
      <c r="CX19" s="563">
        <v>0</v>
      </c>
      <c r="CY19" s="563">
        <v>0</v>
      </c>
      <c r="CZ19" s="563">
        <v>0</v>
      </c>
      <c r="DA19" s="650">
        <v>4474.1325967553839</v>
      </c>
      <c r="DB19" s="563">
        <v>0</v>
      </c>
      <c r="DC19" s="563">
        <v>0</v>
      </c>
      <c r="DD19" s="563">
        <v>0</v>
      </c>
      <c r="DE19" s="650">
        <v>4366.322456172622</v>
      </c>
      <c r="DF19" s="564">
        <v>4000</v>
      </c>
      <c r="DG19" s="565">
        <v>144.5132620651305</v>
      </c>
      <c r="DH19" s="649">
        <v>6.4496385000000007</v>
      </c>
      <c r="DI19" s="646">
        <v>40.765237604576072</v>
      </c>
      <c r="DJ19" s="646">
        <v>0</v>
      </c>
      <c r="DK19" s="646">
        <v>0</v>
      </c>
      <c r="DL19" s="646">
        <v>37.807189876247719</v>
      </c>
      <c r="DM19" s="646">
        <v>2.1189143902945293</v>
      </c>
      <c r="DN19" s="646">
        <v>3600</v>
      </c>
      <c r="DO19" s="563" t="s">
        <v>1588</v>
      </c>
      <c r="DP19" s="563">
        <v>3</v>
      </c>
      <c r="DQ19" s="563">
        <v>0</v>
      </c>
      <c r="DR19" s="563">
        <v>0</v>
      </c>
      <c r="DS19" s="563">
        <v>0</v>
      </c>
      <c r="DT19" s="650">
        <v>4656.8248518842156</v>
      </c>
      <c r="DU19" s="563">
        <v>0</v>
      </c>
      <c r="DV19" s="563">
        <v>0</v>
      </c>
      <c r="DW19" s="563">
        <v>0</v>
      </c>
      <c r="DX19" s="650">
        <v>4544.6124998590876</v>
      </c>
      <c r="DY19" s="564">
        <v>4000</v>
      </c>
      <c r="DZ19" s="565">
        <v>144.5132620651305</v>
      </c>
      <c r="EA19" s="649">
        <v>6.4496385000000007</v>
      </c>
      <c r="EB19" s="646">
        <v>40.765237604576072</v>
      </c>
      <c r="EC19" s="646">
        <v>0</v>
      </c>
      <c r="ED19" s="646">
        <v>0</v>
      </c>
      <c r="EE19" s="646">
        <v>37.807189876247719</v>
      </c>
      <c r="EF19" s="646">
        <v>2.1189143902945293</v>
      </c>
      <c r="EG19" s="646">
        <v>3600</v>
      </c>
      <c r="EH19" s="563" t="s">
        <v>1588</v>
      </c>
      <c r="EI19" s="563">
        <v>3</v>
      </c>
      <c r="EJ19" s="563">
        <v>0</v>
      </c>
      <c r="EK19" s="563">
        <v>0</v>
      </c>
      <c r="EL19" s="563">
        <v>0</v>
      </c>
      <c r="EM19" s="650">
        <v>4656.8248518842156</v>
      </c>
      <c r="EN19" s="563">
        <v>0</v>
      </c>
      <c r="EO19" s="563">
        <v>0</v>
      </c>
      <c r="EP19" s="563">
        <v>0</v>
      </c>
      <c r="EQ19" s="650">
        <v>4544.6124998590876</v>
      </c>
      <c r="ER19" s="564">
        <v>4000</v>
      </c>
      <c r="ES19" s="565">
        <v>144.5132620651305</v>
      </c>
      <c r="ET19" s="649">
        <v>6.4496385000000007</v>
      </c>
      <c r="EU19" s="646">
        <v>40.765237604576072</v>
      </c>
      <c r="EV19" s="646">
        <v>0</v>
      </c>
      <c r="EW19" s="646">
        <v>0</v>
      </c>
      <c r="EX19" s="646">
        <v>37.807189876247719</v>
      </c>
      <c r="EY19" s="646">
        <v>2.1189143902945293</v>
      </c>
      <c r="EZ19" s="646">
        <v>3600</v>
      </c>
      <c r="FA19" s="563" t="s">
        <v>1589</v>
      </c>
      <c r="FB19" s="563">
        <v>3</v>
      </c>
      <c r="FC19" s="563">
        <v>0</v>
      </c>
      <c r="FD19" s="563">
        <v>0</v>
      </c>
      <c r="FE19" s="563">
        <v>0</v>
      </c>
      <c r="FF19" s="650">
        <v>4960.3718927858226</v>
      </c>
      <c r="FG19" s="563">
        <v>0</v>
      </c>
      <c r="FH19" s="563">
        <v>0</v>
      </c>
      <c r="FI19" s="563">
        <v>0</v>
      </c>
      <c r="FJ19" s="650">
        <v>4840.845173462546</v>
      </c>
      <c r="FK19" s="564">
        <v>4000</v>
      </c>
      <c r="FL19" s="565">
        <v>144.5132620651305</v>
      </c>
      <c r="FM19" s="649">
        <v>6.4496385000000007</v>
      </c>
      <c r="FN19" s="646">
        <v>40.765237604576072</v>
      </c>
      <c r="FO19" s="646">
        <v>0</v>
      </c>
      <c r="FP19" s="646">
        <v>0</v>
      </c>
      <c r="FQ19" s="646">
        <v>37.807189876247719</v>
      </c>
      <c r="FR19" s="646">
        <v>2.1189143902945293</v>
      </c>
      <c r="FS19" s="646">
        <v>3600</v>
      </c>
      <c r="FT19" s="563" t="s">
        <v>1589</v>
      </c>
      <c r="FU19" s="563">
        <v>3</v>
      </c>
      <c r="FV19" s="563">
        <v>0</v>
      </c>
      <c r="FW19" s="563">
        <v>0</v>
      </c>
      <c r="FX19" s="563">
        <v>0</v>
      </c>
      <c r="FY19" s="650">
        <v>4960.3718927858226</v>
      </c>
      <c r="FZ19" s="563">
        <v>0</v>
      </c>
      <c r="GA19" s="563">
        <v>0</v>
      </c>
      <c r="GB19" s="563">
        <v>0</v>
      </c>
      <c r="GC19" s="650">
        <v>4840.845173462546</v>
      </c>
      <c r="GD19" s="564">
        <v>4000</v>
      </c>
      <c r="GE19" s="565">
        <v>144.5132620651305</v>
      </c>
      <c r="GF19" s="649">
        <v>4.2997590000000008</v>
      </c>
      <c r="GG19" s="646">
        <v>38.615358104576075</v>
      </c>
      <c r="GH19" s="646">
        <v>0</v>
      </c>
      <c r="GI19" s="646">
        <v>0</v>
      </c>
      <c r="GJ19" s="646">
        <v>36.961342197093941</v>
      </c>
      <c r="GK19" s="646">
        <v>1.9710144378480452</v>
      </c>
      <c r="GL19" s="646">
        <v>3600</v>
      </c>
      <c r="GM19" s="563" t="s">
        <v>1587</v>
      </c>
      <c r="GN19" s="563">
        <v>2</v>
      </c>
      <c r="GO19" s="563">
        <v>0</v>
      </c>
      <c r="GP19" s="563">
        <v>0</v>
      </c>
      <c r="GQ19" s="563">
        <v>0</v>
      </c>
      <c r="GR19" s="650">
        <v>4770.3731435213813</v>
      </c>
      <c r="GS19" s="563">
        <v>0</v>
      </c>
      <c r="GT19" s="563">
        <v>0</v>
      </c>
      <c r="GU19" s="563">
        <v>0</v>
      </c>
      <c r="GV19" s="650">
        <v>4561.9471204247029</v>
      </c>
      <c r="GW19" s="564">
        <v>4000</v>
      </c>
      <c r="GX19" s="565">
        <v>144.5132620651305</v>
      </c>
      <c r="GY19" s="649">
        <v>4.2997590000000008</v>
      </c>
      <c r="GZ19" s="646">
        <v>38.615358104576075</v>
      </c>
      <c r="HA19" s="646">
        <v>0</v>
      </c>
      <c r="HB19" s="646">
        <v>0</v>
      </c>
      <c r="HC19" s="646">
        <v>36.961342197093941</v>
      </c>
      <c r="HD19" s="646">
        <v>1.9710144378480452</v>
      </c>
      <c r="HE19" s="646">
        <v>3600</v>
      </c>
      <c r="HF19" s="563" t="s">
        <v>1587</v>
      </c>
      <c r="HG19" s="563">
        <v>2</v>
      </c>
      <c r="HH19" s="563">
        <v>0</v>
      </c>
      <c r="HI19" s="563">
        <v>0</v>
      </c>
      <c r="HJ19" s="563">
        <v>0</v>
      </c>
      <c r="HK19" s="650">
        <v>4770.3731435213813</v>
      </c>
      <c r="HL19" s="563">
        <v>0</v>
      </c>
      <c r="HM19" s="563">
        <v>0</v>
      </c>
      <c r="HN19" s="563">
        <v>0</v>
      </c>
      <c r="HO19" s="650">
        <v>4561.9471204247029</v>
      </c>
      <c r="HP19" s="564">
        <v>4000</v>
      </c>
      <c r="HQ19" s="565">
        <v>144.5132620651305</v>
      </c>
      <c r="HR19" s="649">
        <v>4.2997590000000008</v>
      </c>
      <c r="HS19" s="646">
        <v>38.615358104576075</v>
      </c>
      <c r="HT19" s="646">
        <v>0</v>
      </c>
      <c r="HU19" s="646">
        <v>0</v>
      </c>
      <c r="HV19" s="646">
        <v>36.961342197093941</v>
      </c>
      <c r="HW19" s="646">
        <v>1.9710144378480452</v>
      </c>
      <c r="HX19" s="646">
        <v>3600</v>
      </c>
      <c r="HY19" s="563" t="s">
        <v>68</v>
      </c>
      <c r="HZ19" s="563">
        <v>2</v>
      </c>
      <c r="IA19" s="563">
        <v>0</v>
      </c>
      <c r="IB19" s="563">
        <v>0</v>
      </c>
      <c r="IC19" s="563">
        <v>0</v>
      </c>
      <c r="ID19" s="650">
        <v>4207.073666246336</v>
      </c>
      <c r="IE19" s="563">
        <v>0</v>
      </c>
      <c r="IF19" s="563">
        <v>0</v>
      </c>
      <c r="IG19" s="563">
        <v>0</v>
      </c>
      <c r="IH19" s="650">
        <v>4023.2591916236652</v>
      </c>
      <c r="II19" s="564">
        <v>4000</v>
      </c>
      <c r="IJ19" s="565">
        <v>144.5132620651305</v>
      </c>
      <c r="IK19" s="649">
        <v>4.2997590000000008</v>
      </c>
      <c r="IL19" s="646">
        <v>38.615358104576075</v>
      </c>
      <c r="IM19" s="646">
        <v>0</v>
      </c>
      <c r="IN19" s="646">
        <v>0</v>
      </c>
      <c r="IO19" s="646">
        <v>36.961342197093941</v>
      </c>
      <c r="IP19" s="646">
        <v>1.9710144378480452</v>
      </c>
      <c r="IQ19" s="646">
        <v>3600</v>
      </c>
      <c r="IR19" s="563" t="s">
        <v>68</v>
      </c>
      <c r="IS19" s="563">
        <v>2</v>
      </c>
      <c r="IT19" s="563">
        <v>0</v>
      </c>
      <c r="IU19" s="563">
        <v>0</v>
      </c>
      <c r="IV19" s="563">
        <v>0</v>
      </c>
      <c r="IW19" s="650">
        <v>4207.073666246336</v>
      </c>
      <c r="IX19" s="563">
        <v>0</v>
      </c>
      <c r="IY19" s="563">
        <v>0</v>
      </c>
      <c r="IZ19" s="563">
        <v>0</v>
      </c>
      <c r="JA19" s="650">
        <v>4023.2591916236652</v>
      </c>
      <c r="JB19" s="564">
        <v>4000</v>
      </c>
      <c r="JC19" s="565">
        <v>144.5132620651305</v>
      </c>
      <c r="JD19" s="649">
        <v>4.2997590000000008</v>
      </c>
      <c r="JE19" s="646">
        <v>38.615358104576075</v>
      </c>
      <c r="JF19" s="646">
        <v>0</v>
      </c>
      <c r="JG19" s="646">
        <v>0</v>
      </c>
      <c r="JH19" s="646">
        <v>36.961342197093941</v>
      </c>
      <c r="JI19" s="646">
        <v>1.9710144378480452</v>
      </c>
      <c r="JJ19" s="646">
        <v>3600</v>
      </c>
      <c r="JK19" s="563" t="s">
        <v>67</v>
      </c>
      <c r="JL19" s="563">
        <v>2</v>
      </c>
      <c r="JM19" s="563">
        <v>0</v>
      </c>
      <c r="JN19" s="563">
        <v>0</v>
      </c>
      <c r="JO19" s="563">
        <v>0</v>
      </c>
      <c r="JP19" s="650">
        <v>5733.2749906875588</v>
      </c>
      <c r="JQ19" s="563">
        <v>0</v>
      </c>
      <c r="JR19" s="563">
        <v>0</v>
      </c>
      <c r="JS19" s="563">
        <v>0</v>
      </c>
      <c r="JT19" s="650">
        <v>5482.7780862155214</v>
      </c>
      <c r="JU19" s="564">
        <v>4000</v>
      </c>
      <c r="JV19" s="565">
        <v>144.5132620651305</v>
      </c>
      <c r="JW19" s="649">
        <v>4.2997590000000008</v>
      </c>
      <c r="JX19" s="646">
        <v>38.615358104576075</v>
      </c>
      <c r="JY19" s="646">
        <v>0</v>
      </c>
      <c r="JZ19" s="646">
        <v>0</v>
      </c>
      <c r="KA19" s="646">
        <v>36.961342197093941</v>
      </c>
      <c r="KB19" s="646">
        <v>1.9710144378480452</v>
      </c>
      <c r="KC19" s="646">
        <v>3600</v>
      </c>
      <c r="KD19" s="563" t="s">
        <v>67</v>
      </c>
      <c r="KE19" s="563">
        <v>2</v>
      </c>
      <c r="KF19" s="563">
        <v>0</v>
      </c>
      <c r="KG19" s="563">
        <v>0</v>
      </c>
      <c r="KH19" s="563">
        <v>0</v>
      </c>
      <c r="KI19" s="650">
        <v>5733.2749906875588</v>
      </c>
      <c r="KJ19" s="563">
        <v>0</v>
      </c>
      <c r="KK19" s="563">
        <v>0</v>
      </c>
      <c r="KL19" s="563">
        <v>0</v>
      </c>
      <c r="KM19" s="650">
        <v>5482.7780862155214</v>
      </c>
      <c r="KN19" s="564">
        <v>4000</v>
      </c>
      <c r="KO19" s="566">
        <v>144.5132620651305</v>
      </c>
    </row>
    <row r="20" spans="1:301" ht="15" customHeight="1">
      <c r="A20" s="663" t="s">
        <v>797</v>
      </c>
      <c r="B20" s="629" t="s">
        <v>384</v>
      </c>
      <c r="C20" s="629">
        <v>344</v>
      </c>
      <c r="D20" s="629">
        <v>690</v>
      </c>
      <c r="E20" s="629">
        <v>350</v>
      </c>
      <c r="F20" s="629">
        <v>315</v>
      </c>
      <c r="G20" s="629">
        <v>191</v>
      </c>
      <c r="H20" s="629">
        <v>133</v>
      </c>
      <c r="I20" s="629">
        <v>89</v>
      </c>
      <c r="J20" s="629">
        <v>36.549999999999997</v>
      </c>
      <c r="K20" s="629">
        <v>46.5</v>
      </c>
      <c r="L20" s="629">
        <v>10</v>
      </c>
      <c r="M20" s="629">
        <v>279</v>
      </c>
      <c r="N20" s="629">
        <v>4</v>
      </c>
      <c r="O20" s="623">
        <v>8.7203072241284048</v>
      </c>
      <c r="P20" s="629">
        <v>4</v>
      </c>
      <c r="Q20" s="623">
        <v>6.0221485158145738</v>
      </c>
      <c r="R20" s="629">
        <v>13.000000000000002</v>
      </c>
      <c r="S20" s="629">
        <v>481.56797925444289</v>
      </c>
      <c r="T20" s="645">
        <v>18.587376417421879</v>
      </c>
      <c r="U20" s="645">
        <v>72.235196888166428</v>
      </c>
      <c r="V20" s="645">
        <v>85</v>
      </c>
      <c r="W20" s="793">
        <v>2.0508667729799614</v>
      </c>
      <c r="X20" s="646">
        <v>0</v>
      </c>
      <c r="Y20" s="646">
        <v>0</v>
      </c>
      <c r="Z20" s="646">
        <v>0</v>
      </c>
      <c r="AA20" s="646">
        <v>0</v>
      </c>
      <c r="AB20" s="647">
        <v>8.0899397621511469</v>
      </c>
      <c r="AC20" s="784">
        <v>4000</v>
      </c>
      <c r="AD20" s="631">
        <v>0.66713808663402452</v>
      </c>
      <c r="AE20" s="631">
        <v>0.74131243349806197</v>
      </c>
      <c r="AF20" s="631">
        <v>-0.32141591662516694</v>
      </c>
      <c r="AG20" s="631">
        <v>0.81245213260895566</v>
      </c>
      <c r="AH20" s="629"/>
      <c r="AI20" s="648">
        <v>1.9292105082464994</v>
      </c>
      <c r="AJ20" s="649">
        <v>12.155332500000002</v>
      </c>
      <c r="AK20" s="646">
        <v>47.536031430344821</v>
      </c>
      <c r="AL20" s="646">
        <v>0</v>
      </c>
      <c r="AM20" s="646">
        <v>0</v>
      </c>
      <c r="AN20" s="646">
        <v>46.031494170099784</v>
      </c>
      <c r="AO20" s="646">
        <v>2.6274783533590726</v>
      </c>
      <c r="AP20" s="801">
        <v>3600</v>
      </c>
      <c r="AQ20" s="563" t="s">
        <v>71</v>
      </c>
      <c r="AR20" s="563">
        <v>5</v>
      </c>
      <c r="AS20" s="563">
        <v>0</v>
      </c>
      <c r="AT20" s="563">
        <v>0</v>
      </c>
      <c r="AU20" s="563">
        <v>0</v>
      </c>
      <c r="AV20" s="650">
        <v>4936.3524813328977</v>
      </c>
      <c r="AW20" s="563">
        <v>0</v>
      </c>
      <c r="AX20" s="563">
        <v>0</v>
      </c>
      <c r="AY20" s="563">
        <v>0</v>
      </c>
      <c r="AZ20" s="650">
        <v>5836.1456501858165</v>
      </c>
      <c r="BA20" s="564">
        <v>4000</v>
      </c>
      <c r="BB20" s="565">
        <v>144.5132620651305</v>
      </c>
      <c r="BC20" s="649">
        <v>12.155332500000002</v>
      </c>
      <c r="BD20" s="646">
        <v>47.536031430344821</v>
      </c>
      <c r="BE20" s="646">
        <v>0</v>
      </c>
      <c r="BF20" s="646">
        <v>0</v>
      </c>
      <c r="BG20" s="646">
        <v>46.031494170099784</v>
      </c>
      <c r="BH20" s="646">
        <v>2.6274783533590726</v>
      </c>
      <c r="BI20" s="646">
        <v>3600</v>
      </c>
      <c r="BJ20" s="563" t="s">
        <v>71</v>
      </c>
      <c r="BK20" s="563">
        <v>5</v>
      </c>
      <c r="BL20" s="563">
        <v>0</v>
      </c>
      <c r="BM20" s="563">
        <v>0</v>
      </c>
      <c r="BN20" s="563">
        <v>0</v>
      </c>
      <c r="BO20" s="650">
        <v>4936.3524813328977</v>
      </c>
      <c r="BP20" s="563">
        <v>0</v>
      </c>
      <c r="BQ20" s="563">
        <v>0</v>
      </c>
      <c r="BR20" s="563">
        <v>0</v>
      </c>
      <c r="BS20" s="650">
        <v>5836.1456501858165</v>
      </c>
      <c r="BT20" s="564">
        <v>4000</v>
      </c>
      <c r="BU20" s="565">
        <v>144.5132620651305</v>
      </c>
      <c r="BV20" s="649">
        <v>12.155332500000002</v>
      </c>
      <c r="BW20" s="646">
        <v>47.536031430344821</v>
      </c>
      <c r="BX20" s="646">
        <v>0</v>
      </c>
      <c r="BY20" s="646">
        <v>0</v>
      </c>
      <c r="BZ20" s="646">
        <v>46.031494170099784</v>
      </c>
      <c r="CA20" s="646">
        <v>2.6274783533590726</v>
      </c>
      <c r="CB20" s="646">
        <v>3600</v>
      </c>
      <c r="CC20" s="563" t="s">
        <v>1584</v>
      </c>
      <c r="CD20" s="563">
        <v>5</v>
      </c>
      <c r="CE20" s="563">
        <v>0</v>
      </c>
      <c r="CF20" s="563">
        <v>0</v>
      </c>
      <c r="CG20" s="563">
        <v>0</v>
      </c>
      <c r="CH20" s="650">
        <v>4836.6179079148887</v>
      </c>
      <c r="CI20" s="563">
        <v>0</v>
      </c>
      <c r="CJ20" s="563">
        <v>0</v>
      </c>
      <c r="CK20" s="563">
        <v>0</v>
      </c>
      <c r="CL20" s="650">
        <v>5718.2315630075282</v>
      </c>
      <c r="CM20" s="564">
        <v>4000</v>
      </c>
      <c r="CN20" s="565">
        <v>144.5132620651305</v>
      </c>
      <c r="CO20" s="649">
        <v>12.155332500000002</v>
      </c>
      <c r="CP20" s="646">
        <v>47.536031430344821</v>
      </c>
      <c r="CQ20" s="646">
        <v>0</v>
      </c>
      <c r="CR20" s="646">
        <v>0</v>
      </c>
      <c r="CS20" s="646">
        <v>46.031494170099784</v>
      </c>
      <c r="CT20" s="646">
        <v>2.6274783533590726</v>
      </c>
      <c r="CU20" s="646">
        <v>3600</v>
      </c>
      <c r="CV20" s="563" t="s">
        <v>1584</v>
      </c>
      <c r="CW20" s="563">
        <v>5</v>
      </c>
      <c r="CX20" s="563">
        <v>0</v>
      </c>
      <c r="CY20" s="563">
        <v>0</v>
      </c>
      <c r="CZ20" s="563">
        <v>0</v>
      </c>
      <c r="DA20" s="650">
        <v>4836.6179079148887</v>
      </c>
      <c r="DB20" s="563">
        <v>0</v>
      </c>
      <c r="DC20" s="563">
        <v>0</v>
      </c>
      <c r="DD20" s="563">
        <v>0</v>
      </c>
      <c r="DE20" s="650">
        <v>5718.2315630075282</v>
      </c>
      <c r="DF20" s="564">
        <v>4000</v>
      </c>
      <c r="DG20" s="565">
        <v>144.5132620651305</v>
      </c>
      <c r="DH20" s="649">
        <v>9.7242660000000019</v>
      </c>
      <c r="DI20" s="646">
        <v>45.104964930344821</v>
      </c>
      <c r="DJ20" s="646">
        <v>0</v>
      </c>
      <c r="DK20" s="646">
        <v>0</v>
      </c>
      <c r="DL20" s="646">
        <v>44.928283051213668</v>
      </c>
      <c r="DM20" s="646">
        <v>2.4468391726098226</v>
      </c>
      <c r="DN20" s="646">
        <v>3600</v>
      </c>
      <c r="DO20" s="563" t="s">
        <v>1588</v>
      </c>
      <c r="DP20" s="563">
        <v>4</v>
      </c>
      <c r="DQ20" s="563">
        <v>0</v>
      </c>
      <c r="DR20" s="563">
        <v>0</v>
      </c>
      <c r="DS20" s="563">
        <v>0</v>
      </c>
      <c r="DT20" s="650">
        <v>4034.3809543463567</v>
      </c>
      <c r="DU20" s="563">
        <v>0</v>
      </c>
      <c r="DV20" s="563">
        <v>0</v>
      </c>
      <c r="DW20" s="563">
        <v>0</v>
      </c>
      <c r="DX20" s="650">
        <v>4449.3767230952581</v>
      </c>
      <c r="DY20" s="564">
        <v>4000</v>
      </c>
      <c r="DZ20" s="565">
        <v>144.5132620651305</v>
      </c>
      <c r="EA20" s="649">
        <v>9.7242660000000019</v>
      </c>
      <c r="EB20" s="646">
        <v>45.104964930344821</v>
      </c>
      <c r="EC20" s="646">
        <v>0</v>
      </c>
      <c r="ED20" s="646">
        <v>0</v>
      </c>
      <c r="EE20" s="646">
        <v>44.928283051213668</v>
      </c>
      <c r="EF20" s="646">
        <v>2.4468391726098226</v>
      </c>
      <c r="EG20" s="646">
        <v>3600</v>
      </c>
      <c r="EH20" s="563" t="s">
        <v>1588</v>
      </c>
      <c r="EI20" s="563">
        <v>4</v>
      </c>
      <c r="EJ20" s="563">
        <v>0</v>
      </c>
      <c r="EK20" s="563">
        <v>0</v>
      </c>
      <c r="EL20" s="563">
        <v>0</v>
      </c>
      <c r="EM20" s="650">
        <v>4034.3809543463567</v>
      </c>
      <c r="EN20" s="563">
        <v>0</v>
      </c>
      <c r="EO20" s="563">
        <v>0</v>
      </c>
      <c r="EP20" s="563">
        <v>0</v>
      </c>
      <c r="EQ20" s="650">
        <v>4449.3767230952581</v>
      </c>
      <c r="ER20" s="564">
        <v>4000</v>
      </c>
      <c r="ES20" s="565">
        <v>144.5132620651305</v>
      </c>
      <c r="ET20" s="649">
        <v>9.7242660000000019</v>
      </c>
      <c r="EU20" s="646">
        <v>45.104964930344821</v>
      </c>
      <c r="EV20" s="646">
        <v>0</v>
      </c>
      <c r="EW20" s="646">
        <v>0</v>
      </c>
      <c r="EX20" s="646">
        <v>44.928283051213668</v>
      </c>
      <c r="EY20" s="646">
        <v>2.4468391726098226</v>
      </c>
      <c r="EZ20" s="646">
        <v>3600</v>
      </c>
      <c r="FA20" s="563" t="s">
        <v>1589</v>
      </c>
      <c r="FB20" s="563">
        <v>4</v>
      </c>
      <c r="FC20" s="563">
        <v>0</v>
      </c>
      <c r="FD20" s="563">
        <v>0</v>
      </c>
      <c r="FE20" s="563">
        <v>0</v>
      </c>
      <c r="FF20" s="650">
        <v>4297.355070726564</v>
      </c>
      <c r="FG20" s="563">
        <v>0</v>
      </c>
      <c r="FH20" s="563">
        <v>0</v>
      </c>
      <c r="FI20" s="563">
        <v>0</v>
      </c>
      <c r="FJ20" s="650">
        <v>4739.4016179773562</v>
      </c>
      <c r="FK20" s="564">
        <v>4000</v>
      </c>
      <c r="FL20" s="565">
        <v>144.5132620651305</v>
      </c>
      <c r="FM20" s="649">
        <v>9.7242660000000019</v>
      </c>
      <c r="FN20" s="646">
        <v>45.104964930344821</v>
      </c>
      <c r="FO20" s="646">
        <v>0</v>
      </c>
      <c r="FP20" s="646">
        <v>0</v>
      </c>
      <c r="FQ20" s="646">
        <v>44.928283051213668</v>
      </c>
      <c r="FR20" s="646">
        <v>2.4468391726098226</v>
      </c>
      <c r="FS20" s="646">
        <v>3600</v>
      </c>
      <c r="FT20" s="563" t="s">
        <v>1589</v>
      </c>
      <c r="FU20" s="563">
        <v>4</v>
      </c>
      <c r="FV20" s="563">
        <v>0</v>
      </c>
      <c r="FW20" s="563">
        <v>0</v>
      </c>
      <c r="FX20" s="563">
        <v>0</v>
      </c>
      <c r="FY20" s="650">
        <v>4297.355070726564</v>
      </c>
      <c r="FZ20" s="563">
        <v>0</v>
      </c>
      <c r="GA20" s="563">
        <v>0</v>
      </c>
      <c r="GB20" s="563">
        <v>0</v>
      </c>
      <c r="GC20" s="650">
        <v>4739.4016179773562</v>
      </c>
      <c r="GD20" s="564">
        <v>4000</v>
      </c>
      <c r="GE20" s="565">
        <v>144.5132620651305</v>
      </c>
      <c r="GF20" s="649">
        <v>7.2931995000000018</v>
      </c>
      <c r="GG20" s="646">
        <v>42.673898430344821</v>
      </c>
      <c r="GH20" s="646">
        <v>0</v>
      </c>
      <c r="GI20" s="646">
        <v>0</v>
      </c>
      <c r="GJ20" s="646">
        <v>43.699375443738418</v>
      </c>
      <c r="GK20" s="646">
        <v>2.2661999918605726</v>
      </c>
      <c r="GL20" s="646">
        <v>3600</v>
      </c>
      <c r="GM20" s="563" t="s">
        <v>1587</v>
      </c>
      <c r="GN20" s="563">
        <v>3</v>
      </c>
      <c r="GO20" s="563">
        <v>0</v>
      </c>
      <c r="GP20" s="563">
        <v>0</v>
      </c>
      <c r="GQ20" s="563">
        <v>0</v>
      </c>
      <c r="GR20" s="650">
        <v>4329.0027142320168</v>
      </c>
      <c r="GS20" s="563">
        <v>0</v>
      </c>
      <c r="GT20" s="563">
        <v>0</v>
      </c>
      <c r="GU20" s="563">
        <v>0</v>
      </c>
      <c r="GV20" s="650">
        <v>4638.5003980377551</v>
      </c>
      <c r="GW20" s="564">
        <v>4000</v>
      </c>
      <c r="GX20" s="565">
        <v>144.5132620651305</v>
      </c>
      <c r="GY20" s="649">
        <v>7.2931995000000018</v>
      </c>
      <c r="GZ20" s="646">
        <v>42.673898430344821</v>
      </c>
      <c r="HA20" s="646">
        <v>0</v>
      </c>
      <c r="HB20" s="646">
        <v>0</v>
      </c>
      <c r="HC20" s="646">
        <v>43.699375443738418</v>
      </c>
      <c r="HD20" s="646">
        <v>2.2661999918605726</v>
      </c>
      <c r="HE20" s="646">
        <v>3600</v>
      </c>
      <c r="HF20" s="563" t="s">
        <v>1587</v>
      </c>
      <c r="HG20" s="563">
        <v>3</v>
      </c>
      <c r="HH20" s="563">
        <v>0</v>
      </c>
      <c r="HI20" s="563">
        <v>0</v>
      </c>
      <c r="HJ20" s="563">
        <v>0</v>
      </c>
      <c r="HK20" s="650">
        <v>4329.0027142320168</v>
      </c>
      <c r="HL20" s="563">
        <v>0</v>
      </c>
      <c r="HM20" s="563">
        <v>0</v>
      </c>
      <c r="HN20" s="563">
        <v>0</v>
      </c>
      <c r="HO20" s="650">
        <v>4638.5003980377551</v>
      </c>
      <c r="HP20" s="564">
        <v>4000</v>
      </c>
      <c r="HQ20" s="565">
        <v>144.5132620651305</v>
      </c>
      <c r="HR20" s="649">
        <v>9.7242660000000019</v>
      </c>
      <c r="HS20" s="646">
        <v>45.104964930344821</v>
      </c>
      <c r="HT20" s="646">
        <v>0</v>
      </c>
      <c r="HU20" s="646">
        <v>0</v>
      </c>
      <c r="HV20" s="646">
        <v>44.928283051213668</v>
      </c>
      <c r="HW20" s="646">
        <v>2.4468391726098226</v>
      </c>
      <c r="HX20" s="646">
        <v>3600</v>
      </c>
      <c r="HY20" s="563" t="s">
        <v>68</v>
      </c>
      <c r="HZ20" s="563">
        <v>4</v>
      </c>
      <c r="IA20" s="563">
        <v>0</v>
      </c>
      <c r="IB20" s="563">
        <v>0</v>
      </c>
      <c r="IC20" s="563">
        <v>0</v>
      </c>
      <c r="ID20" s="650">
        <v>4680.8449227748379</v>
      </c>
      <c r="IE20" s="563">
        <v>0</v>
      </c>
      <c r="IF20" s="563">
        <v>0</v>
      </c>
      <c r="IG20" s="563">
        <v>0</v>
      </c>
      <c r="IH20" s="650">
        <v>5162.339074939272</v>
      </c>
      <c r="II20" s="564">
        <v>4000</v>
      </c>
      <c r="IJ20" s="565">
        <v>144.5132620651305</v>
      </c>
      <c r="IK20" s="649">
        <v>9.7242660000000019</v>
      </c>
      <c r="IL20" s="646">
        <v>45.104964930344821</v>
      </c>
      <c r="IM20" s="646">
        <v>0</v>
      </c>
      <c r="IN20" s="646">
        <v>0</v>
      </c>
      <c r="IO20" s="646">
        <v>44.928283051213668</v>
      </c>
      <c r="IP20" s="646">
        <v>2.4468391726098226</v>
      </c>
      <c r="IQ20" s="646">
        <v>3600</v>
      </c>
      <c r="IR20" s="563" t="s">
        <v>68</v>
      </c>
      <c r="IS20" s="563">
        <v>4</v>
      </c>
      <c r="IT20" s="563">
        <v>0</v>
      </c>
      <c r="IU20" s="563">
        <v>0</v>
      </c>
      <c r="IV20" s="563">
        <v>0</v>
      </c>
      <c r="IW20" s="650">
        <v>4680.8449227748379</v>
      </c>
      <c r="IX20" s="563">
        <v>0</v>
      </c>
      <c r="IY20" s="563">
        <v>0</v>
      </c>
      <c r="IZ20" s="563">
        <v>0</v>
      </c>
      <c r="JA20" s="650">
        <v>5162.339074939272</v>
      </c>
      <c r="JB20" s="564">
        <v>4000</v>
      </c>
      <c r="JC20" s="565">
        <v>144.5132620651305</v>
      </c>
      <c r="JD20" s="649">
        <v>4.8621330000000009</v>
      </c>
      <c r="JE20" s="646">
        <v>40.242831930344821</v>
      </c>
      <c r="JF20" s="646">
        <v>0</v>
      </c>
      <c r="JG20" s="646">
        <v>0</v>
      </c>
      <c r="JH20" s="646">
        <v>42.321991400941755</v>
      </c>
      <c r="JI20" s="646">
        <v>2.0855608111113226</v>
      </c>
      <c r="JJ20" s="646">
        <v>3600</v>
      </c>
      <c r="JK20" s="563" t="s">
        <v>67</v>
      </c>
      <c r="JL20" s="563">
        <v>2</v>
      </c>
      <c r="JM20" s="563">
        <v>0</v>
      </c>
      <c r="JN20" s="563">
        <v>0</v>
      </c>
      <c r="JO20" s="563">
        <v>0</v>
      </c>
      <c r="JP20" s="650">
        <v>4090.8633365440592</v>
      </c>
      <c r="JQ20" s="563">
        <v>0</v>
      </c>
      <c r="JR20" s="563">
        <v>0</v>
      </c>
      <c r="JS20" s="563">
        <v>0</v>
      </c>
      <c r="JT20" s="650">
        <v>4314.9592071849011</v>
      </c>
      <c r="JU20" s="564">
        <v>4000</v>
      </c>
      <c r="JV20" s="565">
        <v>144.5132620651305</v>
      </c>
      <c r="JW20" s="649">
        <v>4.8621330000000009</v>
      </c>
      <c r="JX20" s="646">
        <v>40.242831930344821</v>
      </c>
      <c r="JY20" s="646">
        <v>0</v>
      </c>
      <c r="JZ20" s="646">
        <v>0</v>
      </c>
      <c r="KA20" s="646">
        <v>42.321991400941755</v>
      </c>
      <c r="KB20" s="646">
        <v>2.0855608111113226</v>
      </c>
      <c r="KC20" s="646">
        <v>3600</v>
      </c>
      <c r="KD20" s="563" t="s">
        <v>67</v>
      </c>
      <c r="KE20" s="563">
        <v>2</v>
      </c>
      <c r="KF20" s="563">
        <v>0</v>
      </c>
      <c r="KG20" s="563">
        <v>0</v>
      </c>
      <c r="KH20" s="563">
        <v>0</v>
      </c>
      <c r="KI20" s="650">
        <v>4090.8633365440592</v>
      </c>
      <c r="KJ20" s="563">
        <v>0</v>
      </c>
      <c r="KK20" s="563">
        <v>0</v>
      </c>
      <c r="KL20" s="563">
        <v>0</v>
      </c>
      <c r="KM20" s="650">
        <v>4314.9592071849011</v>
      </c>
      <c r="KN20" s="564">
        <v>4000</v>
      </c>
      <c r="KO20" s="566">
        <v>144.5132620651305</v>
      </c>
    </row>
    <row r="21" spans="1:301" ht="15" customHeight="1">
      <c r="A21" s="663" t="s">
        <v>798</v>
      </c>
      <c r="B21" s="629" t="s">
        <v>386</v>
      </c>
      <c r="C21" s="629">
        <v>459.5</v>
      </c>
      <c r="D21" s="629">
        <v>690</v>
      </c>
      <c r="E21" s="629">
        <v>450</v>
      </c>
      <c r="F21" s="629">
        <v>450</v>
      </c>
      <c r="G21" s="629">
        <v>281</v>
      </c>
      <c r="H21" s="629">
        <v>190</v>
      </c>
      <c r="I21" s="629">
        <v>139</v>
      </c>
      <c r="J21" s="629">
        <v>18.57</v>
      </c>
      <c r="K21" s="629">
        <v>29.66</v>
      </c>
      <c r="L21" s="629">
        <v>8</v>
      </c>
      <c r="M21" s="629">
        <v>265</v>
      </c>
      <c r="N21" s="629">
        <v>4</v>
      </c>
      <c r="O21" s="623">
        <v>6.7473870376740139</v>
      </c>
      <c r="P21" s="629">
        <v>4</v>
      </c>
      <c r="Q21" s="623">
        <v>4.8719056143386217</v>
      </c>
      <c r="R21" s="629">
        <v>13.000000000000002</v>
      </c>
      <c r="S21" s="629">
        <v>527.77737035859855</v>
      </c>
      <c r="T21" s="645">
        <v>22.325665847218723</v>
      </c>
      <c r="U21" s="645">
        <v>79.166605553789779</v>
      </c>
      <c r="V21" s="645">
        <v>110</v>
      </c>
      <c r="W21" s="793">
        <v>3.1878474791461349</v>
      </c>
      <c r="X21" s="646">
        <v>0</v>
      </c>
      <c r="Y21" s="646">
        <v>0</v>
      </c>
      <c r="Z21" s="646">
        <v>0</v>
      </c>
      <c r="AA21" s="646">
        <v>0</v>
      </c>
      <c r="AB21" s="647">
        <v>13.652763514131557</v>
      </c>
      <c r="AC21" s="784">
        <v>4000</v>
      </c>
      <c r="AD21" s="631">
        <v>0.76982121334115883</v>
      </c>
      <c r="AE21" s="631">
        <v>0.33595438386795234</v>
      </c>
      <c r="AF21" s="631">
        <v>-0.76293392603386023</v>
      </c>
      <c r="AG21" s="631">
        <v>0.9573236749525984</v>
      </c>
      <c r="AH21" s="629"/>
      <c r="AI21" s="648">
        <v>1.8615339332355441</v>
      </c>
      <c r="AJ21" s="649">
        <v>21.900872000000007</v>
      </c>
      <c r="AK21" s="646">
        <v>59.033677978377504</v>
      </c>
      <c r="AL21" s="646">
        <v>0</v>
      </c>
      <c r="AM21" s="646">
        <v>0</v>
      </c>
      <c r="AN21" s="646">
        <v>62.553761754422077</v>
      </c>
      <c r="AO21" s="646">
        <v>3.6906633626042797</v>
      </c>
      <c r="AP21" s="801">
        <v>3600</v>
      </c>
      <c r="AQ21" s="563" t="s">
        <v>71</v>
      </c>
      <c r="AR21" s="563">
        <v>8</v>
      </c>
      <c r="AS21" s="563">
        <v>0</v>
      </c>
      <c r="AT21" s="563">
        <v>0</v>
      </c>
      <c r="AU21" s="563">
        <v>0</v>
      </c>
      <c r="AV21" s="650">
        <v>11205.627018913005</v>
      </c>
      <c r="AW21" s="563">
        <v>0</v>
      </c>
      <c r="AX21" s="563">
        <v>0</v>
      </c>
      <c r="AY21" s="563">
        <v>0</v>
      </c>
      <c r="AZ21" s="650">
        <v>5308.3348040680503</v>
      </c>
      <c r="BA21" s="564">
        <v>4000</v>
      </c>
      <c r="BB21" s="565">
        <v>144.5132620651305</v>
      </c>
      <c r="BC21" s="649">
        <v>21.900872000000007</v>
      </c>
      <c r="BD21" s="646">
        <v>59.033677978377504</v>
      </c>
      <c r="BE21" s="646">
        <v>0</v>
      </c>
      <c r="BF21" s="646">
        <v>0</v>
      </c>
      <c r="BG21" s="646">
        <v>62.553761754422077</v>
      </c>
      <c r="BH21" s="646">
        <v>3.6906633626042797</v>
      </c>
      <c r="BI21" s="646">
        <v>3600</v>
      </c>
      <c r="BJ21" s="563" t="s">
        <v>71</v>
      </c>
      <c r="BK21" s="563">
        <v>8</v>
      </c>
      <c r="BL21" s="563">
        <v>0</v>
      </c>
      <c r="BM21" s="563">
        <v>0</v>
      </c>
      <c r="BN21" s="563">
        <v>0</v>
      </c>
      <c r="BO21" s="650">
        <v>11205.627018913005</v>
      </c>
      <c r="BP21" s="563">
        <v>0</v>
      </c>
      <c r="BQ21" s="563">
        <v>0</v>
      </c>
      <c r="BR21" s="563">
        <v>0</v>
      </c>
      <c r="BS21" s="650">
        <v>5308.3348040680503</v>
      </c>
      <c r="BT21" s="564">
        <v>4000</v>
      </c>
      <c r="BU21" s="565">
        <v>144.5132620651305</v>
      </c>
      <c r="BV21" s="649">
        <v>21.900872000000007</v>
      </c>
      <c r="BW21" s="646">
        <v>59.033677978377504</v>
      </c>
      <c r="BX21" s="646">
        <v>0</v>
      </c>
      <c r="BY21" s="646">
        <v>0</v>
      </c>
      <c r="BZ21" s="646">
        <v>62.553761754422077</v>
      </c>
      <c r="CA21" s="646">
        <v>3.6906633626042797</v>
      </c>
      <c r="CB21" s="646">
        <v>3600</v>
      </c>
      <c r="CC21" s="563" t="s">
        <v>1584</v>
      </c>
      <c r="CD21" s="563">
        <v>8</v>
      </c>
      <c r="CE21" s="563">
        <v>0</v>
      </c>
      <c r="CF21" s="563">
        <v>0</v>
      </c>
      <c r="CG21" s="563">
        <v>0</v>
      </c>
      <c r="CH21" s="650">
        <v>10979.227377712583</v>
      </c>
      <c r="CI21" s="563">
        <v>0</v>
      </c>
      <c r="CJ21" s="563">
        <v>0</v>
      </c>
      <c r="CK21" s="563">
        <v>0</v>
      </c>
      <c r="CL21" s="650">
        <v>5201.0846615294577</v>
      </c>
      <c r="CM21" s="564">
        <v>4000</v>
      </c>
      <c r="CN21" s="565">
        <v>144.5132620651305</v>
      </c>
      <c r="CO21" s="649">
        <v>21.900872000000007</v>
      </c>
      <c r="CP21" s="646">
        <v>59.033677978377504</v>
      </c>
      <c r="CQ21" s="646">
        <v>0</v>
      </c>
      <c r="CR21" s="646">
        <v>0</v>
      </c>
      <c r="CS21" s="646">
        <v>62.553761754422077</v>
      </c>
      <c r="CT21" s="646">
        <v>3.6906633626042797</v>
      </c>
      <c r="CU21" s="646">
        <v>3600</v>
      </c>
      <c r="CV21" s="563" t="s">
        <v>1584</v>
      </c>
      <c r="CW21" s="563">
        <v>8</v>
      </c>
      <c r="CX21" s="563">
        <v>0</v>
      </c>
      <c r="CY21" s="563">
        <v>0</v>
      </c>
      <c r="CZ21" s="563">
        <v>0</v>
      </c>
      <c r="DA21" s="650">
        <v>10979.227377712583</v>
      </c>
      <c r="DB21" s="563">
        <v>0</v>
      </c>
      <c r="DC21" s="563">
        <v>0</v>
      </c>
      <c r="DD21" s="563">
        <v>0</v>
      </c>
      <c r="DE21" s="650">
        <v>5201.0846615294577</v>
      </c>
      <c r="DF21" s="564">
        <v>4000</v>
      </c>
      <c r="DG21" s="565">
        <v>144.5132620651305</v>
      </c>
      <c r="DH21" s="649">
        <v>21.900872000000007</v>
      </c>
      <c r="DI21" s="646">
        <v>59.033677978377504</v>
      </c>
      <c r="DJ21" s="646">
        <v>0</v>
      </c>
      <c r="DK21" s="646">
        <v>0</v>
      </c>
      <c r="DL21" s="646">
        <v>62.553761754422077</v>
      </c>
      <c r="DM21" s="646">
        <v>3.6906633626042797</v>
      </c>
      <c r="DN21" s="646">
        <v>3600</v>
      </c>
      <c r="DO21" s="563" t="s">
        <v>1588</v>
      </c>
      <c r="DP21" s="563">
        <v>8</v>
      </c>
      <c r="DQ21" s="563">
        <v>0</v>
      </c>
      <c r="DR21" s="563">
        <v>0</v>
      </c>
      <c r="DS21" s="563">
        <v>0</v>
      </c>
      <c r="DT21" s="650">
        <v>11427.542166295987</v>
      </c>
      <c r="DU21" s="563">
        <v>0</v>
      </c>
      <c r="DV21" s="563">
        <v>0</v>
      </c>
      <c r="DW21" s="563">
        <v>0</v>
      </c>
      <c r="DX21" s="650">
        <v>5413.4605501253427</v>
      </c>
      <c r="DY21" s="564">
        <v>4000</v>
      </c>
      <c r="DZ21" s="565">
        <v>144.5132620651305</v>
      </c>
      <c r="EA21" s="649">
        <v>21.900872000000007</v>
      </c>
      <c r="EB21" s="646">
        <v>59.033677978377504</v>
      </c>
      <c r="EC21" s="646">
        <v>0</v>
      </c>
      <c r="ED21" s="646">
        <v>0</v>
      </c>
      <c r="EE21" s="646">
        <v>62.553761754422077</v>
      </c>
      <c r="EF21" s="646">
        <v>3.6906633626042797</v>
      </c>
      <c r="EG21" s="646">
        <v>3600</v>
      </c>
      <c r="EH21" s="563" t="s">
        <v>1588</v>
      </c>
      <c r="EI21" s="563">
        <v>8</v>
      </c>
      <c r="EJ21" s="563">
        <v>0</v>
      </c>
      <c r="EK21" s="563">
        <v>0</v>
      </c>
      <c r="EL21" s="563">
        <v>0</v>
      </c>
      <c r="EM21" s="650">
        <v>11427.542166295987</v>
      </c>
      <c r="EN21" s="563">
        <v>0</v>
      </c>
      <c r="EO21" s="563">
        <v>0</v>
      </c>
      <c r="EP21" s="563">
        <v>0</v>
      </c>
      <c r="EQ21" s="650">
        <v>5413.4605501253427</v>
      </c>
      <c r="ER21" s="564">
        <v>4000</v>
      </c>
      <c r="ES21" s="565">
        <v>144.5132620651305</v>
      </c>
      <c r="ET21" s="649">
        <v>21.900872000000007</v>
      </c>
      <c r="EU21" s="646">
        <v>59.033677978377504</v>
      </c>
      <c r="EV21" s="646">
        <v>0</v>
      </c>
      <c r="EW21" s="646">
        <v>0</v>
      </c>
      <c r="EX21" s="646">
        <v>62.553761754422077</v>
      </c>
      <c r="EY21" s="646">
        <v>3.6906633626042797</v>
      </c>
      <c r="EZ21" s="646">
        <v>3600</v>
      </c>
      <c r="FA21" s="563" t="s">
        <v>1589</v>
      </c>
      <c r="FB21" s="563">
        <v>8</v>
      </c>
      <c r="FC21" s="563">
        <v>0</v>
      </c>
      <c r="FD21" s="563">
        <v>0</v>
      </c>
      <c r="FE21" s="563">
        <v>0</v>
      </c>
      <c r="FF21" s="650">
        <v>12172.426657271431</v>
      </c>
      <c r="FG21" s="563">
        <v>0</v>
      </c>
      <c r="FH21" s="563">
        <v>0</v>
      </c>
      <c r="FI21" s="563">
        <v>0</v>
      </c>
      <c r="FJ21" s="650">
        <v>5766.3275750389548</v>
      </c>
      <c r="FK21" s="564">
        <v>4000</v>
      </c>
      <c r="FL21" s="565">
        <v>144.5132620651305</v>
      </c>
      <c r="FM21" s="649">
        <v>21.900872000000007</v>
      </c>
      <c r="FN21" s="646">
        <v>59.033677978377504</v>
      </c>
      <c r="FO21" s="646">
        <v>0</v>
      </c>
      <c r="FP21" s="646">
        <v>0</v>
      </c>
      <c r="FQ21" s="646">
        <v>62.553761754422077</v>
      </c>
      <c r="FR21" s="646">
        <v>3.6906633626042797</v>
      </c>
      <c r="FS21" s="646">
        <v>3600</v>
      </c>
      <c r="FT21" s="563" t="s">
        <v>1589</v>
      </c>
      <c r="FU21" s="563">
        <v>8</v>
      </c>
      <c r="FV21" s="563">
        <v>0</v>
      </c>
      <c r="FW21" s="563">
        <v>0</v>
      </c>
      <c r="FX21" s="563">
        <v>0</v>
      </c>
      <c r="FY21" s="650">
        <v>12172.426657271431</v>
      </c>
      <c r="FZ21" s="563">
        <v>0</v>
      </c>
      <c r="GA21" s="563">
        <v>0</v>
      </c>
      <c r="GB21" s="563">
        <v>0</v>
      </c>
      <c r="GC21" s="650">
        <v>5766.3275750389548</v>
      </c>
      <c r="GD21" s="564">
        <v>4000</v>
      </c>
      <c r="GE21" s="565">
        <v>144.5132620651305</v>
      </c>
      <c r="GF21" s="649">
        <v>16.425654000000005</v>
      </c>
      <c r="GG21" s="646">
        <v>53.558459978377499</v>
      </c>
      <c r="GH21" s="646">
        <v>0</v>
      </c>
      <c r="GI21" s="646">
        <v>0</v>
      </c>
      <c r="GJ21" s="646">
        <v>59.236821204858167</v>
      </c>
      <c r="GK21" s="646">
        <v>3.220314589213717</v>
      </c>
      <c r="GL21" s="646">
        <v>3600</v>
      </c>
      <c r="GM21" s="563" t="s">
        <v>1587</v>
      </c>
      <c r="GN21" s="563">
        <v>6</v>
      </c>
      <c r="GO21" s="563">
        <v>0</v>
      </c>
      <c r="GP21" s="563">
        <v>0</v>
      </c>
      <c r="GQ21" s="563">
        <v>0</v>
      </c>
      <c r="GR21" s="650">
        <v>4301.6737018166868</v>
      </c>
      <c r="GS21" s="563">
        <v>0</v>
      </c>
      <c r="GT21" s="563">
        <v>0</v>
      </c>
      <c r="GU21" s="563">
        <v>0</v>
      </c>
      <c r="GV21" s="650">
        <v>4912.8868253862029</v>
      </c>
      <c r="GW21" s="564">
        <v>4000</v>
      </c>
      <c r="GX21" s="565">
        <v>144.5132620651305</v>
      </c>
      <c r="GY21" s="649">
        <v>16.425654000000005</v>
      </c>
      <c r="GZ21" s="646">
        <v>53.558459978377499</v>
      </c>
      <c r="HA21" s="646">
        <v>0</v>
      </c>
      <c r="HB21" s="646">
        <v>0</v>
      </c>
      <c r="HC21" s="646">
        <v>59.236821204858167</v>
      </c>
      <c r="HD21" s="646">
        <v>3.220314589213717</v>
      </c>
      <c r="HE21" s="646">
        <v>3600</v>
      </c>
      <c r="HF21" s="563" t="s">
        <v>1587</v>
      </c>
      <c r="HG21" s="563">
        <v>6</v>
      </c>
      <c r="HH21" s="563">
        <v>0</v>
      </c>
      <c r="HI21" s="563">
        <v>0</v>
      </c>
      <c r="HJ21" s="563">
        <v>0</v>
      </c>
      <c r="HK21" s="650">
        <v>4301.6737018166868</v>
      </c>
      <c r="HL21" s="563">
        <v>0</v>
      </c>
      <c r="HM21" s="563">
        <v>0</v>
      </c>
      <c r="HN21" s="563">
        <v>0</v>
      </c>
      <c r="HO21" s="650">
        <v>4912.8868253862029</v>
      </c>
      <c r="HP21" s="564">
        <v>4000</v>
      </c>
      <c r="HQ21" s="565">
        <v>144.5132620651305</v>
      </c>
      <c r="HR21" s="649">
        <v>16.425654000000005</v>
      </c>
      <c r="HS21" s="646">
        <v>54.620599129016767</v>
      </c>
      <c r="HT21" s="646">
        <v>1.0621391506392686</v>
      </c>
      <c r="HU21" s="646">
        <v>0</v>
      </c>
      <c r="HV21" s="646">
        <v>59.932263454766641</v>
      </c>
      <c r="HW21" s="646">
        <v>3.2825590249921213</v>
      </c>
      <c r="HX21" s="646">
        <v>3600</v>
      </c>
      <c r="HY21" s="563" t="s">
        <v>68</v>
      </c>
      <c r="HZ21" s="563">
        <v>6</v>
      </c>
      <c r="IA21" s="563">
        <v>1</v>
      </c>
      <c r="IB21" s="563">
        <v>8</v>
      </c>
      <c r="IC21" s="563">
        <v>24.062411117256737</v>
      </c>
      <c r="ID21" s="650">
        <v>6791.3850451376966</v>
      </c>
      <c r="IE21" s="563">
        <v>0</v>
      </c>
      <c r="IF21" s="563">
        <v>0</v>
      </c>
      <c r="IG21" s="563">
        <v>0</v>
      </c>
      <c r="IH21" s="650">
        <v>4332.758919792499</v>
      </c>
      <c r="II21" s="564">
        <v>4000</v>
      </c>
      <c r="IJ21" s="565">
        <v>144.5132620651305</v>
      </c>
      <c r="IK21" s="649">
        <v>16.425654000000005</v>
      </c>
      <c r="IL21" s="646">
        <v>54.620599129016767</v>
      </c>
      <c r="IM21" s="646">
        <v>1.0621391506392686</v>
      </c>
      <c r="IN21" s="646">
        <v>0</v>
      </c>
      <c r="IO21" s="646">
        <v>59.932263454766641</v>
      </c>
      <c r="IP21" s="646">
        <v>3.2825590249921213</v>
      </c>
      <c r="IQ21" s="646">
        <v>3600</v>
      </c>
      <c r="IR21" s="563" t="s">
        <v>68</v>
      </c>
      <c r="IS21" s="563">
        <v>6</v>
      </c>
      <c r="IT21" s="563">
        <v>1</v>
      </c>
      <c r="IU21" s="563">
        <v>8</v>
      </c>
      <c r="IV21" s="563">
        <v>24.062411117256737</v>
      </c>
      <c r="IW21" s="650">
        <v>6791.3850451376966</v>
      </c>
      <c r="IX21" s="563">
        <v>0</v>
      </c>
      <c r="IY21" s="563">
        <v>0</v>
      </c>
      <c r="IZ21" s="563">
        <v>0</v>
      </c>
      <c r="JA21" s="650">
        <v>4332.758919792499</v>
      </c>
      <c r="JB21" s="564">
        <v>4000</v>
      </c>
      <c r="JC21" s="565">
        <v>144.5132620651305</v>
      </c>
      <c r="JD21" s="649">
        <v>13.688045000000004</v>
      </c>
      <c r="JE21" s="646">
        <v>50.8208509783775</v>
      </c>
      <c r="JF21" s="646">
        <v>0</v>
      </c>
      <c r="JG21" s="646">
        <v>0</v>
      </c>
      <c r="JH21" s="646">
        <v>57.310336341787981</v>
      </c>
      <c r="JI21" s="646">
        <v>2.9851402025184361</v>
      </c>
      <c r="JJ21" s="646">
        <v>3600</v>
      </c>
      <c r="JK21" s="563" t="s">
        <v>67</v>
      </c>
      <c r="JL21" s="563">
        <v>5</v>
      </c>
      <c r="JM21" s="563">
        <v>0</v>
      </c>
      <c r="JN21" s="563">
        <v>0</v>
      </c>
      <c r="JO21" s="563">
        <v>0</v>
      </c>
      <c r="JP21" s="650">
        <v>4142.3597975895273</v>
      </c>
      <c r="JQ21" s="563">
        <v>0</v>
      </c>
      <c r="JR21" s="563">
        <v>0</v>
      </c>
      <c r="JS21" s="563">
        <v>0</v>
      </c>
      <c r="JT21" s="650">
        <v>4493.5892871889791</v>
      </c>
      <c r="JU21" s="564">
        <v>4000</v>
      </c>
      <c r="JV21" s="565">
        <v>144.5132620651305</v>
      </c>
      <c r="JW21" s="649">
        <v>13.688045000000004</v>
      </c>
      <c r="JX21" s="646">
        <v>50.8208509783775</v>
      </c>
      <c r="JY21" s="646">
        <v>0</v>
      </c>
      <c r="JZ21" s="646">
        <v>0</v>
      </c>
      <c r="KA21" s="646">
        <v>57.310336341787981</v>
      </c>
      <c r="KB21" s="646">
        <v>2.9851402025184361</v>
      </c>
      <c r="KC21" s="646">
        <v>3600</v>
      </c>
      <c r="KD21" s="563" t="s">
        <v>67</v>
      </c>
      <c r="KE21" s="563">
        <v>5</v>
      </c>
      <c r="KF21" s="563">
        <v>0</v>
      </c>
      <c r="KG21" s="563">
        <v>0</v>
      </c>
      <c r="KH21" s="563">
        <v>0</v>
      </c>
      <c r="KI21" s="650">
        <v>4142.3597975895273</v>
      </c>
      <c r="KJ21" s="563">
        <v>0</v>
      </c>
      <c r="KK21" s="563">
        <v>0</v>
      </c>
      <c r="KL21" s="563">
        <v>0</v>
      </c>
      <c r="KM21" s="650">
        <v>4493.5892871889791</v>
      </c>
      <c r="KN21" s="564">
        <v>4000</v>
      </c>
      <c r="KO21" s="566">
        <v>144.5132620651305</v>
      </c>
    </row>
    <row r="22" spans="1:301" ht="15" customHeight="1">
      <c r="A22" s="663" t="s">
        <v>799</v>
      </c>
      <c r="B22" s="629" t="s">
        <v>386</v>
      </c>
      <c r="C22" s="629">
        <v>459.5</v>
      </c>
      <c r="D22" s="629">
        <v>690</v>
      </c>
      <c r="E22" s="629">
        <v>450</v>
      </c>
      <c r="F22" s="629">
        <v>365.55474071719715</v>
      </c>
      <c r="G22" s="629">
        <v>208.87552229474832</v>
      </c>
      <c r="H22" s="629">
        <v>169.00768160016216</v>
      </c>
      <c r="I22" s="629">
        <v>139</v>
      </c>
      <c r="J22" s="629">
        <v>18.57</v>
      </c>
      <c r="K22" s="629">
        <v>29.66</v>
      </c>
      <c r="L22" s="629">
        <v>8</v>
      </c>
      <c r="M22" s="629">
        <v>302.23178161739992</v>
      </c>
      <c r="N22" s="629">
        <v>4</v>
      </c>
      <c r="O22" s="623">
        <v>6.7473870376740139</v>
      </c>
      <c r="P22" s="629">
        <v>4</v>
      </c>
      <c r="Q22" s="623">
        <v>4.8719056143386217</v>
      </c>
      <c r="R22" s="629">
        <v>13.000000000000002</v>
      </c>
      <c r="S22" s="629">
        <v>527.77737035859855</v>
      </c>
      <c r="T22" s="645">
        <v>22.325665847218723</v>
      </c>
      <c r="U22" s="645">
        <v>79.166605553789779</v>
      </c>
      <c r="V22" s="645">
        <v>97.5</v>
      </c>
      <c r="W22" s="793">
        <v>2.8255920837886195</v>
      </c>
      <c r="X22" s="646">
        <v>0</v>
      </c>
      <c r="Y22" s="646">
        <v>0</v>
      </c>
      <c r="Z22" s="646">
        <v>0</v>
      </c>
      <c r="AA22" s="646">
        <v>0</v>
      </c>
      <c r="AB22" s="647">
        <v>12.603656391657871</v>
      </c>
      <c r="AC22" s="784">
        <v>4000</v>
      </c>
      <c r="AD22" s="631">
        <v>0.76982121334115883</v>
      </c>
      <c r="AE22" s="631">
        <v>0.33595438386795234</v>
      </c>
      <c r="AF22" s="631">
        <v>-0.76293392603386023</v>
      </c>
      <c r="AG22" s="631">
        <v>0.9573236749525984</v>
      </c>
      <c r="AH22" s="629"/>
      <c r="AI22" s="648">
        <v>1.9087716161304389</v>
      </c>
      <c r="AJ22" s="649">
        <v>23.384135242899703</v>
      </c>
      <c r="AK22" s="646">
        <v>60.154685825919685</v>
      </c>
      <c r="AL22" s="646">
        <v>0</v>
      </c>
      <c r="AM22" s="646">
        <v>0</v>
      </c>
      <c r="AN22" s="646">
        <v>56.670859275957454</v>
      </c>
      <c r="AO22" s="646">
        <v>3.8180831378375548</v>
      </c>
      <c r="AP22" s="801">
        <v>3600</v>
      </c>
      <c r="AQ22" s="563" t="s">
        <v>71</v>
      </c>
      <c r="AR22" s="563">
        <v>8</v>
      </c>
      <c r="AS22" s="563">
        <v>0</v>
      </c>
      <c r="AT22" s="563">
        <v>0</v>
      </c>
      <c r="AU22" s="563">
        <v>0</v>
      </c>
      <c r="AV22" s="650">
        <v>11205.627018913005</v>
      </c>
      <c r="AW22" s="563">
        <v>0</v>
      </c>
      <c r="AX22" s="563">
        <v>0</v>
      </c>
      <c r="AY22" s="563">
        <v>0</v>
      </c>
      <c r="AZ22" s="650">
        <v>5308.3348040680503</v>
      </c>
      <c r="BA22" s="564">
        <v>4000</v>
      </c>
      <c r="BB22" s="565">
        <v>144.5132620651305</v>
      </c>
      <c r="BC22" s="649">
        <v>23.384135242899703</v>
      </c>
      <c r="BD22" s="646">
        <v>60.154685825919685</v>
      </c>
      <c r="BE22" s="646">
        <v>0</v>
      </c>
      <c r="BF22" s="646">
        <v>0</v>
      </c>
      <c r="BG22" s="646">
        <v>56.670859275957454</v>
      </c>
      <c r="BH22" s="646">
        <v>3.8180831378375548</v>
      </c>
      <c r="BI22" s="646">
        <v>3600</v>
      </c>
      <c r="BJ22" s="563" t="s">
        <v>71</v>
      </c>
      <c r="BK22" s="563">
        <v>8</v>
      </c>
      <c r="BL22" s="563">
        <v>0</v>
      </c>
      <c r="BM22" s="563">
        <v>0</v>
      </c>
      <c r="BN22" s="563">
        <v>0</v>
      </c>
      <c r="BO22" s="650">
        <v>11205.627018913005</v>
      </c>
      <c r="BP22" s="563">
        <v>0</v>
      </c>
      <c r="BQ22" s="563">
        <v>0</v>
      </c>
      <c r="BR22" s="563">
        <v>0</v>
      </c>
      <c r="BS22" s="650">
        <v>5308.3348040680503</v>
      </c>
      <c r="BT22" s="564">
        <v>4000</v>
      </c>
      <c r="BU22" s="565">
        <v>144.5132620651305</v>
      </c>
      <c r="BV22" s="649">
        <v>23.384135242899703</v>
      </c>
      <c r="BW22" s="646">
        <v>60.154685825919685</v>
      </c>
      <c r="BX22" s="646">
        <v>0</v>
      </c>
      <c r="BY22" s="646">
        <v>0</v>
      </c>
      <c r="BZ22" s="646">
        <v>56.670859275957454</v>
      </c>
      <c r="CA22" s="646">
        <v>3.8180831378375548</v>
      </c>
      <c r="CB22" s="646">
        <v>3600</v>
      </c>
      <c r="CC22" s="563" t="s">
        <v>1584</v>
      </c>
      <c r="CD22" s="563">
        <v>8</v>
      </c>
      <c r="CE22" s="563">
        <v>0</v>
      </c>
      <c r="CF22" s="563">
        <v>0</v>
      </c>
      <c r="CG22" s="563">
        <v>0</v>
      </c>
      <c r="CH22" s="650">
        <v>10979.227377712583</v>
      </c>
      <c r="CI22" s="563">
        <v>0</v>
      </c>
      <c r="CJ22" s="563">
        <v>0</v>
      </c>
      <c r="CK22" s="563">
        <v>0</v>
      </c>
      <c r="CL22" s="650">
        <v>5201.0846615294577</v>
      </c>
      <c r="CM22" s="564">
        <v>4000</v>
      </c>
      <c r="CN22" s="565">
        <v>144.5132620651305</v>
      </c>
      <c r="CO22" s="649">
        <v>23.384135242899703</v>
      </c>
      <c r="CP22" s="646">
        <v>60.154685825919685</v>
      </c>
      <c r="CQ22" s="646">
        <v>0</v>
      </c>
      <c r="CR22" s="646">
        <v>0</v>
      </c>
      <c r="CS22" s="646">
        <v>56.670859275957454</v>
      </c>
      <c r="CT22" s="646">
        <v>3.8180831378375548</v>
      </c>
      <c r="CU22" s="646">
        <v>3600</v>
      </c>
      <c r="CV22" s="563" t="s">
        <v>1584</v>
      </c>
      <c r="CW22" s="563">
        <v>8</v>
      </c>
      <c r="CX22" s="563">
        <v>0</v>
      </c>
      <c r="CY22" s="563">
        <v>0</v>
      </c>
      <c r="CZ22" s="563">
        <v>0</v>
      </c>
      <c r="DA22" s="650">
        <v>10979.227377712583</v>
      </c>
      <c r="DB22" s="563">
        <v>0</v>
      </c>
      <c r="DC22" s="563">
        <v>0</v>
      </c>
      <c r="DD22" s="563">
        <v>0</v>
      </c>
      <c r="DE22" s="650">
        <v>5201.0846615294577</v>
      </c>
      <c r="DF22" s="564">
        <v>4000</v>
      </c>
      <c r="DG22" s="565">
        <v>144.5132620651305</v>
      </c>
      <c r="DH22" s="649">
        <v>23.384135242899703</v>
      </c>
      <c r="DI22" s="646">
        <v>60.154685825919685</v>
      </c>
      <c r="DJ22" s="646">
        <v>0</v>
      </c>
      <c r="DK22" s="646">
        <v>0</v>
      </c>
      <c r="DL22" s="646">
        <v>56.670859275957454</v>
      </c>
      <c r="DM22" s="646">
        <v>3.8180831378375548</v>
      </c>
      <c r="DN22" s="646">
        <v>3600</v>
      </c>
      <c r="DO22" s="563" t="s">
        <v>1588</v>
      </c>
      <c r="DP22" s="563">
        <v>8</v>
      </c>
      <c r="DQ22" s="563">
        <v>0</v>
      </c>
      <c r="DR22" s="563">
        <v>0</v>
      </c>
      <c r="DS22" s="563">
        <v>0</v>
      </c>
      <c r="DT22" s="650">
        <v>11427.542166295987</v>
      </c>
      <c r="DU22" s="563">
        <v>0</v>
      </c>
      <c r="DV22" s="563">
        <v>0</v>
      </c>
      <c r="DW22" s="563">
        <v>0</v>
      </c>
      <c r="DX22" s="650">
        <v>5413.4605501253427</v>
      </c>
      <c r="DY22" s="564">
        <v>4000</v>
      </c>
      <c r="DZ22" s="565">
        <v>144.5132620651305</v>
      </c>
      <c r="EA22" s="649">
        <v>23.384135242899703</v>
      </c>
      <c r="EB22" s="646">
        <v>60.154685825919685</v>
      </c>
      <c r="EC22" s="646">
        <v>0</v>
      </c>
      <c r="ED22" s="646">
        <v>0</v>
      </c>
      <c r="EE22" s="646">
        <v>56.670859275957454</v>
      </c>
      <c r="EF22" s="646">
        <v>3.8180831378375548</v>
      </c>
      <c r="EG22" s="646">
        <v>3600</v>
      </c>
      <c r="EH22" s="563" t="s">
        <v>1588</v>
      </c>
      <c r="EI22" s="563">
        <v>8</v>
      </c>
      <c r="EJ22" s="563">
        <v>0</v>
      </c>
      <c r="EK22" s="563">
        <v>0</v>
      </c>
      <c r="EL22" s="563">
        <v>0</v>
      </c>
      <c r="EM22" s="650">
        <v>11427.542166295987</v>
      </c>
      <c r="EN22" s="563">
        <v>0</v>
      </c>
      <c r="EO22" s="563">
        <v>0</v>
      </c>
      <c r="EP22" s="563">
        <v>0</v>
      </c>
      <c r="EQ22" s="650">
        <v>5413.4605501253427</v>
      </c>
      <c r="ER22" s="564">
        <v>4000</v>
      </c>
      <c r="ES22" s="565">
        <v>144.5132620651305</v>
      </c>
      <c r="ET22" s="649">
        <v>23.384135242899703</v>
      </c>
      <c r="EU22" s="646">
        <v>60.154685825919685</v>
      </c>
      <c r="EV22" s="646">
        <v>0</v>
      </c>
      <c r="EW22" s="646">
        <v>0</v>
      </c>
      <c r="EX22" s="646">
        <v>56.670859275957454</v>
      </c>
      <c r="EY22" s="646">
        <v>3.8180831378375548</v>
      </c>
      <c r="EZ22" s="646">
        <v>3600</v>
      </c>
      <c r="FA22" s="563" t="s">
        <v>1589</v>
      </c>
      <c r="FB22" s="563">
        <v>8</v>
      </c>
      <c r="FC22" s="563">
        <v>0</v>
      </c>
      <c r="FD22" s="563">
        <v>0</v>
      </c>
      <c r="FE22" s="563">
        <v>0</v>
      </c>
      <c r="FF22" s="650">
        <v>12172.426657271431</v>
      </c>
      <c r="FG22" s="563">
        <v>0</v>
      </c>
      <c r="FH22" s="563">
        <v>0</v>
      </c>
      <c r="FI22" s="563">
        <v>0</v>
      </c>
      <c r="FJ22" s="650">
        <v>5766.3275750389548</v>
      </c>
      <c r="FK22" s="564">
        <v>4000</v>
      </c>
      <c r="FL22" s="565">
        <v>144.5132620651305</v>
      </c>
      <c r="FM22" s="649">
        <v>23.384135242899703</v>
      </c>
      <c r="FN22" s="646">
        <v>60.154685825919685</v>
      </c>
      <c r="FO22" s="646">
        <v>0</v>
      </c>
      <c r="FP22" s="646">
        <v>0</v>
      </c>
      <c r="FQ22" s="646">
        <v>56.670859275957454</v>
      </c>
      <c r="FR22" s="646">
        <v>3.8180831378375548</v>
      </c>
      <c r="FS22" s="646">
        <v>3600</v>
      </c>
      <c r="FT22" s="563" t="s">
        <v>1589</v>
      </c>
      <c r="FU22" s="563">
        <v>8</v>
      </c>
      <c r="FV22" s="563">
        <v>0</v>
      </c>
      <c r="FW22" s="563">
        <v>0</v>
      </c>
      <c r="FX22" s="563">
        <v>0</v>
      </c>
      <c r="FY22" s="650">
        <v>12172.426657271431</v>
      </c>
      <c r="FZ22" s="563">
        <v>0</v>
      </c>
      <c r="GA22" s="563">
        <v>0</v>
      </c>
      <c r="GB22" s="563">
        <v>0</v>
      </c>
      <c r="GC22" s="650">
        <v>5766.3275750389548</v>
      </c>
      <c r="GD22" s="564">
        <v>4000</v>
      </c>
      <c r="GE22" s="565">
        <v>144.5132620651305</v>
      </c>
      <c r="GF22" s="649">
        <v>17.538101432174777</v>
      </c>
      <c r="GG22" s="646">
        <v>54.30865201519476</v>
      </c>
      <c r="GH22" s="646">
        <v>0</v>
      </c>
      <c r="GI22" s="646">
        <v>0</v>
      </c>
      <c r="GJ22" s="646">
        <v>53.674788760383173</v>
      </c>
      <c r="GK22" s="646">
        <v>3.315879420638673</v>
      </c>
      <c r="GL22" s="646">
        <v>3600</v>
      </c>
      <c r="GM22" s="563" t="s">
        <v>1587</v>
      </c>
      <c r="GN22" s="563">
        <v>6</v>
      </c>
      <c r="GO22" s="563">
        <v>0</v>
      </c>
      <c r="GP22" s="563">
        <v>0</v>
      </c>
      <c r="GQ22" s="563">
        <v>0</v>
      </c>
      <c r="GR22" s="650">
        <v>4301.6737018166868</v>
      </c>
      <c r="GS22" s="563">
        <v>0</v>
      </c>
      <c r="GT22" s="563">
        <v>0</v>
      </c>
      <c r="GU22" s="563">
        <v>0</v>
      </c>
      <c r="GV22" s="650">
        <v>4912.8868253862029</v>
      </c>
      <c r="GW22" s="564">
        <v>4000</v>
      </c>
      <c r="GX22" s="565">
        <v>144.5132620651305</v>
      </c>
      <c r="GY22" s="649">
        <v>17.538101432174777</v>
      </c>
      <c r="GZ22" s="646">
        <v>54.30865201519476</v>
      </c>
      <c r="HA22" s="646">
        <v>0</v>
      </c>
      <c r="HB22" s="646">
        <v>0</v>
      </c>
      <c r="HC22" s="646">
        <v>53.674788760383173</v>
      </c>
      <c r="HD22" s="646">
        <v>3.315879420638673</v>
      </c>
      <c r="HE22" s="646">
        <v>3600</v>
      </c>
      <c r="HF22" s="563" t="s">
        <v>1587</v>
      </c>
      <c r="HG22" s="563">
        <v>6</v>
      </c>
      <c r="HH22" s="563">
        <v>0</v>
      </c>
      <c r="HI22" s="563">
        <v>0</v>
      </c>
      <c r="HJ22" s="563">
        <v>0</v>
      </c>
      <c r="HK22" s="650">
        <v>4301.6737018166868</v>
      </c>
      <c r="HL22" s="563">
        <v>0</v>
      </c>
      <c r="HM22" s="563">
        <v>0</v>
      </c>
      <c r="HN22" s="563">
        <v>0</v>
      </c>
      <c r="HO22" s="650">
        <v>4912.8868253862029</v>
      </c>
      <c r="HP22" s="564">
        <v>4000</v>
      </c>
      <c r="HQ22" s="565">
        <v>144.5132620651305</v>
      </c>
      <c r="HR22" s="649">
        <v>17.538101432174777</v>
      </c>
      <c r="HS22" s="646">
        <v>55.370791165834028</v>
      </c>
      <c r="HT22" s="646">
        <v>1.0621391506392686</v>
      </c>
      <c r="HU22" s="646">
        <v>0</v>
      </c>
      <c r="HV22" s="646">
        <v>54.266160898274229</v>
      </c>
      <c r="HW22" s="646">
        <v>3.3781238564170772</v>
      </c>
      <c r="HX22" s="646">
        <v>3600</v>
      </c>
      <c r="HY22" s="563" t="s">
        <v>68</v>
      </c>
      <c r="HZ22" s="563">
        <v>6</v>
      </c>
      <c r="IA22" s="563">
        <v>1</v>
      </c>
      <c r="IB22" s="563">
        <v>8</v>
      </c>
      <c r="IC22" s="563">
        <v>24.062411117256737</v>
      </c>
      <c r="ID22" s="650">
        <v>6791.3850451376966</v>
      </c>
      <c r="IE22" s="563">
        <v>0</v>
      </c>
      <c r="IF22" s="563">
        <v>0</v>
      </c>
      <c r="IG22" s="563">
        <v>0</v>
      </c>
      <c r="IH22" s="650">
        <v>4332.758919792499</v>
      </c>
      <c r="II22" s="564">
        <v>4000</v>
      </c>
      <c r="IJ22" s="565">
        <v>144.5132620651305</v>
      </c>
      <c r="IK22" s="649">
        <v>17.538101432174777</v>
      </c>
      <c r="IL22" s="646">
        <v>55.370791165834028</v>
      </c>
      <c r="IM22" s="646">
        <v>1.0621391506392686</v>
      </c>
      <c r="IN22" s="646">
        <v>0</v>
      </c>
      <c r="IO22" s="646">
        <v>54.266160898274229</v>
      </c>
      <c r="IP22" s="646">
        <v>3.3781238564170772</v>
      </c>
      <c r="IQ22" s="646">
        <v>3600</v>
      </c>
      <c r="IR22" s="563" t="s">
        <v>68</v>
      </c>
      <c r="IS22" s="563">
        <v>6</v>
      </c>
      <c r="IT22" s="563">
        <v>1</v>
      </c>
      <c r="IU22" s="563">
        <v>8</v>
      </c>
      <c r="IV22" s="563">
        <v>24.062411117256737</v>
      </c>
      <c r="IW22" s="650">
        <v>6791.3850451376966</v>
      </c>
      <c r="IX22" s="563">
        <v>0</v>
      </c>
      <c r="IY22" s="563">
        <v>0</v>
      </c>
      <c r="IZ22" s="563">
        <v>0</v>
      </c>
      <c r="JA22" s="650">
        <v>4332.758919792499</v>
      </c>
      <c r="JB22" s="564">
        <v>4000</v>
      </c>
      <c r="JC22" s="565">
        <v>144.5132620651305</v>
      </c>
      <c r="JD22" s="649">
        <v>14.615084526812314</v>
      </c>
      <c r="JE22" s="646">
        <v>51.385635109832293</v>
      </c>
      <c r="JF22" s="646">
        <v>0</v>
      </c>
      <c r="JG22" s="646">
        <v>0</v>
      </c>
      <c r="JH22" s="646">
        <v>51.921111101330688</v>
      </c>
      <c r="JI22" s="646">
        <v>3.0647775620392324</v>
      </c>
      <c r="JJ22" s="646">
        <v>3600</v>
      </c>
      <c r="JK22" s="563" t="s">
        <v>67</v>
      </c>
      <c r="JL22" s="563">
        <v>5</v>
      </c>
      <c r="JM22" s="563">
        <v>0</v>
      </c>
      <c r="JN22" s="563">
        <v>0</v>
      </c>
      <c r="JO22" s="563">
        <v>0</v>
      </c>
      <c r="JP22" s="650">
        <v>4142.3597975895273</v>
      </c>
      <c r="JQ22" s="563">
        <v>0</v>
      </c>
      <c r="JR22" s="563">
        <v>0</v>
      </c>
      <c r="JS22" s="563">
        <v>0</v>
      </c>
      <c r="JT22" s="650">
        <v>4493.5892871889791</v>
      </c>
      <c r="JU22" s="564">
        <v>4000</v>
      </c>
      <c r="JV22" s="565">
        <v>144.5132620651305</v>
      </c>
      <c r="JW22" s="649">
        <v>14.615084526812314</v>
      </c>
      <c r="JX22" s="646">
        <v>51.385635109832293</v>
      </c>
      <c r="JY22" s="646">
        <v>0</v>
      </c>
      <c r="JZ22" s="646">
        <v>0</v>
      </c>
      <c r="KA22" s="646">
        <v>51.921111101330688</v>
      </c>
      <c r="KB22" s="646">
        <v>3.0647775620392324</v>
      </c>
      <c r="KC22" s="646">
        <v>3600</v>
      </c>
      <c r="KD22" s="563" t="s">
        <v>67</v>
      </c>
      <c r="KE22" s="563">
        <v>5</v>
      </c>
      <c r="KF22" s="563">
        <v>0</v>
      </c>
      <c r="KG22" s="563">
        <v>0</v>
      </c>
      <c r="KH22" s="563">
        <v>0</v>
      </c>
      <c r="KI22" s="650">
        <v>4142.3597975895273</v>
      </c>
      <c r="KJ22" s="563">
        <v>0</v>
      </c>
      <c r="KK22" s="563">
        <v>0</v>
      </c>
      <c r="KL22" s="563">
        <v>0</v>
      </c>
      <c r="KM22" s="650">
        <v>4493.5892871889791</v>
      </c>
      <c r="KN22" s="564">
        <v>4000</v>
      </c>
      <c r="KO22" s="566">
        <v>144.5132620651305</v>
      </c>
    </row>
    <row r="23" spans="1:301" ht="15" customHeight="1">
      <c r="A23" s="663" t="s">
        <v>800</v>
      </c>
      <c r="B23" s="629" t="s">
        <v>383</v>
      </c>
      <c r="C23" s="629">
        <v>308</v>
      </c>
      <c r="D23" s="629">
        <v>800</v>
      </c>
      <c r="E23" s="629">
        <v>280</v>
      </c>
      <c r="F23" s="629">
        <v>245</v>
      </c>
      <c r="G23" s="629">
        <v>156</v>
      </c>
      <c r="H23" s="629">
        <v>106</v>
      </c>
      <c r="I23" s="629">
        <v>71</v>
      </c>
      <c r="J23" s="629">
        <v>34.85</v>
      </c>
      <c r="K23" s="629">
        <v>49.18</v>
      </c>
      <c r="L23" s="629">
        <v>12</v>
      </c>
      <c r="M23" s="629">
        <v>369</v>
      </c>
      <c r="N23" s="629">
        <v>5</v>
      </c>
      <c r="O23" s="623">
        <v>17.312374636137275</v>
      </c>
      <c r="P23" s="629">
        <v>5</v>
      </c>
      <c r="Q23" s="623">
        <v>11.256957458465024</v>
      </c>
      <c r="R23" s="629">
        <v>13.000000000000002</v>
      </c>
      <c r="S23" s="629">
        <v>524.24520471048061</v>
      </c>
      <c r="T23" s="645">
        <v>22.027835455805082</v>
      </c>
      <c r="U23" s="645">
        <v>78.636780706572083</v>
      </c>
      <c r="V23" s="645">
        <v>60</v>
      </c>
      <c r="W23" s="793">
        <v>1.7156294922309723</v>
      </c>
      <c r="X23" s="646">
        <v>0</v>
      </c>
      <c r="Y23" s="646">
        <v>0</v>
      </c>
      <c r="Z23" s="646">
        <v>0</v>
      </c>
      <c r="AA23" s="646">
        <v>0</v>
      </c>
      <c r="AB23" s="647">
        <v>10.019530418411961</v>
      </c>
      <c r="AC23" s="784">
        <v>4000</v>
      </c>
      <c r="AD23" s="631">
        <v>0.59929400829659485</v>
      </c>
      <c r="AE23" s="631">
        <v>0.69631309670689834</v>
      </c>
      <c r="AF23" s="631">
        <v>-0.31643547939043903</v>
      </c>
      <c r="AG23" s="631">
        <v>1.1312875977582417</v>
      </c>
      <c r="AH23" s="629"/>
      <c r="AI23" s="648">
        <v>2.6453632755523966</v>
      </c>
      <c r="AJ23" s="649">
        <v>12.304969200000002</v>
      </c>
      <c r="AK23" s="646">
        <v>64.617766242638353</v>
      </c>
      <c r="AL23" s="646">
        <v>0</v>
      </c>
      <c r="AM23" s="646">
        <v>0</v>
      </c>
      <c r="AN23" s="646">
        <v>41.939971705770979</v>
      </c>
      <c r="AO23" s="646">
        <v>4.7289877803662899</v>
      </c>
      <c r="AP23" s="801">
        <v>3600</v>
      </c>
      <c r="AQ23" s="563" t="s">
        <v>71</v>
      </c>
      <c r="AR23" s="563">
        <v>4</v>
      </c>
      <c r="AS23" s="563">
        <v>0</v>
      </c>
      <c r="AT23" s="563">
        <v>0</v>
      </c>
      <c r="AU23" s="563">
        <v>0</v>
      </c>
      <c r="AV23" s="650">
        <v>4396.5758033033935</v>
      </c>
      <c r="AW23" s="563">
        <v>0</v>
      </c>
      <c r="AX23" s="563">
        <v>0</v>
      </c>
      <c r="AY23" s="563">
        <v>0</v>
      </c>
      <c r="AZ23" s="650">
        <v>4545.3107366807662</v>
      </c>
      <c r="BA23" s="564">
        <v>4000</v>
      </c>
      <c r="BB23" s="565">
        <v>167.55160819145564</v>
      </c>
      <c r="BC23" s="649">
        <v>12.304969200000002</v>
      </c>
      <c r="BD23" s="646">
        <v>64.617766242638353</v>
      </c>
      <c r="BE23" s="646">
        <v>0</v>
      </c>
      <c r="BF23" s="646">
        <v>0</v>
      </c>
      <c r="BG23" s="646">
        <v>41.939971705770979</v>
      </c>
      <c r="BH23" s="646">
        <v>4.7289877803662899</v>
      </c>
      <c r="BI23" s="646">
        <v>3600</v>
      </c>
      <c r="BJ23" s="563" t="s">
        <v>71</v>
      </c>
      <c r="BK23" s="563">
        <v>4</v>
      </c>
      <c r="BL23" s="563">
        <v>0</v>
      </c>
      <c r="BM23" s="563">
        <v>0</v>
      </c>
      <c r="BN23" s="563">
        <v>0</v>
      </c>
      <c r="BO23" s="650">
        <v>4396.5758033033935</v>
      </c>
      <c r="BP23" s="563">
        <v>0</v>
      </c>
      <c r="BQ23" s="563">
        <v>0</v>
      </c>
      <c r="BR23" s="563">
        <v>0</v>
      </c>
      <c r="BS23" s="650">
        <v>4545.3107366807662</v>
      </c>
      <c r="BT23" s="564">
        <v>4000</v>
      </c>
      <c r="BU23" s="565">
        <v>167.55160819145564</v>
      </c>
      <c r="BV23" s="649">
        <v>12.304969200000002</v>
      </c>
      <c r="BW23" s="646">
        <v>64.617766242638353</v>
      </c>
      <c r="BX23" s="646">
        <v>0</v>
      </c>
      <c r="BY23" s="646">
        <v>0</v>
      </c>
      <c r="BZ23" s="646">
        <v>41.939971705770979</v>
      </c>
      <c r="CA23" s="646">
        <v>4.7289877803662899</v>
      </c>
      <c r="CB23" s="646">
        <v>3600</v>
      </c>
      <c r="CC23" s="563" t="s">
        <v>1584</v>
      </c>
      <c r="CD23" s="563">
        <v>4</v>
      </c>
      <c r="CE23" s="563">
        <v>0</v>
      </c>
      <c r="CF23" s="563">
        <v>0</v>
      </c>
      <c r="CG23" s="563">
        <v>0</v>
      </c>
      <c r="CH23" s="650">
        <v>4307.7469334241496</v>
      </c>
      <c r="CI23" s="563">
        <v>0</v>
      </c>
      <c r="CJ23" s="563">
        <v>0</v>
      </c>
      <c r="CK23" s="563">
        <v>0</v>
      </c>
      <c r="CL23" s="650">
        <v>4453.4768109047145</v>
      </c>
      <c r="CM23" s="564">
        <v>4000</v>
      </c>
      <c r="CN23" s="565">
        <v>167.55160819145564</v>
      </c>
      <c r="CO23" s="649">
        <v>12.304969200000002</v>
      </c>
      <c r="CP23" s="646">
        <v>64.617766242638353</v>
      </c>
      <c r="CQ23" s="646">
        <v>0</v>
      </c>
      <c r="CR23" s="646">
        <v>0</v>
      </c>
      <c r="CS23" s="646">
        <v>41.939971705770979</v>
      </c>
      <c r="CT23" s="646">
        <v>4.7289877803662899</v>
      </c>
      <c r="CU23" s="646">
        <v>3600</v>
      </c>
      <c r="CV23" s="563" t="s">
        <v>1584</v>
      </c>
      <c r="CW23" s="563">
        <v>4</v>
      </c>
      <c r="CX23" s="563">
        <v>0</v>
      </c>
      <c r="CY23" s="563">
        <v>0</v>
      </c>
      <c r="CZ23" s="563">
        <v>0</v>
      </c>
      <c r="DA23" s="650">
        <v>4307.7469334241496</v>
      </c>
      <c r="DB23" s="563">
        <v>0</v>
      </c>
      <c r="DC23" s="563">
        <v>0</v>
      </c>
      <c r="DD23" s="563">
        <v>0</v>
      </c>
      <c r="DE23" s="650">
        <v>4453.4768109047145</v>
      </c>
      <c r="DF23" s="564">
        <v>4000</v>
      </c>
      <c r="DG23" s="565">
        <v>167.55160819145564</v>
      </c>
      <c r="DH23" s="649">
        <v>12.304969200000002</v>
      </c>
      <c r="DI23" s="646">
        <v>64.617766242638353</v>
      </c>
      <c r="DJ23" s="646">
        <v>0</v>
      </c>
      <c r="DK23" s="646">
        <v>0</v>
      </c>
      <c r="DL23" s="646">
        <v>41.939971705770979</v>
      </c>
      <c r="DM23" s="646">
        <v>4.7289877803662899</v>
      </c>
      <c r="DN23" s="646">
        <v>3600</v>
      </c>
      <c r="DO23" s="563" t="s">
        <v>1588</v>
      </c>
      <c r="DP23" s="563">
        <v>4</v>
      </c>
      <c r="DQ23" s="563">
        <v>0</v>
      </c>
      <c r="DR23" s="563">
        <v>0</v>
      </c>
      <c r="DS23" s="563">
        <v>0</v>
      </c>
      <c r="DT23" s="650">
        <v>4483.6451628067762</v>
      </c>
      <c r="DU23" s="563">
        <v>0</v>
      </c>
      <c r="DV23" s="563">
        <v>0</v>
      </c>
      <c r="DW23" s="563">
        <v>0</v>
      </c>
      <c r="DX23" s="650">
        <v>4635.325628335605</v>
      </c>
      <c r="DY23" s="564">
        <v>4000</v>
      </c>
      <c r="DZ23" s="565">
        <v>167.55160819145564</v>
      </c>
      <c r="EA23" s="649">
        <v>12.304969200000002</v>
      </c>
      <c r="EB23" s="646">
        <v>64.617766242638353</v>
      </c>
      <c r="EC23" s="646">
        <v>0</v>
      </c>
      <c r="ED23" s="646">
        <v>0</v>
      </c>
      <c r="EE23" s="646">
        <v>41.939971705770979</v>
      </c>
      <c r="EF23" s="646">
        <v>4.7289877803662899</v>
      </c>
      <c r="EG23" s="646">
        <v>3600</v>
      </c>
      <c r="EH23" s="563" t="s">
        <v>1588</v>
      </c>
      <c r="EI23" s="563">
        <v>4</v>
      </c>
      <c r="EJ23" s="563">
        <v>0</v>
      </c>
      <c r="EK23" s="563">
        <v>0</v>
      </c>
      <c r="EL23" s="563">
        <v>0</v>
      </c>
      <c r="EM23" s="650">
        <v>4483.6451628067762</v>
      </c>
      <c r="EN23" s="563">
        <v>0</v>
      </c>
      <c r="EO23" s="563">
        <v>0</v>
      </c>
      <c r="EP23" s="563">
        <v>0</v>
      </c>
      <c r="EQ23" s="650">
        <v>4635.325628335605</v>
      </c>
      <c r="ER23" s="564">
        <v>4000</v>
      </c>
      <c r="ES23" s="565">
        <v>167.55160819145564</v>
      </c>
      <c r="ET23" s="649">
        <v>12.304969200000002</v>
      </c>
      <c r="EU23" s="646">
        <v>64.617766242638353</v>
      </c>
      <c r="EV23" s="646">
        <v>0</v>
      </c>
      <c r="EW23" s="646">
        <v>0</v>
      </c>
      <c r="EX23" s="646">
        <v>41.939971705770979</v>
      </c>
      <c r="EY23" s="646">
        <v>4.7289877803662899</v>
      </c>
      <c r="EZ23" s="646">
        <v>3600</v>
      </c>
      <c r="FA23" s="563" t="s">
        <v>1589</v>
      </c>
      <c r="FB23" s="563">
        <v>4</v>
      </c>
      <c r="FC23" s="563">
        <v>0</v>
      </c>
      <c r="FD23" s="563">
        <v>0</v>
      </c>
      <c r="FE23" s="563">
        <v>0</v>
      </c>
      <c r="FF23" s="650">
        <v>4775.903786420703</v>
      </c>
      <c r="FG23" s="563">
        <v>0</v>
      </c>
      <c r="FH23" s="563">
        <v>0</v>
      </c>
      <c r="FI23" s="563">
        <v>0</v>
      </c>
      <c r="FJ23" s="650">
        <v>4937.4712796858721</v>
      </c>
      <c r="FK23" s="564">
        <v>4000</v>
      </c>
      <c r="FL23" s="565">
        <v>167.55160819145564</v>
      </c>
      <c r="FM23" s="649">
        <v>12.304969200000002</v>
      </c>
      <c r="FN23" s="646">
        <v>64.617766242638353</v>
      </c>
      <c r="FO23" s="646">
        <v>0</v>
      </c>
      <c r="FP23" s="646">
        <v>0</v>
      </c>
      <c r="FQ23" s="646">
        <v>41.939971705770979</v>
      </c>
      <c r="FR23" s="646">
        <v>4.7289877803662899</v>
      </c>
      <c r="FS23" s="646">
        <v>3600</v>
      </c>
      <c r="FT23" s="563" t="s">
        <v>1589</v>
      </c>
      <c r="FU23" s="563">
        <v>4</v>
      </c>
      <c r="FV23" s="563">
        <v>0</v>
      </c>
      <c r="FW23" s="563">
        <v>0</v>
      </c>
      <c r="FX23" s="563">
        <v>0</v>
      </c>
      <c r="FY23" s="650">
        <v>4775.903786420703</v>
      </c>
      <c r="FZ23" s="563">
        <v>0</v>
      </c>
      <c r="GA23" s="563">
        <v>0</v>
      </c>
      <c r="GB23" s="563">
        <v>0</v>
      </c>
      <c r="GC23" s="650">
        <v>4937.4712796858721</v>
      </c>
      <c r="GD23" s="564">
        <v>4000</v>
      </c>
      <c r="GE23" s="565">
        <v>167.55160819145564</v>
      </c>
      <c r="GF23" s="649">
        <v>9.2287269000000016</v>
      </c>
      <c r="GG23" s="646">
        <v>61.541523942638349</v>
      </c>
      <c r="GH23" s="646">
        <v>0</v>
      </c>
      <c r="GI23" s="646">
        <v>0</v>
      </c>
      <c r="GJ23" s="646">
        <v>41.387120156147084</v>
      </c>
      <c r="GK23" s="646">
        <v>4.4464103151728898</v>
      </c>
      <c r="GL23" s="646">
        <v>3600</v>
      </c>
      <c r="GM23" s="563" t="s">
        <v>1587</v>
      </c>
      <c r="GN23" s="563">
        <v>3</v>
      </c>
      <c r="GO23" s="563">
        <v>0</v>
      </c>
      <c r="GP23" s="563">
        <v>0</v>
      </c>
      <c r="GQ23" s="563">
        <v>0</v>
      </c>
      <c r="GR23" s="650">
        <v>4868.9353400689351</v>
      </c>
      <c r="GS23" s="563">
        <v>0</v>
      </c>
      <c r="GT23" s="563">
        <v>0</v>
      </c>
      <c r="GU23" s="563">
        <v>0</v>
      </c>
      <c r="GV23" s="650">
        <v>4909.5192620236467</v>
      </c>
      <c r="GW23" s="564">
        <v>4000</v>
      </c>
      <c r="GX23" s="565">
        <v>167.55160819145564</v>
      </c>
      <c r="GY23" s="649">
        <v>9.2287269000000016</v>
      </c>
      <c r="GZ23" s="646">
        <v>61.541523942638349</v>
      </c>
      <c r="HA23" s="646">
        <v>0</v>
      </c>
      <c r="HB23" s="646">
        <v>0</v>
      </c>
      <c r="HC23" s="646">
        <v>41.387120156147084</v>
      </c>
      <c r="HD23" s="646">
        <v>4.4464103151728898</v>
      </c>
      <c r="HE23" s="646">
        <v>3600</v>
      </c>
      <c r="HF23" s="563" t="s">
        <v>1587</v>
      </c>
      <c r="HG23" s="563">
        <v>3</v>
      </c>
      <c r="HH23" s="563">
        <v>0</v>
      </c>
      <c r="HI23" s="563">
        <v>0</v>
      </c>
      <c r="HJ23" s="563">
        <v>0</v>
      </c>
      <c r="HK23" s="650">
        <v>4868.9353400689351</v>
      </c>
      <c r="HL23" s="563">
        <v>0</v>
      </c>
      <c r="HM23" s="563">
        <v>0</v>
      </c>
      <c r="HN23" s="563">
        <v>0</v>
      </c>
      <c r="HO23" s="650">
        <v>4909.5192620236467</v>
      </c>
      <c r="HP23" s="564">
        <v>4000</v>
      </c>
      <c r="HQ23" s="565">
        <v>167.55160819145564</v>
      </c>
      <c r="HR23" s="649">
        <v>9.2287269000000016</v>
      </c>
      <c r="HS23" s="646">
        <v>61.541523942638349</v>
      </c>
      <c r="HT23" s="646">
        <v>0</v>
      </c>
      <c r="HU23" s="646">
        <v>0</v>
      </c>
      <c r="HV23" s="646">
        <v>41.387120156147084</v>
      </c>
      <c r="HW23" s="646">
        <v>4.4464103151728898</v>
      </c>
      <c r="HX23" s="646">
        <v>3600</v>
      </c>
      <c r="HY23" s="563" t="s">
        <v>68</v>
      </c>
      <c r="HZ23" s="563">
        <v>3</v>
      </c>
      <c r="IA23" s="563">
        <v>0</v>
      </c>
      <c r="IB23" s="563">
        <v>0</v>
      </c>
      <c r="IC23" s="563">
        <v>0</v>
      </c>
      <c r="ID23" s="650">
        <v>4293.9973531587011</v>
      </c>
      <c r="IE23" s="563">
        <v>0</v>
      </c>
      <c r="IF23" s="563">
        <v>0</v>
      </c>
      <c r="IG23" s="563">
        <v>0</v>
      </c>
      <c r="IH23" s="650">
        <v>4329.7890080653078</v>
      </c>
      <c r="II23" s="564">
        <v>4000</v>
      </c>
      <c r="IJ23" s="565">
        <v>167.55160819145564</v>
      </c>
      <c r="IK23" s="649">
        <v>9.2287269000000016</v>
      </c>
      <c r="IL23" s="646">
        <v>61.541523942638349</v>
      </c>
      <c r="IM23" s="646">
        <v>0</v>
      </c>
      <c r="IN23" s="646">
        <v>0</v>
      </c>
      <c r="IO23" s="646">
        <v>41.387120156147084</v>
      </c>
      <c r="IP23" s="646">
        <v>4.4464103151728898</v>
      </c>
      <c r="IQ23" s="646">
        <v>3600</v>
      </c>
      <c r="IR23" s="563" t="s">
        <v>68</v>
      </c>
      <c r="IS23" s="563">
        <v>3</v>
      </c>
      <c r="IT23" s="563">
        <v>0</v>
      </c>
      <c r="IU23" s="563">
        <v>0</v>
      </c>
      <c r="IV23" s="563">
        <v>0</v>
      </c>
      <c r="IW23" s="650">
        <v>4293.9973531587011</v>
      </c>
      <c r="IX23" s="563">
        <v>0</v>
      </c>
      <c r="IY23" s="563">
        <v>0</v>
      </c>
      <c r="IZ23" s="563">
        <v>0</v>
      </c>
      <c r="JA23" s="650">
        <v>4329.7890080653078</v>
      </c>
      <c r="JB23" s="564">
        <v>4000</v>
      </c>
      <c r="JC23" s="565">
        <v>167.55160819145564</v>
      </c>
      <c r="JD23" s="649">
        <v>9.2287269000000016</v>
      </c>
      <c r="JE23" s="646">
        <v>61.541523942638349</v>
      </c>
      <c r="JF23" s="646">
        <v>0</v>
      </c>
      <c r="JG23" s="646">
        <v>0</v>
      </c>
      <c r="JH23" s="646">
        <v>41.387120156147084</v>
      </c>
      <c r="JI23" s="646">
        <v>4.4464103151728898</v>
      </c>
      <c r="JJ23" s="646">
        <v>3600</v>
      </c>
      <c r="JK23" s="563" t="s">
        <v>67</v>
      </c>
      <c r="JL23" s="563">
        <v>3</v>
      </c>
      <c r="JM23" s="563">
        <v>0</v>
      </c>
      <c r="JN23" s="563">
        <v>0</v>
      </c>
      <c r="JO23" s="563">
        <v>0</v>
      </c>
      <c r="JP23" s="650">
        <v>5851.7320085124156</v>
      </c>
      <c r="JQ23" s="563">
        <v>0</v>
      </c>
      <c r="JR23" s="563">
        <v>0</v>
      </c>
      <c r="JS23" s="563">
        <v>0</v>
      </c>
      <c r="JT23" s="650">
        <v>5900.5078123681278</v>
      </c>
      <c r="JU23" s="564">
        <v>4000</v>
      </c>
      <c r="JV23" s="565">
        <v>167.55160819145564</v>
      </c>
      <c r="JW23" s="649">
        <v>9.2287269000000016</v>
      </c>
      <c r="JX23" s="646">
        <v>61.541523942638349</v>
      </c>
      <c r="JY23" s="646">
        <v>0</v>
      </c>
      <c r="JZ23" s="646">
        <v>0</v>
      </c>
      <c r="KA23" s="646">
        <v>41.387120156147084</v>
      </c>
      <c r="KB23" s="646">
        <v>4.4464103151728898</v>
      </c>
      <c r="KC23" s="646">
        <v>3600</v>
      </c>
      <c r="KD23" s="563" t="s">
        <v>67</v>
      </c>
      <c r="KE23" s="563">
        <v>3</v>
      </c>
      <c r="KF23" s="563">
        <v>0</v>
      </c>
      <c r="KG23" s="563">
        <v>0</v>
      </c>
      <c r="KH23" s="563">
        <v>0</v>
      </c>
      <c r="KI23" s="650">
        <v>5851.7320085124156</v>
      </c>
      <c r="KJ23" s="563">
        <v>0</v>
      </c>
      <c r="KK23" s="563">
        <v>0</v>
      </c>
      <c r="KL23" s="563">
        <v>0</v>
      </c>
      <c r="KM23" s="650">
        <v>5900.5078123681278</v>
      </c>
      <c r="KN23" s="564">
        <v>4000</v>
      </c>
      <c r="KO23" s="566">
        <v>167.55160819145564</v>
      </c>
    </row>
    <row r="24" spans="1:301" ht="15" customHeight="1">
      <c r="A24" s="663" t="s">
        <v>801</v>
      </c>
      <c r="B24" s="629" t="s">
        <v>383</v>
      </c>
      <c r="C24" s="629">
        <v>308</v>
      </c>
      <c r="D24" s="629">
        <v>800</v>
      </c>
      <c r="E24" s="629">
        <v>315</v>
      </c>
      <c r="F24" s="629">
        <v>280</v>
      </c>
      <c r="G24" s="629">
        <v>182</v>
      </c>
      <c r="H24" s="629">
        <v>121</v>
      </c>
      <c r="I24" s="629">
        <v>80.5</v>
      </c>
      <c r="J24" s="629">
        <v>34.85</v>
      </c>
      <c r="K24" s="629">
        <v>49.18</v>
      </c>
      <c r="L24" s="629">
        <v>10</v>
      </c>
      <c r="M24" s="629">
        <v>360</v>
      </c>
      <c r="N24" s="629">
        <v>5</v>
      </c>
      <c r="O24" s="623">
        <v>16.670404903591763</v>
      </c>
      <c r="P24" s="629">
        <v>5</v>
      </c>
      <c r="Q24" s="623">
        <v>11.256957468026414</v>
      </c>
      <c r="R24" s="629">
        <v>13.000000000000002</v>
      </c>
      <c r="S24" s="629">
        <v>524.24520441466098</v>
      </c>
      <c r="T24" s="645">
        <v>22.027835430945469</v>
      </c>
      <c r="U24" s="645">
        <v>78.636780662199143</v>
      </c>
      <c r="V24" s="645">
        <v>72.5</v>
      </c>
      <c r="W24" s="793">
        <v>2.0730523007728729</v>
      </c>
      <c r="X24" s="646">
        <v>0</v>
      </c>
      <c r="Y24" s="646">
        <v>0</v>
      </c>
      <c r="Z24" s="646">
        <v>0</v>
      </c>
      <c r="AA24" s="646">
        <v>0</v>
      </c>
      <c r="AB24" s="647">
        <v>10.916253779048432</v>
      </c>
      <c r="AC24" s="784">
        <v>4000</v>
      </c>
      <c r="AD24" s="631">
        <v>0.59929400829659485</v>
      </c>
      <c r="AE24" s="631">
        <v>0.69631309670689834</v>
      </c>
      <c r="AF24" s="631">
        <v>-0.3164354829823337</v>
      </c>
      <c r="AG24" s="631">
        <v>1.1312875977582417</v>
      </c>
      <c r="AH24" s="629"/>
      <c r="AI24" s="648">
        <v>2.5870072755523967</v>
      </c>
      <c r="AJ24" s="649">
        <v>11.388780000000002</v>
      </c>
      <c r="AK24" s="646">
        <v>63.417030103336522</v>
      </c>
      <c r="AL24" s="646">
        <v>0</v>
      </c>
      <c r="AM24" s="646">
        <v>0</v>
      </c>
      <c r="AN24" s="646">
        <v>46.558655433684329</v>
      </c>
      <c r="AO24" s="646">
        <v>4.6305747375636503</v>
      </c>
      <c r="AP24" s="801">
        <v>3600</v>
      </c>
      <c r="AQ24" s="563" t="s">
        <v>71</v>
      </c>
      <c r="AR24" s="563">
        <v>4</v>
      </c>
      <c r="AS24" s="563">
        <v>0</v>
      </c>
      <c r="AT24" s="563">
        <v>0</v>
      </c>
      <c r="AU24" s="563">
        <v>0</v>
      </c>
      <c r="AV24" s="650">
        <v>4396.5758409711334</v>
      </c>
      <c r="AW24" s="563">
        <v>0</v>
      </c>
      <c r="AX24" s="563">
        <v>0</v>
      </c>
      <c r="AY24" s="563">
        <v>0</v>
      </c>
      <c r="AZ24" s="650">
        <v>4545.3107366807662</v>
      </c>
      <c r="BA24" s="564">
        <v>4000</v>
      </c>
      <c r="BB24" s="565">
        <v>167.55160819145564</v>
      </c>
      <c r="BC24" s="649">
        <v>11.388780000000002</v>
      </c>
      <c r="BD24" s="646">
        <v>63.417030103336522</v>
      </c>
      <c r="BE24" s="646">
        <v>0</v>
      </c>
      <c r="BF24" s="646">
        <v>0</v>
      </c>
      <c r="BG24" s="646">
        <v>46.558655433684329</v>
      </c>
      <c r="BH24" s="646">
        <v>4.6305747375636503</v>
      </c>
      <c r="BI24" s="646">
        <v>3600</v>
      </c>
      <c r="BJ24" s="563" t="s">
        <v>71</v>
      </c>
      <c r="BK24" s="563">
        <v>4</v>
      </c>
      <c r="BL24" s="563">
        <v>0</v>
      </c>
      <c r="BM24" s="563">
        <v>0</v>
      </c>
      <c r="BN24" s="563">
        <v>0</v>
      </c>
      <c r="BO24" s="650">
        <v>4396.5758409711334</v>
      </c>
      <c r="BP24" s="563">
        <v>0</v>
      </c>
      <c r="BQ24" s="563">
        <v>0</v>
      </c>
      <c r="BR24" s="563">
        <v>0</v>
      </c>
      <c r="BS24" s="650">
        <v>4545.3107366807662</v>
      </c>
      <c r="BT24" s="564">
        <v>4000</v>
      </c>
      <c r="BU24" s="565">
        <v>167.55160819145564</v>
      </c>
      <c r="BV24" s="649">
        <v>11.388780000000002</v>
      </c>
      <c r="BW24" s="646">
        <v>63.417030103336522</v>
      </c>
      <c r="BX24" s="646">
        <v>0</v>
      </c>
      <c r="BY24" s="646">
        <v>0</v>
      </c>
      <c r="BZ24" s="646">
        <v>46.558655433684329</v>
      </c>
      <c r="CA24" s="646">
        <v>4.6305747375636503</v>
      </c>
      <c r="CB24" s="646">
        <v>3600</v>
      </c>
      <c r="CC24" s="563" t="s">
        <v>1584</v>
      </c>
      <c r="CD24" s="563">
        <v>4</v>
      </c>
      <c r="CE24" s="563">
        <v>0</v>
      </c>
      <c r="CF24" s="563">
        <v>0</v>
      </c>
      <c r="CG24" s="563">
        <v>0</v>
      </c>
      <c r="CH24" s="650">
        <v>4307.746970330847</v>
      </c>
      <c r="CI24" s="563">
        <v>0</v>
      </c>
      <c r="CJ24" s="563">
        <v>0</v>
      </c>
      <c r="CK24" s="563">
        <v>0</v>
      </c>
      <c r="CL24" s="650">
        <v>4453.4768109047145</v>
      </c>
      <c r="CM24" s="564">
        <v>4000</v>
      </c>
      <c r="CN24" s="565">
        <v>167.55160819145564</v>
      </c>
      <c r="CO24" s="649">
        <v>11.388780000000002</v>
      </c>
      <c r="CP24" s="646">
        <v>63.417030103336522</v>
      </c>
      <c r="CQ24" s="646">
        <v>0</v>
      </c>
      <c r="CR24" s="646">
        <v>0</v>
      </c>
      <c r="CS24" s="646">
        <v>46.558655433684329</v>
      </c>
      <c r="CT24" s="646">
        <v>4.6305747375636503</v>
      </c>
      <c r="CU24" s="646">
        <v>3600</v>
      </c>
      <c r="CV24" s="563" t="s">
        <v>1584</v>
      </c>
      <c r="CW24" s="563">
        <v>4</v>
      </c>
      <c r="CX24" s="563">
        <v>0</v>
      </c>
      <c r="CY24" s="563">
        <v>0</v>
      </c>
      <c r="CZ24" s="563">
        <v>0</v>
      </c>
      <c r="DA24" s="650">
        <v>4307.746970330847</v>
      </c>
      <c r="DB24" s="563">
        <v>0</v>
      </c>
      <c r="DC24" s="563">
        <v>0</v>
      </c>
      <c r="DD24" s="563">
        <v>0</v>
      </c>
      <c r="DE24" s="650">
        <v>4453.4768109047145</v>
      </c>
      <c r="DF24" s="564">
        <v>4000</v>
      </c>
      <c r="DG24" s="565">
        <v>167.55160819145564</v>
      </c>
      <c r="DH24" s="649">
        <v>11.388780000000002</v>
      </c>
      <c r="DI24" s="646">
        <v>63.417030103336522</v>
      </c>
      <c r="DJ24" s="646">
        <v>0</v>
      </c>
      <c r="DK24" s="646">
        <v>0</v>
      </c>
      <c r="DL24" s="646">
        <v>46.558655433684329</v>
      </c>
      <c r="DM24" s="646">
        <v>4.6305747375636503</v>
      </c>
      <c r="DN24" s="646">
        <v>3600</v>
      </c>
      <c r="DO24" s="563" t="s">
        <v>1588</v>
      </c>
      <c r="DP24" s="563">
        <v>4</v>
      </c>
      <c r="DQ24" s="563">
        <v>0</v>
      </c>
      <c r="DR24" s="563">
        <v>0</v>
      </c>
      <c r="DS24" s="563">
        <v>0</v>
      </c>
      <c r="DT24" s="650">
        <v>4483.6452012204845</v>
      </c>
      <c r="DU24" s="563">
        <v>0</v>
      </c>
      <c r="DV24" s="563">
        <v>0</v>
      </c>
      <c r="DW24" s="563">
        <v>0</v>
      </c>
      <c r="DX24" s="650">
        <v>4635.325628335605</v>
      </c>
      <c r="DY24" s="564">
        <v>4000</v>
      </c>
      <c r="DZ24" s="565">
        <v>167.55160819145564</v>
      </c>
      <c r="EA24" s="649">
        <v>11.388780000000002</v>
      </c>
      <c r="EB24" s="646">
        <v>63.417030103336522</v>
      </c>
      <c r="EC24" s="646">
        <v>0</v>
      </c>
      <c r="ED24" s="646">
        <v>0</v>
      </c>
      <c r="EE24" s="646">
        <v>46.558655433684329</v>
      </c>
      <c r="EF24" s="646">
        <v>4.6305747375636503</v>
      </c>
      <c r="EG24" s="646">
        <v>3600</v>
      </c>
      <c r="EH24" s="563" t="s">
        <v>1588</v>
      </c>
      <c r="EI24" s="563">
        <v>4</v>
      </c>
      <c r="EJ24" s="563">
        <v>0</v>
      </c>
      <c r="EK24" s="563">
        <v>0</v>
      </c>
      <c r="EL24" s="563">
        <v>0</v>
      </c>
      <c r="EM24" s="650">
        <v>4483.6452012204845</v>
      </c>
      <c r="EN24" s="563">
        <v>0</v>
      </c>
      <c r="EO24" s="563">
        <v>0</v>
      </c>
      <c r="EP24" s="563">
        <v>0</v>
      </c>
      <c r="EQ24" s="650">
        <v>4635.325628335605</v>
      </c>
      <c r="ER24" s="564">
        <v>4000</v>
      </c>
      <c r="ES24" s="565">
        <v>167.55160819145564</v>
      </c>
      <c r="ET24" s="649">
        <v>11.388780000000002</v>
      </c>
      <c r="EU24" s="646">
        <v>63.417030103336522</v>
      </c>
      <c r="EV24" s="646">
        <v>0</v>
      </c>
      <c r="EW24" s="646">
        <v>0</v>
      </c>
      <c r="EX24" s="646">
        <v>46.558655433684329</v>
      </c>
      <c r="EY24" s="646">
        <v>4.6305747375636503</v>
      </c>
      <c r="EZ24" s="646">
        <v>3600</v>
      </c>
      <c r="FA24" s="563" t="s">
        <v>1589</v>
      </c>
      <c r="FB24" s="563">
        <v>4</v>
      </c>
      <c r="FC24" s="563">
        <v>0</v>
      </c>
      <c r="FD24" s="563">
        <v>0</v>
      </c>
      <c r="FE24" s="563">
        <v>0</v>
      </c>
      <c r="FF24" s="650">
        <v>4775.9038273383412</v>
      </c>
      <c r="FG24" s="563">
        <v>0</v>
      </c>
      <c r="FH24" s="563">
        <v>0</v>
      </c>
      <c r="FI24" s="563">
        <v>0</v>
      </c>
      <c r="FJ24" s="650">
        <v>4937.4712796858721</v>
      </c>
      <c r="FK24" s="564">
        <v>4000</v>
      </c>
      <c r="FL24" s="565">
        <v>167.55160819145564</v>
      </c>
      <c r="FM24" s="649">
        <v>11.388780000000002</v>
      </c>
      <c r="FN24" s="646">
        <v>63.417030103336522</v>
      </c>
      <c r="FO24" s="646">
        <v>0</v>
      </c>
      <c r="FP24" s="646">
        <v>0</v>
      </c>
      <c r="FQ24" s="646">
        <v>46.558655433684329</v>
      </c>
      <c r="FR24" s="646">
        <v>4.6305747375636503</v>
      </c>
      <c r="FS24" s="646">
        <v>3600</v>
      </c>
      <c r="FT24" s="563" t="s">
        <v>1589</v>
      </c>
      <c r="FU24" s="563">
        <v>4</v>
      </c>
      <c r="FV24" s="563">
        <v>0</v>
      </c>
      <c r="FW24" s="563">
        <v>0</v>
      </c>
      <c r="FX24" s="563">
        <v>0</v>
      </c>
      <c r="FY24" s="650">
        <v>4775.9038273383412</v>
      </c>
      <c r="FZ24" s="563">
        <v>0</v>
      </c>
      <c r="GA24" s="563">
        <v>0</v>
      </c>
      <c r="GB24" s="563">
        <v>0</v>
      </c>
      <c r="GC24" s="650">
        <v>4937.4712796858721</v>
      </c>
      <c r="GD24" s="564">
        <v>4000</v>
      </c>
      <c r="GE24" s="565">
        <v>167.55160819145564</v>
      </c>
      <c r="GF24" s="649">
        <v>8.5415850000000013</v>
      </c>
      <c r="GG24" s="646">
        <v>60.569835103336516</v>
      </c>
      <c r="GH24" s="646">
        <v>0</v>
      </c>
      <c r="GI24" s="646">
        <v>0</v>
      </c>
      <c r="GJ24" s="646">
        <v>45.903317236465028</v>
      </c>
      <c r="GK24" s="646">
        <v>4.3690370992536502</v>
      </c>
      <c r="GL24" s="646">
        <v>3600</v>
      </c>
      <c r="GM24" s="563" t="s">
        <v>1587</v>
      </c>
      <c r="GN24" s="563">
        <v>3</v>
      </c>
      <c r="GO24" s="563">
        <v>0</v>
      </c>
      <c r="GP24" s="563">
        <v>0</v>
      </c>
      <c r="GQ24" s="563">
        <v>0</v>
      </c>
      <c r="GR24" s="650">
        <v>4868.9353796881105</v>
      </c>
      <c r="GS24" s="563">
        <v>0</v>
      </c>
      <c r="GT24" s="563">
        <v>0</v>
      </c>
      <c r="GU24" s="563">
        <v>0</v>
      </c>
      <c r="GV24" s="650">
        <v>4909.5192620236467</v>
      </c>
      <c r="GW24" s="564">
        <v>4000</v>
      </c>
      <c r="GX24" s="565">
        <v>167.55160819145564</v>
      </c>
      <c r="GY24" s="649">
        <v>8.5415850000000013</v>
      </c>
      <c r="GZ24" s="646">
        <v>60.569835103336516</v>
      </c>
      <c r="HA24" s="646">
        <v>0</v>
      </c>
      <c r="HB24" s="646">
        <v>0</v>
      </c>
      <c r="HC24" s="646">
        <v>45.903317236465028</v>
      </c>
      <c r="HD24" s="646">
        <v>4.3690370992536502</v>
      </c>
      <c r="HE24" s="646">
        <v>3600</v>
      </c>
      <c r="HF24" s="563" t="s">
        <v>1587</v>
      </c>
      <c r="HG24" s="563">
        <v>3</v>
      </c>
      <c r="HH24" s="563">
        <v>0</v>
      </c>
      <c r="HI24" s="563">
        <v>0</v>
      </c>
      <c r="HJ24" s="563">
        <v>0</v>
      </c>
      <c r="HK24" s="650">
        <v>4868.9353796881105</v>
      </c>
      <c r="HL24" s="563">
        <v>0</v>
      </c>
      <c r="HM24" s="563">
        <v>0</v>
      </c>
      <c r="HN24" s="563">
        <v>0</v>
      </c>
      <c r="HO24" s="650">
        <v>4909.5192620236467</v>
      </c>
      <c r="HP24" s="564">
        <v>4000</v>
      </c>
      <c r="HQ24" s="565">
        <v>167.55160819145564</v>
      </c>
      <c r="HR24" s="649">
        <v>8.5415850000000013</v>
      </c>
      <c r="HS24" s="646">
        <v>60.569835103336516</v>
      </c>
      <c r="HT24" s="646">
        <v>0</v>
      </c>
      <c r="HU24" s="646">
        <v>0</v>
      </c>
      <c r="HV24" s="646">
        <v>45.903317236465028</v>
      </c>
      <c r="HW24" s="646">
        <v>4.3690370992536502</v>
      </c>
      <c r="HX24" s="646">
        <v>3600</v>
      </c>
      <c r="HY24" s="563" t="s">
        <v>68</v>
      </c>
      <c r="HZ24" s="563">
        <v>3</v>
      </c>
      <c r="IA24" s="563">
        <v>0</v>
      </c>
      <c r="IB24" s="563">
        <v>0</v>
      </c>
      <c r="IC24" s="563">
        <v>0</v>
      </c>
      <c r="ID24" s="650">
        <v>4293.9973880995294</v>
      </c>
      <c r="IE24" s="563">
        <v>0</v>
      </c>
      <c r="IF24" s="563">
        <v>0</v>
      </c>
      <c r="IG24" s="563">
        <v>0</v>
      </c>
      <c r="IH24" s="650">
        <v>4329.7890080653078</v>
      </c>
      <c r="II24" s="564">
        <v>4000</v>
      </c>
      <c r="IJ24" s="565">
        <v>167.55160819145564</v>
      </c>
      <c r="IK24" s="649">
        <v>8.5415850000000013</v>
      </c>
      <c r="IL24" s="646">
        <v>60.569835103336516</v>
      </c>
      <c r="IM24" s="646">
        <v>0</v>
      </c>
      <c r="IN24" s="646">
        <v>0</v>
      </c>
      <c r="IO24" s="646">
        <v>45.903317236465028</v>
      </c>
      <c r="IP24" s="646">
        <v>4.3690370992536502</v>
      </c>
      <c r="IQ24" s="646">
        <v>3600</v>
      </c>
      <c r="IR24" s="563" t="s">
        <v>68</v>
      </c>
      <c r="IS24" s="563">
        <v>3</v>
      </c>
      <c r="IT24" s="563">
        <v>0</v>
      </c>
      <c r="IU24" s="563">
        <v>0</v>
      </c>
      <c r="IV24" s="563">
        <v>0</v>
      </c>
      <c r="IW24" s="650">
        <v>4293.9973880995294</v>
      </c>
      <c r="IX24" s="563">
        <v>0</v>
      </c>
      <c r="IY24" s="563">
        <v>0</v>
      </c>
      <c r="IZ24" s="563">
        <v>0</v>
      </c>
      <c r="JA24" s="650">
        <v>4329.7890080653078</v>
      </c>
      <c r="JB24" s="564">
        <v>4000</v>
      </c>
      <c r="JC24" s="565">
        <v>167.55160819145564</v>
      </c>
      <c r="JD24" s="649">
        <v>8.5415850000000013</v>
      </c>
      <c r="JE24" s="646">
        <v>60.569835103336516</v>
      </c>
      <c r="JF24" s="646">
        <v>0</v>
      </c>
      <c r="JG24" s="646">
        <v>0</v>
      </c>
      <c r="JH24" s="646">
        <v>45.903317236465028</v>
      </c>
      <c r="JI24" s="646">
        <v>4.3690370992536502</v>
      </c>
      <c r="JJ24" s="646">
        <v>3600</v>
      </c>
      <c r="JK24" s="563" t="s">
        <v>67</v>
      </c>
      <c r="JL24" s="563">
        <v>3</v>
      </c>
      <c r="JM24" s="563">
        <v>0</v>
      </c>
      <c r="JN24" s="563">
        <v>0</v>
      </c>
      <c r="JO24" s="563">
        <v>0</v>
      </c>
      <c r="JP24" s="650">
        <v>5851.732056128737</v>
      </c>
      <c r="JQ24" s="563">
        <v>0</v>
      </c>
      <c r="JR24" s="563">
        <v>0</v>
      </c>
      <c r="JS24" s="563">
        <v>0</v>
      </c>
      <c r="JT24" s="650">
        <v>5900.5078123681278</v>
      </c>
      <c r="JU24" s="564">
        <v>4000</v>
      </c>
      <c r="JV24" s="565">
        <v>167.55160819145564</v>
      </c>
      <c r="JW24" s="649">
        <v>8.5415850000000013</v>
      </c>
      <c r="JX24" s="646">
        <v>60.569835103336516</v>
      </c>
      <c r="JY24" s="646">
        <v>0</v>
      </c>
      <c r="JZ24" s="646">
        <v>0</v>
      </c>
      <c r="KA24" s="646">
        <v>45.903317236465028</v>
      </c>
      <c r="KB24" s="646">
        <v>4.3690370992536502</v>
      </c>
      <c r="KC24" s="646">
        <v>3600</v>
      </c>
      <c r="KD24" s="563" t="s">
        <v>67</v>
      </c>
      <c r="KE24" s="563">
        <v>3</v>
      </c>
      <c r="KF24" s="563">
        <v>0</v>
      </c>
      <c r="KG24" s="563">
        <v>0</v>
      </c>
      <c r="KH24" s="563">
        <v>0</v>
      </c>
      <c r="KI24" s="650">
        <v>5851.732056128737</v>
      </c>
      <c r="KJ24" s="563">
        <v>0</v>
      </c>
      <c r="KK24" s="563">
        <v>0</v>
      </c>
      <c r="KL24" s="563">
        <v>0</v>
      </c>
      <c r="KM24" s="650">
        <v>5900.5078123681278</v>
      </c>
      <c r="KN24" s="564">
        <v>4000</v>
      </c>
      <c r="KO24" s="566">
        <v>167.55160819145564</v>
      </c>
    </row>
    <row r="25" spans="1:301" ht="15" customHeight="1">
      <c r="A25" s="663" t="s">
        <v>802</v>
      </c>
      <c r="B25" s="629" t="s">
        <v>384</v>
      </c>
      <c r="C25" s="629">
        <v>340</v>
      </c>
      <c r="D25" s="629">
        <v>800</v>
      </c>
      <c r="E25" s="629">
        <v>355</v>
      </c>
      <c r="F25" s="629">
        <v>310</v>
      </c>
      <c r="G25" s="629">
        <v>196</v>
      </c>
      <c r="H25" s="629">
        <v>138</v>
      </c>
      <c r="I25" s="629">
        <v>93</v>
      </c>
      <c r="J25" s="629">
        <v>34.68</v>
      </c>
      <c r="K25" s="629">
        <v>47.84</v>
      </c>
      <c r="L25" s="629">
        <v>10</v>
      </c>
      <c r="M25" s="629">
        <v>350</v>
      </c>
      <c r="N25" s="629">
        <v>5</v>
      </c>
      <c r="O25" s="623">
        <v>15.844244575513986</v>
      </c>
      <c r="P25" s="629">
        <v>5</v>
      </c>
      <c r="Q25" s="623">
        <v>10.964140578551467</v>
      </c>
      <c r="R25" s="629">
        <v>13.000000000000002</v>
      </c>
      <c r="S25" s="629">
        <v>533.22770655774809</v>
      </c>
      <c r="T25" s="645">
        <v>22.789159343580337</v>
      </c>
      <c r="U25" s="645">
        <v>79.984155983662205</v>
      </c>
      <c r="V25" s="645">
        <v>85</v>
      </c>
      <c r="W25" s="793">
        <v>2.5144769564190796</v>
      </c>
      <c r="X25" s="646">
        <v>0</v>
      </c>
      <c r="Y25" s="646">
        <v>0</v>
      </c>
      <c r="Z25" s="646">
        <v>0</v>
      </c>
      <c r="AA25" s="646">
        <v>0</v>
      </c>
      <c r="AB25" s="647">
        <v>10.820321694039277</v>
      </c>
      <c r="AC25" s="784">
        <v>4000</v>
      </c>
      <c r="AD25" s="631">
        <v>0.60196832096681585</v>
      </c>
      <c r="AE25" s="631">
        <v>0.69191652277805815</v>
      </c>
      <c r="AF25" s="631">
        <v>-0.36390817022501332</v>
      </c>
      <c r="AG25" s="631">
        <v>1.0304646082035278</v>
      </c>
      <c r="AH25" s="629"/>
      <c r="AI25" s="648">
        <v>2.6375352429199777</v>
      </c>
      <c r="AJ25" s="649">
        <v>12.693450000000002</v>
      </c>
      <c r="AK25" s="646">
        <v>64.805471454064872</v>
      </c>
      <c r="AL25" s="646">
        <v>0</v>
      </c>
      <c r="AM25" s="646">
        <v>0</v>
      </c>
      <c r="AN25" s="646">
        <v>51.612292669133801</v>
      </c>
      <c r="AO25" s="646">
        <v>4.7928055408270094</v>
      </c>
      <c r="AP25" s="801">
        <v>3150</v>
      </c>
      <c r="AQ25" s="563" t="s">
        <v>71</v>
      </c>
      <c r="AR25" s="563">
        <v>4</v>
      </c>
      <c r="AS25" s="563">
        <v>0</v>
      </c>
      <c r="AT25" s="563">
        <v>0</v>
      </c>
      <c r="AU25" s="563">
        <v>0</v>
      </c>
      <c r="AV25" s="650">
        <v>3631.6746799915645</v>
      </c>
      <c r="AW25" s="563">
        <v>0</v>
      </c>
      <c r="AX25" s="563">
        <v>0</v>
      </c>
      <c r="AY25" s="563">
        <v>0</v>
      </c>
      <c r="AZ25" s="650">
        <v>3761.4361351047187</v>
      </c>
      <c r="BA25" s="564">
        <v>3631.6746799915645</v>
      </c>
      <c r="BB25" s="565">
        <v>152.12323326519416</v>
      </c>
      <c r="BC25" s="649">
        <v>12.693450000000002</v>
      </c>
      <c r="BD25" s="646">
        <v>64.805471454064872</v>
      </c>
      <c r="BE25" s="646">
        <v>0</v>
      </c>
      <c r="BF25" s="646">
        <v>0</v>
      </c>
      <c r="BG25" s="646">
        <v>51.612292669133801</v>
      </c>
      <c r="BH25" s="646">
        <v>4.7928055408270094</v>
      </c>
      <c r="BI25" s="646">
        <v>3600</v>
      </c>
      <c r="BJ25" s="563" t="s">
        <v>71</v>
      </c>
      <c r="BK25" s="563">
        <v>4</v>
      </c>
      <c r="BL25" s="563">
        <v>0</v>
      </c>
      <c r="BM25" s="563">
        <v>0</v>
      </c>
      <c r="BN25" s="563">
        <v>0</v>
      </c>
      <c r="BO25" s="650">
        <v>3631.6746799915645</v>
      </c>
      <c r="BP25" s="563">
        <v>0</v>
      </c>
      <c r="BQ25" s="563">
        <v>0</v>
      </c>
      <c r="BR25" s="563">
        <v>0</v>
      </c>
      <c r="BS25" s="650">
        <v>3761.4361351047187</v>
      </c>
      <c r="BT25" s="564">
        <v>3631.6746799915645</v>
      </c>
      <c r="BU25" s="565">
        <v>152.12323326519416</v>
      </c>
      <c r="BV25" s="649">
        <v>12.693450000000002</v>
      </c>
      <c r="BW25" s="646">
        <v>64.805471454064872</v>
      </c>
      <c r="BX25" s="646">
        <v>0</v>
      </c>
      <c r="BY25" s="646">
        <v>0</v>
      </c>
      <c r="BZ25" s="646">
        <v>51.612292669133801</v>
      </c>
      <c r="CA25" s="646">
        <v>4.7928055408270094</v>
      </c>
      <c r="CB25" s="646">
        <v>3150</v>
      </c>
      <c r="CC25" s="563" t="s">
        <v>1584</v>
      </c>
      <c r="CD25" s="563">
        <v>4</v>
      </c>
      <c r="CE25" s="563">
        <v>0</v>
      </c>
      <c r="CF25" s="563">
        <v>0</v>
      </c>
      <c r="CG25" s="563">
        <v>0</v>
      </c>
      <c r="CH25" s="650">
        <v>3558.299951105887</v>
      </c>
      <c r="CI25" s="563">
        <v>0</v>
      </c>
      <c r="CJ25" s="563">
        <v>0</v>
      </c>
      <c r="CK25" s="563">
        <v>0</v>
      </c>
      <c r="CL25" s="650">
        <v>3685.4396924292037</v>
      </c>
      <c r="CM25" s="564">
        <v>3558.299951105887</v>
      </c>
      <c r="CN25" s="565">
        <v>149.04971980884233</v>
      </c>
      <c r="CO25" s="649">
        <v>15.866812500000002</v>
      </c>
      <c r="CP25" s="646">
        <v>67.978833954064868</v>
      </c>
      <c r="CQ25" s="646">
        <v>0</v>
      </c>
      <c r="CR25" s="646">
        <v>0</v>
      </c>
      <c r="CS25" s="646">
        <v>52.423979119096025</v>
      </c>
      <c r="CT25" s="646">
        <v>5.0925296289520094</v>
      </c>
      <c r="CU25" s="646">
        <v>3600</v>
      </c>
      <c r="CV25" s="563" t="s">
        <v>1584</v>
      </c>
      <c r="CW25" s="563">
        <v>5</v>
      </c>
      <c r="CX25" s="563">
        <v>0</v>
      </c>
      <c r="CY25" s="563">
        <v>0</v>
      </c>
      <c r="CZ25" s="563">
        <v>0</v>
      </c>
      <c r="DA25" s="650">
        <v>4236.1335388036578</v>
      </c>
      <c r="DB25" s="563">
        <v>0</v>
      </c>
      <c r="DC25" s="563">
        <v>0</v>
      </c>
      <c r="DD25" s="563">
        <v>0</v>
      </c>
      <c r="DE25" s="650">
        <v>4538.9888455740647</v>
      </c>
      <c r="DF25" s="564">
        <v>4000</v>
      </c>
      <c r="DG25" s="565">
        <v>167.55160819145564</v>
      </c>
      <c r="DH25" s="649">
        <v>12.693450000000002</v>
      </c>
      <c r="DI25" s="646">
        <v>64.805471454064872</v>
      </c>
      <c r="DJ25" s="646">
        <v>0</v>
      </c>
      <c r="DK25" s="646">
        <v>0</v>
      </c>
      <c r="DL25" s="646">
        <v>51.612292669133801</v>
      </c>
      <c r="DM25" s="646">
        <v>4.7928055408270094</v>
      </c>
      <c r="DN25" s="646">
        <v>3150</v>
      </c>
      <c r="DO25" s="563" t="s">
        <v>1588</v>
      </c>
      <c r="DP25" s="563">
        <v>4</v>
      </c>
      <c r="DQ25" s="563">
        <v>0</v>
      </c>
      <c r="DR25" s="563">
        <v>0</v>
      </c>
      <c r="DS25" s="563">
        <v>0</v>
      </c>
      <c r="DT25" s="650">
        <v>3703.5960120595637</v>
      </c>
      <c r="DU25" s="563">
        <v>0</v>
      </c>
      <c r="DV25" s="563">
        <v>0</v>
      </c>
      <c r="DW25" s="563">
        <v>0</v>
      </c>
      <c r="DX25" s="650">
        <v>3835.9272504063979</v>
      </c>
      <c r="DY25" s="564">
        <v>3703.5960120595637</v>
      </c>
      <c r="DZ25" s="565">
        <v>155.1358669780104</v>
      </c>
      <c r="EA25" s="649">
        <v>12.693450000000002</v>
      </c>
      <c r="EB25" s="646">
        <v>64.805471454064872</v>
      </c>
      <c r="EC25" s="646">
        <v>0</v>
      </c>
      <c r="ED25" s="646">
        <v>0</v>
      </c>
      <c r="EE25" s="646">
        <v>51.612292669133801</v>
      </c>
      <c r="EF25" s="646">
        <v>4.7928055408270094</v>
      </c>
      <c r="EG25" s="646">
        <v>3600</v>
      </c>
      <c r="EH25" s="563" t="s">
        <v>1588</v>
      </c>
      <c r="EI25" s="563">
        <v>4</v>
      </c>
      <c r="EJ25" s="563">
        <v>0</v>
      </c>
      <c r="EK25" s="563">
        <v>0</v>
      </c>
      <c r="EL25" s="563">
        <v>0</v>
      </c>
      <c r="EM25" s="650">
        <v>3703.5960120595637</v>
      </c>
      <c r="EN25" s="563">
        <v>0</v>
      </c>
      <c r="EO25" s="563">
        <v>0</v>
      </c>
      <c r="EP25" s="563">
        <v>0</v>
      </c>
      <c r="EQ25" s="650">
        <v>3835.9272504063979</v>
      </c>
      <c r="ER25" s="564">
        <v>3703.5960120595637</v>
      </c>
      <c r="ES25" s="565">
        <v>155.1358669780104</v>
      </c>
      <c r="ET25" s="649">
        <v>12.693450000000002</v>
      </c>
      <c r="EU25" s="646">
        <v>64.805471454064872</v>
      </c>
      <c r="EV25" s="646">
        <v>0</v>
      </c>
      <c r="EW25" s="646">
        <v>0</v>
      </c>
      <c r="EX25" s="646">
        <v>51.612292669133801</v>
      </c>
      <c r="EY25" s="646">
        <v>4.7928055408270094</v>
      </c>
      <c r="EZ25" s="646">
        <v>3150</v>
      </c>
      <c r="FA25" s="563" t="s">
        <v>1589</v>
      </c>
      <c r="FB25" s="563">
        <v>4</v>
      </c>
      <c r="FC25" s="563">
        <v>0</v>
      </c>
      <c r="FD25" s="563">
        <v>0</v>
      </c>
      <c r="FE25" s="563">
        <v>0</v>
      </c>
      <c r="FF25" s="650">
        <v>3945.0084864198157</v>
      </c>
      <c r="FG25" s="563">
        <v>0</v>
      </c>
      <c r="FH25" s="563">
        <v>0</v>
      </c>
      <c r="FI25" s="563">
        <v>0</v>
      </c>
      <c r="FJ25" s="650">
        <v>4085.9655067311078</v>
      </c>
      <c r="FK25" s="564">
        <v>3945.0084864198157</v>
      </c>
      <c r="FL25" s="565">
        <v>165.24812905714509</v>
      </c>
      <c r="FM25" s="649">
        <v>12.693450000000002</v>
      </c>
      <c r="FN25" s="646">
        <v>64.805471454064872</v>
      </c>
      <c r="FO25" s="646">
        <v>0</v>
      </c>
      <c r="FP25" s="646">
        <v>0</v>
      </c>
      <c r="FQ25" s="646">
        <v>51.612292669133801</v>
      </c>
      <c r="FR25" s="646">
        <v>4.7928055408270094</v>
      </c>
      <c r="FS25" s="646">
        <v>3600</v>
      </c>
      <c r="FT25" s="563" t="s">
        <v>1589</v>
      </c>
      <c r="FU25" s="563">
        <v>4</v>
      </c>
      <c r="FV25" s="563">
        <v>0</v>
      </c>
      <c r="FW25" s="563">
        <v>0</v>
      </c>
      <c r="FX25" s="563">
        <v>0</v>
      </c>
      <c r="FY25" s="650">
        <v>3945.0084864198157</v>
      </c>
      <c r="FZ25" s="563">
        <v>0</v>
      </c>
      <c r="GA25" s="563">
        <v>0</v>
      </c>
      <c r="GB25" s="563">
        <v>0</v>
      </c>
      <c r="GC25" s="650">
        <v>4085.9655067311078</v>
      </c>
      <c r="GD25" s="564">
        <v>3945.0084864198157</v>
      </c>
      <c r="GE25" s="565">
        <v>165.24812905714509</v>
      </c>
      <c r="GF25" s="649">
        <v>9.5200875000000025</v>
      </c>
      <c r="GG25" s="646">
        <v>61.632108954064876</v>
      </c>
      <c r="GH25" s="646">
        <v>0</v>
      </c>
      <c r="GI25" s="646">
        <v>0</v>
      </c>
      <c r="GJ25" s="646">
        <v>50.717020718503811</v>
      </c>
      <c r="GK25" s="646">
        <v>4.4930814527020093</v>
      </c>
      <c r="GL25" s="646">
        <v>3150</v>
      </c>
      <c r="GM25" s="563" t="s">
        <v>1587</v>
      </c>
      <c r="GN25" s="563">
        <v>3</v>
      </c>
      <c r="GO25" s="563">
        <v>0</v>
      </c>
      <c r="GP25" s="563">
        <v>0</v>
      </c>
      <c r="GQ25" s="563">
        <v>0</v>
      </c>
      <c r="GR25" s="650">
        <v>4048.3043519075877</v>
      </c>
      <c r="GS25" s="563">
        <v>0</v>
      </c>
      <c r="GT25" s="563">
        <v>0</v>
      </c>
      <c r="GU25" s="563">
        <v>0</v>
      </c>
      <c r="GV25" s="650">
        <v>4113.6593391002471</v>
      </c>
      <c r="GW25" s="564">
        <v>4000</v>
      </c>
      <c r="GX25" s="565">
        <v>167.55160819145564</v>
      </c>
      <c r="GY25" s="649">
        <v>9.5200875000000025</v>
      </c>
      <c r="GZ25" s="646">
        <v>61.632108954064876</v>
      </c>
      <c r="HA25" s="646">
        <v>0</v>
      </c>
      <c r="HB25" s="646">
        <v>0</v>
      </c>
      <c r="HC25" s="646">
        <v>50.717020718503811</v>
      </c>
      <c r="HD25" s="646">
        <v>4.4930814527020093</v>
      </c>
      <c r="HE25" s="646">
        <v>3600</v>
      </c>
      <c r="HF25" s="563" t="s">
        <v>1587</v>
      </c>
      <c r="HG25" s="563">
        <v>3</v>
      </c>
      <c r="HH25" s="563">
        <v>0</v>
      </c>
      <c r="HI25" s="563">
        <v>0</v>
      </c>
      <c r="HJ25" s="563">
        <v>0</v>
      </c>
      <c r="HK25" s="650">
        <v>4048.3043519075877</v>
      </c>
      <c r="HL25" s="563">
        <v>0</v>
      </c>
      <c r="HM25" s="563">
        <v>0</v>
      </c>
      <c r="HN25" s="563">
        <v>0</v>
      </c>
      <c r="HO25" s="650">
        <v>4113.6593391002471</v>
      </c>
      <c r="HP25" s="564">
        <v>4000</v>
      </c>
      <c r="HQ25" s="565">
        <v>167.55160819145564</v>
      </c>
      <c r="HR25" s="649">
        <v>9.5200875000000025</v>
      </c>
      <c r="HS25" s="646">
        <v>61.632108954064876</v>
      </c>
      <c r="HT25" s="646">
        <v>0</v>
      </c>
      <c r="HU25" s="646">
        <v>0</v>
      </c>
      <c r="HV25" s="646">
        <v>50.717020718503811</v>
      </c>
      <c r="HW25" s="646">
        <v>4.4930814527020093</v>
      </c>
      <c r="HX25" s="646">
        <v>3150</v>
      </c>
      <c r="HY25" s="563" t="s">
        <v>68</v>
      </c>
      <c r="HZ25" s="563">
        <v>3</v>
      </c>
      <c r="IA25" s="563">
        <v>0</v>
      </c>
      <c r="IB25" s="563">
        <v>0</v>
      </c>
      <c r="IC25" s="563">
        <v>0</v>
      </c>
      <c r="ID25" s="650">
        <v>3570.2688488826634</v>
      </c>
      <c r="IE25" s="563">
        <v>0</v>
      </c>
      <c r="IF25" s="563">
        <v>0</v>
      </c>
      <c r="IG25" s="563">
        <v>0</v>
      </c>
      <c r="IH25" s="650">
        <v>3627.9065298991914</v>
      </c>
      <c r="II25" s="564">
        <v>3570.2688488826634</v>
      </c>
      <c r="IJ25" s="565">
        <v>149.55107182653683</v>
      </c>
      <c r="IK25" s="649">
        <v>12.693450000000002</v>
      </c>
      <c r="IL25" s="646">
        <v>64.805471454064872</v>
      </c>
      <c r="IM25" s="646">
        <v>0</v>
      </c>
      <c r="IN25" s="646">
        <v>0</v>
      </c>
      <c r="IO25" s="646">
        <v>51.612292669133801</v>
      </c>
      <c r="IP25" s="646">
        <v>4.7928055408270094</v>
      </c>
      <c r="IQ25" s="646">
        <v>3600</v>
      </c>
      <c r="IR25" s="563" t="s">
        <v>68</v>
      </c>
      <c r="IS25" s="563">
        <v>4</v>
      </c>
      <c r="IT25" s="563">
        <v>0</v>
      </c>
      <c r="IU25" s="563">
        <v>0</v>
      </c>
      <c r="IV25" s="563">
        <v>0</v>
      </c>
      <c r="IW25" s="650">
        <v>4297.0554306185732</v>
      </c>
      <c r="IX25" s="563">
        <v>0</v>
      </c>
      <c r="IY25" s="563">
        <v>0</v>
      </c>
      <c r="IZ25" s="563">
        <v>0</v>
      </c>
      <c r="JA25" s="650">
        <v>4450.5912548626757</v>
      </c>
      <c r="JB25" s="564">
        <v>4000</v>
      </c>
      <c r="JC25" s="565">
        <v>167.55160819145564</v>
      </c>
      <c r="JD25" s="649">
        <v>9.5200875000000025</v>
      </c>
      <c r="JE25" s="646">
        <v>61.632108954064876</v>
      </c>
      <c r="JF25" s="646">
        <v>0</v>
      </c>
      <c r="JG25" s="646">
        <v>0</v>
      </c>
      <c r="JH25" s="646">
        <v>50.717020718503811</v>
      </c>
      <c r="JI25" s="646">
        <v>4.4930814527020093</v>
      </c>
      <c r="JJ25" s="646">
        <v>3150</v>
      </c>
      <c r="JK25" s="563" t="s">
        <v>67</v>
      </c>
      <c r="JL25" s="563">
        <v>3</v>
      </c>
      <c r="JM25" s="563">
        <v>0</v>
      </c>
      <c r="JN25" s="563">
        <v>0</v>
      </c>
      <c r="JO25" s="563">
        <v>0</v>
      </c>
      <c r="JP25" s="650">
        <v>4865.4563064956083</v>
      </c>
      <c r="JQ25" s="563">
        <v>0</v>
      </c>
      <c r="JR25" s="563">
        <v>0</v>
      </c>
      <c r="JS25" s="563">
        <v>0</v>
      </c>
      <c r="JT25" s="650">
        <v>4944.0032256390814</v>
      </c>
      <c r="JU25" s="564">
        <v>4000</v>
      </c>
      <c r="JV25" s="565">
        <v>167.55160819145564</v>
      </c>
      <c r="JW25" s="649">
        <v>9.5200875000000025</v>
      </c>
      <c r="JX25" s="646">
        <v>61.632108954064876</v>
      </c>
      <c r="JY25" s="646">
        <v>0</v>
      </c>
      <c r="JZ25" s="646">
        <v>0</v>
      </c>
      <c r="KA25" s="646">
        <v>50.717020718503811</v>
      </c>
      <c r="KB25" s="646">
        <v>4.4930814527020093</v>
      </c>
      <c r="KC25" s="646">
        <v>3600</v>
      </c>
      <c r="KD25" s="563" t="s">
        <v>67</v>
      </c>
      <c r="KE25" s="563">
        <v>3</v>
      </c>
      <c r="KF25" s="563">
        <v>0</v>
      </c>
      <c r="KG25" s="563">
        <v>0</v>
      </c>
      <c r="KH25" s="563">
        <v>0</v>
      </c>
      <c r="KI25" s="650">
        <v>4865.4563064956083</v>
      </c>
      <c r="KJ25" s="563">
        <v>0</v>
      </c>
      <c r="KK25" s="563">
        <v>0</v>
      </c>
      <c r="KL25" s="563">
        <v>0</v>
      </c>
      <c r="KM25" s="650">
        <v>4944.0032256390814</v>
      </c>
      <c r="KN25" s="564">
        <v>4000</v>
      </c>
      <c r="KO25" s="566">
        <v>167.55160819145564</v>
      </c>
    </row>
    <row r="26" spans="1:301" ht="15" customHeight="1">
      <c r="A26" s="663" t="s">
        <v>803</v>
      </c>
      <c r="B26" s="629" t="s">
        <v>385</v>
      </c>
      <c r="C26" s="629">
        <v>385</v>
      </c>
      <c r="D26" s="629">
        <v>800</v>
      </c>
      <c r="E26" s="629">
        <v>400</v>
      </c>
      <c r="F26" s="629">
        <v>350</v>
      </c>
      <c r="G26" s="629">
        <v>228</v>
      </c>
      <c r="H26" s="629">
        <v>156</v>
      </c>
      <c r="I26" s="629">
        <v>111.5</v>
      </c>
      <c r="J26" s="629">
        <v>35</v>
      </c>
      <c r="K26" s="629">
        <v>46.3</v>
      </c>
      <c r="L26" s="629">
        <v>10</v>
      </c>
      <c r="M26" s="629">
        <v>329</v>
      </c>
      <c r="N26" s="629">
        <v>5</v>
      </c>
      <c r="O26" s="623">
        <v>14.796901398407927</v>
      </c>
      <c r="P26" s="629">
        <v>5</v>
      </c>
      <c r="Q26" s="623">
        <v>10.335682409106624</v>
      </c>
      <c r="R26" s="629">
        <v>13.000000000000002</v>
      </c>
      <c r="S26" s="629">
        <v>552.0131179762684</v>
      </c>
      <c r="T26" s="645">
        <v>24.423150584136927</v>
      </c>
      <c r="U26" s="645">
        <v>82.801967696440258</v>
      </c>
      <c r="V26" s="645">
        <v>85</v>
      </c>
      <c r="W26" s="793">
        <v>2.6947658937785688</v>
      </c>
      <c r="X26" s="646">
        <v>0</v>
      </c>
      <c r="Y26" s="646">
        <v>0</v>
      </c>
      <c r="Z26" s="646">
        <v>0</v>
      </c>
      <c r="AA26" s="646">
        <v>0</v>
      </c>
      <c r="AB26" s="647">
        <v>12.183990761553778</v>
      </c>
      <c r="AC26" s="784">
        <v>4000</v>
      </c>
      <c r="AD26" s="631">
        <v>0.59810892094957457</v>
      </c>
      <c r="AE26" s="631">
        <v>0.70020753820970971</v>
      </c>
      <c r="AF26" s="631">
        <v>-0.34930789654276273</v>
      </c>
      <c r="AG26" s="631">
        <v>0.88724367478586885</v>
      </c>
      <c r="AH26" s="629"/>
      <c r="AI26" s="648">
        <v>2.6578630127582943</v>
      </c>
      <c r="AJ26" s="649">
        <v>17.271471875000003</v>
      </c>
      <c r="AK26" s="646">
        <v>69.521972160430039</v>
      </c>
      <c r="AL26" s="646">
        <v>0</v>
      </c>
      <c r="AM26" s="646">
        <v>0</v>
      </c>
      <c r="AN26" s="646">
        <v>56.882860724680867</v>
      </c>
      <c r="AO26" s="646">
        <v>5.3322278274430284</v>
      </c>
      <c r="AP26" s="801">
        <v>3000</v>
      </c>
      <c r="AQ26" s="563" t="s">
        <v>71</v>
      </c>
      <c r="AR26" s="563">
        <v>5</v>
      </c>
      <c r="AS26" s="563">
        <v>0</v>
      </c>
      <c r="AT26" s="563">
        <v>0</v>
      </c>
      <c r="AU26" s="563">
        <v>0</v>
      </c>
      <c r="AV26" s="650">
        <v>3502.8166540348643</v>
      </c>
      <c r="AW26" s="563">
        <v>0</v>
      </c>
      <c r="AX26" s="563">
        <v>0</v>
      </c>
      <c r="AY26" s="563">
        <v>0</v>
      </c>
      <c r="AZ26" s="650">
        <v>3607.2973336864356</v>
      </c>
      <c r="BA26" s="564">
        <v>3502.8166540348643</v>
      </c>
      <c r="BB26" s="565">
        <v>146.72564089583878</v>
      </c>
      <c r="BC26" s="649">
        <v>20.725766250000003</v>
      </c>
      <c r="BD26" s="646">
        <v>72.976266535430042</v>
      </c>
      <c r="BE26" s="646">
        <v>0</v>
      </c>
      <c r="BF26" s="646">
        <v>0</v>
      </c>
      <c r="BG26" s="646">
        <v>57.882429747294701</v>
      </c>
      <c r="BH26" s="646">
        <v>5.6725729754098255</v>
      </c>
      <c r="BI26" s="646">
        <v>3600</v>
      </c>
      <c r="BJ26" s="563" t="s">
        <v>71</v>
      </c>
      <c r="BK26" s="563">
        <v>6</v>
      </c>
      <c r="BL26" s="563">
        <v>0</v>
      </c>
      <c r="BM26" s="563">
        <v>0</v>
      </c>
      <c r="BN26" s="563">
        <v>0</v>
      </c>
      <c r="BO26" s="650">
        <v>4187.1486401748252</v>
      </c>
      <c r="BP26" s="563">
        <v>0</v>
      </c>
      <c r="BQ26" s="563">
        <v>0</v>
      </c>
      <c r="BR26" s="563">
        <v>0</v>
      </c>
      <c r="BS26" s="650">
        <v>4500.5520700237703</v>
      </c>
      <c r="BT26" s="564">
        <v>4000</v>
      </c>
      <c r="BU26" s="565">
        <v>167.55160819145564</v>
      </c>
      <c r="BV26" s="649">
        <v>17.271471875000003</v>
      </c>
      <c r="BW26" s="646">
        <v>69.521972160430039</v>
      </c>
      <c r="BX26" s="646">
        <v>0</v>
      </c>
      <c r="BY26" s="646">
        <v>0</v>
      </c>
      <c r="BZ26" s="646">
        <v>56.882860724680867</v>
      </c>
      <c r="CA26" s="646">
        <v>5.3322278274430284</v>
      </c>
      <c r="CB26" s="646">
        <v>3000</v>
      </c>
      <c r="CC26" s="563" t="s">
        <v>1584</v>
      </c>
      <c r="CD26" s="563">
        <v>5</v>
      </c>
      <c r="CE26" s="563">
        <v>0</v>
      </c>
      <c r="CF26" s="563">
        <v>0</v>
      </c>
      <c r="CG26" s="563">
        <v>0</v>
      </c>
      <c r="CH26" s="650">
        <v>3432.0453859633963</v>
      </c>
      <c r="CI26" s="563">
        <v>0</v>
      </c>
      <c r="CJ26" s="563">
        <v>0</v>
      </c>
      <c r="CK26" s="563">
        <v>0</v>
      </c>
      <c r="CL26" s="650">
        <v>3534.4151272136128</v>
      </c>
      <c r="CM26" s="564">
        <v>3432.0453859633963</v>
      </c>
      <c r="CN26" s="565">
        <v>143.76118095105804</v>
      </c>
      <c r="CO26" s="649">
        <v>20.725766250000003</v>
      </c>
      <c r="CP26" s="646">
        <v>72.976266535430042</v>
      </c>
      <c r="CQ26" s="646">
        <v>0</v>
      </c>
      <c r="CR26" s="646">
        <v>0</v>
      </c>
      <c r="CS26" s="646">
        <v>57.882429747294701</v>
      </c>
      <c r="CT26" s="646">
        <v>5.6725729754098255</v>
      </c>
      <c r="CU26" s="646">
        <v>3600</v>
      </c>
      <c r="CV26" s="563" t="s">
        <v>1584</v>
      </c>
      <c r="CW26" s="563">
        <v>6</v>
      </c>
      <c r="CX26" s="563">
        <v>0</v>
      </c>
      <c r="CY26" s="563">
        <v>0</v>
      </c>
      <c r="CZ26" s="563">
        <v>0</v>
      </c>
      <c r="DA26" s="650">
        <v>4102.5510582467068</v>
      </c>
      <c r="DB26" s="563">
        <v>0</v>
      </c>
      <c r="DC26" s="563">
        <v>0</v>
      </c>
      <c r="DD26" s="563">
        <v>0</v>
      </c>
      <c r="DE26" s="650">
        <v>4409.6224529539295</v>
      </c>
      <c r="DF26" s="564">
        <v>4000</v>
      </c>
      <c r="DG26" s="565">
        <v>167.55160819145564</v>
      </c>
      <c r="DH26" s="649">
        <v>17.271471875000003</v>
      </c>
      <c r="DI26" s="646">
        <v>69.521972160430039</v>
      </c>
      <c r="DJ26" s="646">
        <v>0</v>
      </c>
      <c r="DK26" s="646">
        <v>0</v>
      </c>
      <c r="DL26" s="646">
        <v>56.882860724680867</v>
      </c>
      <c r="DM26" s="646">
        <v>5.3322278274430284</v>
      </c>
      <c r="DN26" s="646">
        <v>3000</v>
      </c>
      <c r="DO26" s="563" t="s">
        <v>1588</v>
      </c>
      <c r="DP26" s="563">
        <v>5</v>
      </c>
      <c r="DQ26" s="563">
        <v>0</v>
      </c>
      <c r="DR26" s="563">
        <v>0</v>
      </c>
      <c r="DS26" s="563">
        <v>0</v>
      </c>
      <c r="DT26" s="650">
        <v>3572.1860942923117</v>
      </c>
      <c r="DU26" s="563">
        <v>0</v>
      </c>
      <c r="DV26" s="563">
        <v>0</v>
      </c>
      <c r="DW26" s="563">
        <v>0</v>
      </c>
      <c r="DX26" s="650">
        <v>3678.735899159672</v>
      </c>
      <c r="DY26" s="564">
        <v>3572.1860942923117</v>
      </c>
      <c r="DZ26" s="565">
        <v>149.63138121445792</v>
      </c>
      <c r="EA26" s="649">
        <v>20.725766250000003</v>
      </c>
      <c r="EB26" s="646">
        <v>72.976266535430042</v>
      </c>
      <c r="EC26" s="646">
        <v>0</v>
      </c>
      <c r="ED26" s="646">
        <v>0</v>
      </c>
      <c r="EE26" s="646">
        <v>57.882429747294701</v>
      </c>
      <c r="EF26" s="646">
        <v>5.6725729754098255</v>
      </c>
      <c r="EG26" s="646">
        <v>3600</v>
      </c>
      <c r="EH26" s="563" t="s">
        <v>1588</v>
      </c>
      <c r="EI26" s="563">
        <v>6</v>
      </c>
      <c r="EJ26" s="563">
        <v>0</v>
      </c>
      <c r="EK26" s="563">
        <v>0</v>
      </c>
      <c r="EL26" s="563">
        <v>0</v>
      </c>
      <c r="EM26" s="650">
        <v>4270.0705245129848</v>
      </c>
      <c r="EN26" s="563">
        <v>0</v>
      </c>
      <c r="EO26" s="563">
        <v>0</v>
      </c>
      <c r="EP26" s="563">
        <v>0</v>
      </c>
      <c r="EQ26" s="650">
        <v>4589.680565398322</v>
      </c>
      <c r="ER26" s="564">
        <v>4000</v>
      </c>
      <c r="ES26" s="565">
        <v>167.55160819145564</v>
      </c>
      <c r="ET26" s="649">
        <v>17.271471875000003</v>
      </c>
      <c r="EU26" s="646">
        <v>69.521972160430039</v>
      </c>
      <c r="EV26" s="646">
        <v>0</v>
      </c>
      <c r="EW26" s="646">
        <v>0</v>
      </c>
      <c r="EX26" s="646">
        <v>56.882860724680867</v>
      </c>
      <c r="EY26" s="646">
        <v>5.3322278274430284</v>
      </c>
      <c r="EZ26" s="646">
        <v>3000</v>
      </c>
      <c r="FA26" s="563" t="s">
        <v>1589</v>
      </c>
      <c r="FB26" s="563">
        <v>5</v>
      </c>
      <c r="FC26" s="563">
        <v>0</v>
      </c>
      <c r="FD26" s="563">
        <v>0</v>
      </c>
      <c r="FE26" s="563">
        <v>0</v>
      </c>
      <c r="FF26" s="650">
        <v>3805.0328413701136</v>
      </c>
      <c r="FG26" s="563">
        <v>0</v>
      </c>
      <c r="FH26" s="563">
        <v>0</v>
      </c>
      <c r="FI26" s="563">
        <v>0</v>
      </c>
      <c r="FJ26" s="650">
        <v>3918.5279102327577</v>
      </c>
      <c r="FK26" s="564">
        <v>3805.0328413701136</v>
      </c>
      <c r="FL26" s="565">
        <v>159.38484294821663</v>
      </c>
      <c r="FM26" s="649">
        <v>17.271471875000003</v>
      </c>
      <c r="FN26" s="646">
        <v>69.521972160430039</v>
      </c>
      <c r="FO26" s="646">
        <v>0</v>
      </c>
      <c r="FP26" s="646">
        <v>0</v>
      </c>
      <c r="FQ26" s="646">
        <v>56.882860724680867</v>
      </c>
      <c r="FR26" s="646">
        <v>5.3322278274430284</v>
      </c>
      <c r="FS26" s="646">
        <v>3600</v>
      </c>
      <c r="FT26" s="563" t="s">
        <v>1589</v>
      </c>
      <c r="FU26" s="563">
        <v>5</v>
      </c>
      <c r="FV26" s="563">
        <v>0</v>
      </c>
      <c r="FW26" s="563">
        <v>0</v>
      </c>
      <c r="FX26" s="563">
        <v>0</v>
      </c>
      <c r="FY26" s="650">
        <v>3805.0328413701136</v>
      </c>
      <c r="FZ26" s="563">
        <v>0</v>
      </c>
      <c r="GA26" s="563">
        <v>0</v>
      </c>
      <c r="GB26" s="563">
        <v>0</v>
      </c>
      <c r="GC26" s="650">
        <v>3918.5279102327577</v>
      </c>
      <c r="GD26" s="564">
        <v>3805.0328413701136</v>
      </c>
      <c r="GE26" s="565">
        <v>159.38484294821663</v>
      </c>
      <c r="GF26" s="649">
        <v>10.362883125000002</v>
      </c>
      <c r="GG26" s="646">
        <v>62.613383410430046</v>
      </c>
      <c r="GH26" s="646">
        <v>0</v>
      </c>
      <c r="GI26" s="646">
        <v>0</v>
      </c>
      <c r="GJ26" s="646">
        <v>54.552853577912444</v>
      </c>
      <c r="GK26" s="646">
        <v>4.6515375315094349</v>
      </c>
      <c r="GL26" s="646">
        <v>3000</v>
      </c>
      <c r="GM26" s="563" t="s">
        <v>1587</v>
      </c>
      <c r="GN26" s="563">
        <v>3</v>
      </c>
      <c r="GO26" s="563">
        <v>0</v>
      </c>
      <c r="GP26" s="563">
        <v>0</v>
      </c>
      <c r="GQ26" s="563">
        <v>0</v>
      </c>
      <c r="GR26" s="650">
        <v>3329.4635092978465</v>
      </c>
      <c r="GS26" s="563">
        <v>0</v>
      </c>
      <c r="GT26" s="563">
        <v>0</v>
      </c>
      <c r="GU26" s="563">
        <v>0</v>
      </c>
      <c r="GV26" s="650">
        <v>3314.8433875794226</v>
      </c>
      <c r="GW26" s="564">
        <v>3314.8433875794226</v>
      </c>
      <c r="GX26" s="565">
        <v>138.85183512293625</v>
      </c>
      <c r="GY26" s="649">
        <v>13.817177500000001</v>
      </c>
      <c r="GZ26" s="646">
        <v>66.06767778543005</v>
      </c>
      <c r="HA26" s="646">
        <v>0</v>
      </c>
      <c r="HB26" s="646">
        <v>0</v>
      </c>
      <c r="HC26" s="646">
        <v>55.778768408136429</v>
      </c>
      <c r="HD26" s="646">
        <v>4.9918826794762312</v>
      </c>
      <c r="HE26" s="646">
        <v>3600</v>
      </c>
      <c r="HF26" s="563" t="s">
        <v>1587</v>
      </c>
      <c r="HG26" s="563">
        <v>4</v>
      </c>
      <c r="HH26" s="563">
        <v>0</v>
      </c>
      <c r="HI26" s="563">
        <v>0</v>
      </c>
      <c r="HJ26" s="563">
        <v>0</v>
      </c>
      <c r="HK26" s="650">
        <v>3984.6830631470402</v>
      </c>
      <c r="HL26" s="563">
        <v>0</v>
      </c>
      <c r="HM26" s="563">
        <v>0</v>
      </c>
      <c r="HN26" s="563">
        <v>0</v>
      </c>
      <c r="HO26" s="650">
        <v>4017.3065723907803</v>
      </c>
      <c r="HP26" s="564">
        <v>3984.6830631470402</v>
      </c>
      <c r="HQ26" s="565">
        <v>166.91001384088551</v>
      </c>
      <c r="HR26" s="649">
        <v>13.817177500000001</v>
      </c>
      <c r="HS26" s="646">
        <v>66.06767778543005</v>
      </c>
      <c r="HT26" s="646">
        <v>0</v>
      </c>
      <c r="HU26" s="646">
        <v>0</v>
      </c>
      <c r="HV26" s="646">
        <v>55.778768408136429</v>
      </c>
      <c r="HW26" s="646">
        <v>4.9918826794762312</v>
      </c>
      <c r="HX26" s="646">
        <v>3000</v>
      </c>
      <c r="HY26" s="563" t="s">
        <v>68</v>
      </c>
      <c r="HZ26" s="563">
        <v>4</v>
      </c>
      <c r="IA26" s="563">
        <v>0</v>
      </c>
      <c r="IB26" s="563">
        <v>0</v>
      </c>
      <c r="IC26" s="563">
        <v>0</v>
      </c>
      <c r="ID26" s="650">
        <v>3514.1601461660507</v>
      </c>
      <c r="IE26" s="563">
        <v>0</v>
      </c>
      <c r="IF26" s="563">
        <v>0</v>
      </c>
      <c r="IG26" s="563">
        <v>0</v>
      </c>
      <c r="IH26" s="650">
        <v>3542.9313769504347</v>
      </c>
      <c r="II26" s="564">
        <v>3514.1601461660507</v>
      </c>
      <c r="IJ26" s="565">
        <v>147.20079598311065</v>
      </c>
      <c r="IK26" s="649">
        <v>17.271471875000003</v>
      </c>
      <c r="IL26" s="646">
        <v>69.521972160430039</v>
      </c>
      <c r="IM26" s="646">
        <v>0</v>
      </c>
      <c r="IN26" s="646">
        <v>0</v>
      </c>
      <c r="IO26" s="646">
        <v>56.882860724680867</v>
      </c>
      <c r="IP26" s="646">
        <v>5.3322278274430284</v>
      </c>
      <c r="IQ26" s="646">
        <v>3600</v>
      </c>
      <c r="IR26" s="563" t="s">
        <v>68</v>
      </c>
      <c r="IS26" s="563">
        <v>5</v>
      </c>
      <c r="IT26" s="563">
        <v>0</v>
      </c>
      <c r="IU26" s="563">
        <v>0</v>
      </c>
      <c r="IV26" s="563">
        <v>0</v>
      </c>
      <c r="IW26" s="650">
        <v>4144.5885581680604</v>
      </c>
      <c r="IX26" s="563">
        <v>0</v>
      </c>
      <c r="IY26" s="563">
        <v>0</v>
      </c>
      <c r="IZ26" s="563">
        <v>0</v>
      </c>
      <c r="JA26" s="650">
        <v>4268.211765490295</v>
      </c>
      <c r="JB26" s="564">
        <v>4000</v>
      </c>
      <c r="JC26" s="565">
        <v>167.55160819145564</v>
      </c>
      <c r="JD26" s="649">
        <v>10.362883125000002</v>
      </c>
      <c r="JE26" s="646">
        <v>62.613383410430046</v>
      </c>
      <c r="JF26" s="646">
        <v>0</v>
      </c>
      <c r="JG26" s="646">
        <v>0</v>
      </c>
      <c r="JH26" s="646">
        <v>54.552853577912444</v>
      </c>
      <c r="JI26" s="646">
        <v>4.6515375315094349</v>
      </c>
      <c r="JJ26" s="646">
        <v>3000</v>
      </c>
      <c r="JK26" s="563" t="s">
        <v>67</v>
      </c>
      <c r="JL26" s="563">
        <v>3</v>
      </c>
      <c r="JM26" s="563">
        <v>0</v>
      </c>
      <c r="JN26" s="563">
        <v>0</v>
      </c>
      <c r="JO26" s="563">
        <v>0</v>
      </c>
      <c r="JP26" s="650">
        <v>4001.5171341865548</v>
      </c>
      <c r="JQ26" s="563">
        <v>0</v>
      </c>
      <c r="JR26" s="563">
        <v>0</v>
      </c>
      <c r="JS26" s="563">
        <v>0</v>
      </c>
      <c r="JT26" s="650">
        <v>3983.9459346834524</v>
      </c>
      <c r="JU26" s="564">
        <v>3983.9459346834524</v>
      </c>
      <c r="JV26" s="565">
        <v>166.87913707600606</v>
      </c>
      <c r="JW26" s="649">
        <v>10.362883125000002</v>
      </c>
      <c r="JX26" s="646">
        <v>62.613383410430046</v>
      </c>
      <c r="JY26" s="646">
        <v>0</v>
      </c>
      <c r="JZ26" s="646">
        <v>0</v>
      </c>
      <c r="KA26" s="646">
        <v>54.552853577912444</v>
      </c>
      <c r="KB26" s="646">
        <v>4.6515375315094349</v>
      </c>
      <c r="KC26" s="646">
        <v>3600</v>
      </c>
      <c r="KD26" s="563" t="s">
        <v>67</v>
      </c>
      <c r="KE26" s="563">
        <v>3</v>
      </c>
      <c r="KF26" s="563">
        <v>0</v>
      </c>
      <c r="KG26" s="563">
        <v>0</v>
      </c>
      <c r="KH26" s="563">
        <v>0</v>
      </c>
      <c r="KI26" s="650">
        <v>4001.5171341865548</v>
      </c>
      <c r="KJ26" s="563">
        <v>0</v>
      </c>
      <c r="KK26" s="563">
        <v>0</v>
      </c>
      <c r="KL26" s="563">
        <v>0</v>
      </c>
      <c r="KM26" s="650">
        <v>3983.9459346834524</v>
      </c>
      <c r="KN26" s="564">
        <v>3983.9459346834524</v>
      </c>
      <c r="KO26" s="566">
        <v>166.87913707600606</v>
      </c>
    </row>
    <row r="27" spans="1:301" ht="15" customHeight="1">
      <c r="A27" s="663" t="s">
        <v>804</v>
      </c>
      <c r="B27" s="629" t="s">
        <v>382</v>
      </c>
      <c r="C27" s="629">
        <v>511.49999999999994</v>
      </c>
      <c r="D27" s="629">
        <v>800</v>
      </c>
      <c r="E27" s="629">
        <v>500</v>
      </c>
      <c r="F27" s="629">
        <v>500</v>
      </c>
      <c r="G27" s="629">
        <v>298</v>
      </c>
      <c r="H27" s="629">
        <v>210</v>
      </c>
      <c r="I27" s="629">
        <v>153</v>
      </c>
      <c r="J27" s="629">
        <v>20.010000000000002</v>
      </c>
      <c r="K27" s="629">
        <v>30.1</v>
      </c>
      <c r="L27" s="629">
        <v>8</v>
      </c>
      <c r="M27" s="629">
        <v>317</v>
      </c>
      <c r="N27" s="629">
        <v>5</v>
      </c>
      <c r="O27" s="623">
        <v>12.022482386206439</v>
      </c>
      <c r="P27" s="629">
        <v>5</v>
      </c>
      <c r="Q27" s="623">
        <v>8.3740178205273974</v>
      </c>
      <c r="R27" s="629">
        <v>13.000000000000002</v>
      </c>
      <c r="S27" s="629">
        <v>606.92121363186084</v>
      </c>
      <c r="T27" s="645">
        <v>29.523478514442914</v>
      </c>
      <c r="U27" s="645">
        <v>91.03818204477912</v>
      </c>
      <c r="V27" s="645">
        <v>122.5</v>
      </c>
      <c r="W27" s="793">
        <v>4.6946589031980723</v>
      </c>
      <c r="X27" s="646">
        <v>0</v>
      </c>
      <c r="Y27" s="646">
        <v>0</v>
      </c>
      <c r="Z27" s="646">
        <v>0</v>
      </c>
      <c r="AA27" s="646">
        <v>0</v>
      </c>
      <c r="AB27" s="647">
        <v>23.130747303479851</v>
      </c>
      <c r="AC27" s="784">
        <v>4000</v>
      </c>
      <c r="AD27" s="631">
        <v>0.57258868950156983</v>
      </c>
      <c r="AE27" s="631">
        <v>0.36416790088271772</v>
      </c>
      <c r="AF27" s="631">
        <v>-0.63015040562014635</v>
      </c>
      <c r="AG27" s="631">
        <v>1.0011198823881093</v>
      </c>
      <c r="AH27" s="629"/>
      <c r="AI27" s="648">
        <v>2.5202163210263842</v>
      </c>
      <c r="AJ27" s="649">
        <v>28.905835200000006</v>
      </c>
      <c r="AK27" s="646">
        <v>85.388565210448192</v>
      </c>
      <c r="AL27" s="646">
        <v>1.8680923860733749</v>
      </c>
      <c r="AM27" s="646">
        <v>0</v>
      </c>
      <c r="AN27" s="646">
        <v>73.269403168184439</v>
      </c>
      <c r="AO27" s="646">
        <v>7.1478303620813755</v>
      </c>
      <c r="AP27" s="801">
        <v>3600</v>
      </c>
      <c r="AQ27" s="563" t="s">
        <v>71</v>
      </c>
      <c r="AR27" s="563">
        <v>8</v>
      </c>
      <c r="AS27" s="563">
        <v>1</v>
      </c>
      <c r="AT27" s="563">
        <v>10</v>
      </c>
      <c r="AU27" s="563">
        <v>30.529609796355569</v>
      </c>
      <c r="AV27" s="650">
        <v>5166.2768926320659</v>
      </c>
      <c r="AW27" s="563">
        <v>0</v>
      </c>
      <c r="AX27" s="563">
        <v>0</v>
      </c>
      <c r="AY27" s="563">
        <v>0</v>
      </c>
      <c r="AZ27" s="650">
        <v>4728.9303325254978</v>
      </c>
      <c r="BA27" s="564">
        <v>4000</v>
      </c>
      <c r="BB27" s="565">
        <v>167.55160819145564</v>
      </c>
      <c r="BC27" s="649">
        <v>28.905835200000006</v>
      </c>
      <c r="BD27" s="646">
        <v>85.388565210448192</v>
      </c>
      <c r="BE27" s="646">
        <v>1.8680923860733749</v>
      </c>
      <c r="BF27" s="646">
        <v>0</v>
      </c>
      <c r="BG27" s="646">
        <v>73.269403168184439</v>
      </c>
      <c r="BH27" s="646">
        <v>7.1478303620813755</v>
      </c>
      <c r="BI27" s="646">
        <v>3600</v>
      </c>
      <c r="BJ27" s="563" t="s">
        <v>71</v>
      </c>
      <c r="BK27" s="563">
        <v>8</v>
      </c>
      <c r="BL27" s="563">
        <v>1</v>
      </c>
      <c r="BM27" s="563">
        <v>10</v>
      </c>
      <c r="BN27" s="563">
        <v>30.529609796355569</v>
      </c>
      <c r="BO27" s="650">
        <v>5166.2768926320659</v>
      </c>
      <c r="BP27" s="563">
        <v>0</v>
      </c>
      <c r="BQ27" s="563">
        <v>0</v>
      </c>
      <c r="BR27" s="563">
        <v>0</v>
      </c>
      <c r="BS27" s="650">
        <v>4728.9303325254978</v>
      </c>
      <c r="BT27" s="564">
        <v>4000</v>
      </c>
      <c r="BU27" s="565">
        <v>167.55160819145564</v>
      </c>
      <c r="BV27" s="649">
        <v>28.905835200000006</v>
      </c>
      <c r="BW27" s="646">
        <v>85.388565210448192</v>
      </c>
      <c r="BX27" s="646">
        <v>1.8680923860733749</v>
      </c>
      <c r="BY27" s="646">
        <v>0</v>
      </c>
      <c r="BZ27" s="646">
        <v>73.269403168184439</v>
      </c>
      <c r="CA27" s="646">
        <v>7.1478303620813755</v>
      </c>
      <c r="CB27" s="646">
        <v>3600</v>
      </c>
      <c r="CC27" s="563" t="s">
        <v>1584</v>
      </c>
      <c r="CD27" s="563">
        <v>8</v>
      </c>
      <c r="CE27" s="563">
        <v>1</v>
      </c>
      <c r="CF27" s="563">
        <v>10</v>
      </c>
      <c r="CG27" s="563">
        <v>30.529609796355569</v>
      </c>
      <c r="CH27" s="650">
        <v>5061.8969027519997</v>
      </c>
      <c r="CI27" s="563">
        <v>0</v>
      </c>
      <c r="CJ27" s="563">
        <v>0</v>
      </c>
      <c r="CK27" s="563">
        <v>0</v>
      </c>
      <c r="CL27" s="650">
        <v>4633.3865375429814</v>
      </c>
      <c r="CM27" s="564">
        <v>4000</v>
      </c>
      <c r="CN27" s="565">
        <v>167.55160819145564</v>
      </c>
      <c r="CO27" s="649">
        <v>28.905835200000006</v>
      </c>
      <c r="CP27" s="646">
        <v>85.388565210448192</v>
      </c>
      <c r="CQ27" s="646">
        <v>1.8680923860733749</v>
      </c>
      <c r="CR27" s="646">
        <v>0</v>
      </c>
      <c r="CS27" s="646">
        <v>73.269403168184439</v>
      </c>
      <c r="CT27" s="646">
        <v>7.1478303620813755</v>
      </c>
      <c r="CU27" s="646">
        <v>3600</v>
      </c>
      <c r="CV27" s="563" t="s">
        <v>1584</v>
      </c>
      <c r="CW27" s="563">
        <v>8</v>
      </c>
      <c r="CX27" s="563">
        <v>1</v>
      </c>
      <c r="CY27" s="563">
        <v>10</v>
      </c>
      <c r="CZ27" s="563">
        <v>30.529609796355569</v>
      </c>
      <c r="DA27" s="650">
        <v>5061.8969027519997</v>
      </c>
      <c r="DB27" s="563">
        <v>0</v>
      </c>
      <c r="DC27" s="563">
        <v>0</v>
      </c>
      <c r="DD27" s="563">
        <v>0</v>
      </c>
      <c r="DE27" s="650">
        <v>4633.3865375429814</v>
      </c>
      <c r="DF27" s="564">
        <v>4000</v>
      </c>
      <c r="DG27" s="565">
        <v>167.55160819145564</v>
      </c>
      <c r="DH27" s="649">
        <v>28.905835200000006</v>
      </c>
      <c r="DI27" s="646">
        <v>83.520472824374821</v>
      </c>
      <c r="DJ27" s="646">
        <v>0</v>
      </c>
      <c r="DK27" s="646">
        <v>0</v>
      </c>
      <c r="DL27" s="646">
        <v>72.559688719228646</v>
      </c>
      <c r="DM27" s="646">
        <v>7.0101855065160041</v>
      </c>
      <c r="DN27" s="646">
        <v>3600</v>
      </c>
      <c r="DO27" s="563" t="s">
        <v>1589</v>
      </c>
      <c r="DP27" s="563">
        <v>8</v>
      </c>
      <c r="DQ27" s="563">
        <v>0</v>
      </c>
      <c r="DR27" s="563">
        <v>0</v>
      </c>
      <c r="DS27" s="563">
        <v>0</v>
      </c>
      <c r="DT27" s="650">
        <v>4016.7962217248564</v>
      </c>
      <c r="DU27" s="563">
        <v>0</v>
      </c>
      <c r="DV27" s="563">
        <v>0</v>
      </c>
      <c r="DW27" s="563">
        <v>0</v>
      </c>
      <c r="DX27" s="650">
        <v>5136.9332160402928</v>
      </c>
      <c r="DY27" s="564">
        <v>4000</v>
      </c>
      <c r="DZ27" s="565">
        <v>167.55160819145564</v>
      </c>
      <c r="EA27" s="649">
        <v>28.905835200000006</v>
      </c>
      <c r="EB27" s="646">
        <v>83.520472824374821</v>
      </c>
      <c r="EC27" s="646">
        <v>0</v>
      </c>
      <c r="ED27" s="646">
        <v>0</v>
      </c>
      <c r="EE27" s="646">
        <v>72.559688719228646</v>
      </c>
      <c r="EF27" s="646">
        <v>7.0101855065160041</v>
      </c>
      <c r="EG27" s="646">
        <v>3600</v>
      </c>
      <c r="EH27" s="563" t="s">
        <v>1589</v>
      </c>
      <c r="EI27" s="563">
        <v>8</v>
      </c>
      <c r="EJ27" s="563">
        <v>0</v>
      </c>
      <c r="EK27" s="563">
        <v>0</v>
      </c>
      <c r="EL27" s="563">
        <v>0</v>
      </c>
      <c r="EM27" s="650">
        <v>4016.7962217248564</v>
      </c>
      <c r="EN27" s="563">
        <v>0</v>
      </c>
      <c r="EO27" s="563">
        <v>0</v>
      </c>
      <c r="EP27" s="563">
        <v>0</v>
      </c>
      <c r="EQ27" s="650">
        <v>5136.9332160402928</v>
      </c>
      <c r="ER27" s="564">
        <v>4000</v>
      </c>
      <c r="ES27" s="565">
        <v>167.55160819145564</v>
      </c>
      <c r="ET27" s="649">
        <v>28.905835200000006</v>
      </c>
      <c r="EU27" s="646">
        <v>83.520472824374821</v>
      </c>
      <c r="EV27" s="646">
        <v>0</v>
      </c>
      <c r="EW27" s="646">
        <v>0</v>
      </c>
      <c r="EX27" s="646">
        <v>72.559688719228646</v>
      </c>
      <c r="EY27" s="646">
        <v>7.0101855065160041</v>
      </c>
      <c r="EZ27" s="646">
        <v>3600</v>
      </c>
      <c r="FA27" s="563" t="s">
        <v>1589</v>
      </c>
      <c r="FB27" s="563">
        <v>8</v>
      </c>
      <c r="FC27" s="563">
        <v>0</v>
      </c>
      <c r="FD27" s="563">
        <v>0</v>
      </c>
      <c r="FE27" s="563">
        <v>0</v>
      </c>
      <c r="FF27" s="650">
        <v>4016.7962217248564</v>
      </c>
      <c r="FG27" s="563">
        <v>0</v>
      </c>
      <c r="FH27" s="563">
        <v>0</v>
      </c>
      <c r="FI27" s="563">
        <v>0</v>
      </c>
      <c r="FJ27" s="650">
        <v>5136.9332160402928</v>
      </c>
      <c r="FK27" s="564">
        <v>4000</v>
      </c>
      <c r="FL27" s="565">
        <v>167.55160819145564</v>
      </c>
      <c r="FM27" s="649">
        <v>28.905835200000006</v>
      </c>
      <c r="FN27" s="646">
        <v>83.520472824374821</v>
      </c>
      <c r="FO27" s="646">
        <v>0</v>
      </c>
      <c r="FP27" s="646">
        <v>0</v>
      </c>
      <c r="FQ27" s="646">
        <v>72.559688719228646</v>
      </c>
      <c r="FR27" s="646">
        <v>7.0101855065160041</v>
      </c>
      <c r="FS27" s="646">
        <v>3600</v>
      </c>
      <c r="FT27" s="563" t="s">
        <v>1589</v>
      </c>
      <c r="FU27" s="563">
        <v>8</v>
      </c>
      <c r="FV27" s="563">
        <v>0</v>
      </c>
      <c r="FW27" s="563">
        <v>0</v>
      </c>
      <c r="FX27" s="563">
        <v>0</v>
      </c>
      <c r="FY27" s="650">
        <v>4016.7962217248564</v>
      </c>
      <c r="FZ27" s="563">
        <v>0</v>
      </c>
      <c r="GA27" s="563">
        <v>0</v>
      </c>
      <c r="GB27" s="563">
        <v>0</v>
      </c>
      <c r="GC27" s="650">
        <v>5136.9332160402928</v>
      </c>
      <c r="GD27" s="564">
        <v>4000</v>
      </c>
      <c r="GE27" s="565">
        <v>167.55160819145564</v>
      </c>
      <c r="GF27" s="649">
        <v>28.905835200000006</v>
      </c>
      <c r="GG27" s="646">
        <v>83.520472824374821</v>
      </c>
      <c r="GH27" s="646">
        <v>0</v>
      </c>
      <c r="GI27" s="646">
        <v>0</v>
      </c>
      <c r="GJ27" s="646">
        <v>72.559688719228646</v>
      </c>
      <c r="GK27" s="646">
        <v>7.0101855065160041</v>
      </c>
      <c r="GL27" s="646">
        <v>3600</v>
      </c>
      <c r="GM27" s="563" t="s">
        <v>1587</v>
      </c>
      <c r="GN27" s="563">
        <v>8</v>
      </c>
      <c r="GO27" s="563">
        <v>0</v>
      </c>
      <c r="GP27" s="563">
        <v>0</v>
      </c>
      <c r="GQ27" s="563">
        <v>0</v>
      </c>
      <c r="GR27" s="650">
        <v>4961.066502715662</v>
      </c>
      <c r="GS27" s="563">
        <v>0</v>
      </c>
      <c r="GT27" s="563">
        <v>0</v>
      </c>
      <c r="GU27" s="563">
        <v>0</v>
      </c>
      <c r="GV27" s="650">
        <v>6344.5258106326201</v>
      </c>
      <c r="GW27" s="564">
        <v>4000</v>
      </c>
      <c r="GX27" s="565">
        <v>167.55160819145564</v>
      </c>
      <c r="GY27" s="649">
        <v>28.905835200000006</v>
      </c>
      <c r="GZ27" s="646">
        <v>83.520472824374821</v>
      </c>
      <c r="HA27" s="646">
        <v>0</v>
      </c>
      <c r="HB27" s="646">
        <v>0</v>
      </c>
      <c r="HC27" s="646">
        <v>72.559688719228646</v>
      </c>
      <c r="HD27" s="646">
        <v>7.0101855065160041</v>
      </c>
      <c r="HE27" s="646">
        <v>3600</v>
      </c>
      <c r="HF27" s="563" t="s">
        <v>1587</v>
      </c>
      <c r="HG27" s="563">
        <v>8</v>
      </c>
      <c r="HH27" s="563">
        <v>0</v>
      </c>
      <c r="HI27" s="563">
        <v>0</v>
      </c>
      <c r="HJ27" s="563">
        <v>0</v>
      </c>
      <c r="HK27" s="650">
        <v>4961.066502715662</v>
      </c>
      <c r="HL27" s="563">
        <v>0</v>
      </c>
      <c r="HM27" s="563">
        <v>0</v>
      </c>
      <c r="HN27" s="563">
        <v>0</v>
      </c>
      <c r="HO27" s="650">
        <v>6344.5258106326201</v>
      </c>
      <c r="HP27" s="564">
        <v>4000</v>
      </c>
      <c r="HQ27" s="565">
        <v>167.55160819145564</v>
      </c>
      <c r="HR27" s="649">
        <v>14.452917600000003</v>
      </c>
      <c r="HS27" s="646">
        <v>72.762680588453065</v>
      </c>
      <c r="HT27" s="646">
        <v>1.1208554316440249</v>
      </c>
      <c r="HU27" s="646">
        <v>2.5742699324342038</v>
      </c>
      <c r="HV27" s="646">
        <v>66.755163398200708</v>
      </c>
      <c r="HW27" s="646">
        <v>5.8322565150734942</v>
      </c>
      <c r="HX27" s="646">
        <v>3600</v>
      </c>
      <c r="HY27" s="563" t="s">
        <v>68</v>
      </c>
      <c r="HZ27" s="563">
        <v>4</v>
      </c>
      <c r="IA27" s="563">
        <v>1</v>
      </c>
      <c r="IB27" s="563">
        <v>6</v>
      </c>
      <c r="IC27" s="563">
        <v>30.529609796355569</v>
      </c>
      <c r="ID27" s="650">
        <v>4613.808319618578</v>
      </c>
      <c r="IE27" s="563">
        <v>1</v>
      </c>
      <c r="IF27" s="563">
        <v>6</v>
      </c>
      <c r="IG27" s="563">
        <v>44.744700533923059</v>
      </c>
      <c r="IH27" s="650">
        <v>4982.6204907990541</v>
      </c>
      <c r="II27" s="564">
        <v>4000</v>
      </c>
      <c r="IJ27" s="565">
        <v>167.55160819145564</v>
      </c>
      <c r="IK27" s="649">
        <v>14.452917600000003</v>
      </c>
      <c r="IL27" s="646">
        <v>72.762680588453065</v>
      </c>
      <c r="IM27" s="646">
        <v>1.1208554316440249</v>
      </c>
      <c r="IN27" s="646">
        <v>2.5742699324342038</v>
      </c>
      <c r="IO27" s="646">
        <v>66.755163398200708</v>
      </c>
      <c r="IP27" s="646">
        <v>5.8322565150734942</v>
      </c>
      <c r="IQ27" s="646">
        <v>3600</v>
      </c>
      <c r="IR27" s="563" t="s">
        <v>68</v>
      </c>
      <c r="IS27" s="563">
        <v>4</v>
      </c>
      <c r="IT27" s="563">
        <v>1</v>
      </c>
      <c r="IU27" s="563">
        <v>6</v>
      </c>
      <c r="IV27" s="563">
        <v>30.529609796355569</v>
      </c>
      <c r="IW27" s="650">
        <v>4613.808319618578</v>
      </c>
      <c r="IX27" s="563">
        <v>1</v>
      </c>
      <c r="IY27" s="563">
        <v>6</v>
      </c>
      <c r="IZ27" s="563">
        <v>44.744700533923059</v>
      </c>
      <c r="JA27" s="650">
        <v>4982.6204907990541</v>
      </c>
      <c r="JB27" s="564">
        <v>4000</v>
      </c>
      <c r="JC27" s="565">
        <v>167.55160819145564</v>
      </c>
      <c r="JD27" s="649">
        <v>21.679376400000002</v>
      </c>
      <c r="JE27" s="646">
        <v>77.788487933233526</v>
      </c>
      <c r="JF27" s="646">
        <v>1.4944739088586998</v>
      </c>
      <c r="JG27" s="646">
        <v>0</v>
      </c>
      <c r="JH27" s="646">
        <v>70.169265932184601</v>
      </c>
      <c r="JI27" s="646">
        <v>6.3058503525462637</v>
      </c>
      <c r="JJ27" s="646">
        <v>3600</v>
      </c>
      <c r="JK27" s="563" t="s">
        <v>67</v>
      </c>
      <c r="JL27" s="563">
        <v>6</v>
      </c>
      <c r="JM27" s="563">
        <v>1</v>
      </c>
      <c r="JN27" s="563">
        <v>8</v>
      </c>
      <c r="JO27" s="563">
        <v>30.529609796355569</v>
      </c>
      <c r="JP27" s="650">
        <v>8436.1873842648638</v>
      </c>
      <c r="JQ27" s="563">
        <v>0</v>
      </c>
      <c r="JR27" s="563">
        <v>0</v>
      </c>
      <c r="JS27" s="563">
        <v>0</v>
      </c>
      <c r="JT27" s="650">
        <v>4204.3417749909613</v>
      </c>
      <c r="JU27" s="564">
        <v>4000</v>
      </c>
      <c r="JV27" s="565">
        <v>167.55160819145564</v>
      </c>
      <c r="JW27" s="649">
        <v>21.679376400000002</v>
      </c>
      <c r="JX27" s="646">
        <v>77.788487933233526</v>
      </c>
      <c r="JY27" s="646">
        <v>1.4944739088586998</v>
      </c>
      <c r="JZ27" s="646">
        <v>0</v>
      </c>
      <c r="KA27" s="646">
        <v>70.169265932184601</v>
      </c>
      <c r="KB27" s="646">
        <v>6.3058503525462637</v>
      </c>
      <c r="KC27" s="646">
        <v>3600</v>
      </c>
      <c r="KD27" s="563" t="s">
        <v>67</v>
      </c>
      <c r="KE27" s="563">
        <v>6</v>
      </c>
      <c r="KF27" s="563">
        <v>1</v>
      </c>
      <c r="KG27" s="563">
        <v>8</v>
      </c>
      <c r="KH27" s="563">
        <v>30.529609796355569</v>
      </c>
      <c r="KI27" s="650">
        <v>8436.1873842648638</v>
      </c>
      <c r="KJ27" s="563">
        <v>0</v>
      </c>
      <c r="KK27" s="563">
        <v>0</v>
      </c>
      <c r="KL27" s="563">
        <v>0</v>
      </c>
      <c r="KM27" s="650">
        <v>4204.3417749909613</v>
      </c>
      <c r="KN27" s="564">
        <v>4000</v>
      </c>
      <c r="KO27" s="566">
        <v>167.55160819145564</v>
      </c>
    </row>
    <row r="28" spans="1:301" ht="15" customHeight="1">
      <c r="A28" s="663" t="s">
        <v>805</v>
      </c>
      <c r="B28" s="629" t="s">
        <v>386</v>
      </c>
      <c r="C28" s="629">
        <v>460</v>
      </c>
      <c r="D28" s="629">
        <v>900</v>
      </c>
      <c r="E28" s="629">
        <v>400</v>
      </c>
      <c r="F28" s="629">
        <v>350</v>
      </c>
      <c r="G28" s="629">
        <v>231</v>
      </c>
      <c r="H28" s="629">
        <v>154</v>
      </c>
      <c r="I28" s="629">
        <v>106.5</v>
      </c>
      <c r="J28" s="629">
        <v>34.5</v>
      </c>
      <c r="K28" s="629">
        <v>46.37</v>
      </c>
      <c r="L28" s="629">
        <v>12</v>
      </c>
      <c r="M28" s="629">
        <v>386</v>
      </c>
      <c r="N28" s="629">
        <v>5</v>
      </c>
      <c r="O28" s="623">
        <v>20.037470643677402</v>
      </c>
      <c r="P28" s="629">
        <v>5</v>
      </c>
      <c r="Q28" s="623">
        <v>12.09032561930065</v>
      </c>
      <c r="R28" s="629">
        <v>18.000000000000004</v>
      </c>
      <c r="S28" s="629">
        <v>646.37389965873854</v>
      </c>
      <c r="T28" s="645">
        <v>46.366003765845818</v>
      </c>
      <c r="U28" s="645">
        <v>96.956084948810783</v>
      </c>
      <c r="V28" s="645">
        <v>85</v>
      </c>
      <c r="W28" s="793">
        <v>3.694790925090838</v>
      </c>
      <c r="X28" s="646">
        <v>0</v>
      </c>
      <c r="Y28" s="646">
        <v>0</v>
      </c>
      <c r="Z28" s="646">
        <v>0</v>
      </c>
      <c r="AA28" s="646">
        <v>0</v>
      </c>
      <c r="AB28" s="647">
        <v>19.922132474743137</v>
      </c>
      <c r="AC28" s="784">
        <v>4000</v>
      </c>
      <c r="AD28" s="631">
        <v>0.59576856227772923</v>
      </c>
      <c r="AE28" s="631">
        <v>0.68728095860161309</v>
      </c>
      <c r="AF28" s="631">
        <v>-0.23688180991160718</v>
      </c>
      <c r="AG28" s="631">
        <v>0.82014815072606806</v>
      </c>
      <c r="AH28" s="629"/>
      <c r="AI28" s="648">
        <v>3.4189455466579326</v>
      </c>
      <c r="AJ28" s="649">
        <v>28.416277800000003</v>
      </c>
      <c r="AK28" s="646">
        <v>110.60486875391472</v>
      </c>
      <c r="AL28" s="646">
        <v>0</v>
      </c>
      <c r="AM28" s="646">
        <v>0</v>
      </c>
      <c r="AN28" s="646">
        <v>53.147500631842547</v>
      </c>
      <c r="AO28" s="646">
        <v>10.335323548762608</v>
      </c>
      <c r="AP28" s="801">
        <v>3300</v>
      </c>
      <c r="AQ28" s="563" t="s">
        <v>71</v>
      </c>
      <c r="AR28" s="563">
        <v>6</v>
      </c>
      <c r="AS28" s="563">
        <v>0</v>
      </c>
      <c r="AT28" s="563">
        <v>0</v>
      </c>
      <c r="AU28" s="563">
        <v>0</v>
      </c>
      <c r="AV28" s="650">
        <v>3832.8717234674223</v>
      </c>
      <c r="AW28" s="563">
        <v>0</v>
      </c>
      <c r="AX28" s="563">
        <v>0</v>
      </c>
      <c r="AY28" s="563">
        <v>0</v>
      </c>
      <c r="AZ28" s="650">
        <v>4548.968991286064</v>
      </c>
      <c r="BA28" s="564">
        <v>3832.8717234674223</v>
      </c>
      <c r="BB28" s="565">
        <v>180.61982472895954</v>
      </c>
      <c r="BC28" s="649">
        <v>28.416277800000003</v>
      </c>
      <c r="BD28" s="646">
        <v>110.60486875391472</v>
      </c>
      <c r="BE28" s="646">
        <v>0</v>
      </c>
      <c r="BF28" s="646">
        <v>0</v>
      </c>
      <c r="BG28" s="646">
        <v>53.147500631842547</v>
      </c>
      <c r="BH28" s="646">
        <v>10.335323548762608</v>
      </c>
      <c r="BI28" s="646">
        <v>3600</v>
      </c>
      <c r="BJ28" s="563" t="s">
        <v>71</v>
      </c>
      <c r="BK28" s="563">
        <v>6</v>
      </c>
      <c r="BL28" s="563">
        <v>0</v>
      </c>
      <c r="BM28" s="563">
        <v>0</v>
      </c>
      <c r="BN28" s="563">
        <v>0</v>
      </c>
      <c r="BO28" s="650">
        <v>3832.8717234674223</v>
      </c>
      <c r="BP28" s="563">
        <v>0</v>
      </c>
      <c r="BQ28" s="563">
        <v>0</v>
      </c>
      <c r="BR28" s="563">
        <v>0</v>
      </c>
      <c r="BS28" s="650">
        <v>4548.968991286064</v>
      </c>
      <c r="BT28" s="564">
        <v>3832.8717234674223</v>
      </c>
      <c r="BU28" s="565">
        <v>180.61982472895954</v>
      </c>
      <c r="BV28" s="649">
        <v>28.416277800000003</v>
      </c>
      <c r="BW28" s="646">
        <v>110.60486875391472</v>
      </c>
      <c r="BX28" s="646">
        <v>0</v>
      </c>
      <c r="BY28" s="646">
        <v>0</v>
      </c>
      <c r="BZ28" s="646">
        <v>53.147500631842547</v>
      </c>
      <c r="CA28" s="646">
        <v>10.335323548762608</v>
      </c>
      <c r="CB28" s="646">
        <v>3300</v>
      </c>
      <c r="CC28" s="563" t="s">
        <v>1584</v>
      </c>
      <c r="CD28" s="563">
        <v>6</v>
      </c>
      <c r="CE28" s="563">
        <v>0</v>
      </c>
      <c r="CF28" s="563">
        <v>0</v>
      </c>
      <c r="CG28" s="563">
        <v>0</v>
      </c>
      <c r="CH28" s="650">
        <v>3755.431988814853</v>
      </c>
      <c r="CI28" s="563">
        <v>0</v>
      </c>
      <c r="CJ28" s="563">
        <v>0</v>
      </c>
      <c r="CK28" s="563">
        <v>0</v>
      </c>
      <c r="CL28" s="650">
        <v>4457.0611537575833</v>
      </c>
      <c r="CM28" s="564">
        <v>3755.431988814853</v>
      </c>
      <c r="CN28" s="565">
        <v>176.9705632067527</v>
      </c>
      <c r="CO28" s="649">
        <v>28.416277800000003</v>
      </c>
      <c r="CP28" s="646">
        <v>110.60486875391472</v>
      </c>
      <c r="CQ28" s="646">
        <v>0</v>
      </c>
      <c r="CR28" s="646">
        <v>0</v>
      </c>
      <c r="CS28" s="646">
        <v>53.147500631842547</v>
      </c>
      <c r="CT28" s="646">
        <v>10.335323548762608</v>
      </c>
      <c r="CU28" s="646">
        <v>3600</v>
      </c>
      <c r="CV28" s="563" t="s">
        <v>1584</v>
      </c>
      <c r="CW28" s="563">
        <v>6</v>
      </c>
      <c r="CX28" s="563">
        <v>0</v>
      </c>
      <c r="CY28" s="563">
        <v>0</v>
      </c>
      <c r="CZ28" s="563">
        <v>0</v>
      </c>
      <c r="DA28" s="650">
        <v>3755.431988814853</v>
      </c>
      <c r="DB28" s="563">
        <v>0</v>
      </c>
      <c r="DC28" s="563">
        <v>0</v>
      </c>
      <c r="DD28" s="563">
        <v>0</v>
      </c>
      <c r="DE28" s="650">
        <v>4457.0611537575833</v>
      </c>
      <c r="DF28" s="564">
        <v>3755.431988814853</v>
      </c>
      <c r="DG28" s="565">
        <v>176.9705632067527</v>
      </c>
      <c r="DH28" s="649">
        <v>28.416277800000003</v>
      </c>
      <c r="DI28" s="646">
        <v>110.60486875391472</v>
      </c>
      <c r="DJ28" s="646">
        <v>0</v>
      </c>
      <c r="DK28" s="646">
        <v>0</v>
      </c>
      <c r="DL28" s="646">
        <v>53.147500631842547</v>
      </c>
      <c r="DM28" s="646">
        <v>10.335323548762608</v>
      </c>
      <c r="DN28" s="646">
        <v>3300</v>
      </c>
      <c r="DO28" s="563" t="s">
        <v>1588</v>
      </c>
      <c r="DP28" s="563">
        <v>6</v>
      </c>
      <c r="DQ28" s="563">
        <v>0</v>
      </c>
      <c r="DR28" s="563">
        <v>0</v>
      </c>
      <c r="DS28" s="563">
        <v>0</v>
      </c>
      <c r="DT28" s="650">
        <v>3908.7775422116792</v>
      </c>
      <c r="DU28" s="563">
        <v>0</v>
      </c>
      <c r="DV28" s="563">
        <v>0</v>
      </c>
      <c r="DW28" s="563">
        <v>0</v>
      </c>
      <c r="DX28" s="650">
        <v>4639.0563306592267</v>
      </c>
      <c r="DY28" s="564">
        <v>3908.7775422116792</v>
      </c>
      <c r="DZ28" s="565">
        <v>184.19680216693467</v>
      </c>
      <c r="EA28" s="649">
        <v>28.416277800000003</v>
      </c>
      <c r="EB28" s="646">
        <v>110.60486875391472</v>
      </c>
      <c r="EC28" s="646">
        <v>0</v>
      </c>
      <c r="ED28" s="646">
        <v>0</v>
      </c>
      <c r="EE28" s="646">
        <v>53.147500631842547</v>
      </c>
      <c r="EF28" s="646">
        <v>10.335323548762608</v>
      </c>
      <c r="EG28" s="646">
        <v>3600</v>
      </c>
      <c r="EH28" s="563" t="s">
        <v>1588</v>
      </c>
      <c r="EI28" s="563">
        <v>6</v>
      </c>
      <c r="EJ28" s="563">
        <v>0</v>
      </c>
      <c r="EK28" s="563">
        <v>0</v>
      </c>
      <c r="EL28" s="563">
        <v>0</v>
      </c>
      <c r="EM28" s="650">
        <v>3908.7775422116792</v>
      </c>
      <c r="EN28" s="563">
        <v>0</v>
      </c>
      <c r="EO28" s="563">
        <v>0</v>
      </c>
      <c r="EP28" s="563">
        <v>0</v>
      </c>
      <c r="EQ28" s="650">
        <v>4639.0563306592267</v>
      </c>
      <c r="ER28" s="564">
        <v>3908.7775422116792</v>
      </c>
      <c r="ES28" s="565">
        <v>184.19680216693467</v>
      </c>
      <c r="ET28" s="649">
        <v>28.416277800000003</v>
      </c>
      <c r="EU28" s="646">
        <v>110.60486875391472</v>
      </c>
      <c r="EV28" s="646">
        <v>0</v>
      </c>
      <c r="EW28" s="646">
        <v>0</v>
      </c>
      <c r="EX28" s="646">
        <v>53.147500631842547</v>
      </c>
      <c r="EY28" s="646">
        <v>10.335323548762608</v>
      </c>
      <c r="EZ28" s="646">
        <v>3300</v>
      </c>
      <c r="FA28" s="563" t="s">
        <v>1589</v>
      </c>
      <c r="FB28" s="563">
        <v>6</v>
      </c>
      <c r="FC28" s="563">
        <v>0</v>
      </c>
      <c r="FD28" s="563">
        <v>0</v>
      </c>
      <c r="FE28" s="563">
        <v>0</v>
      </c>
      <c r="FF28" s="650">
        <v>4163.5644182954866</v>
      </c>
      <c r="FG28" s="563">
        <v>0</v>
      </c>
      <c r="FH28" s="563">
        <v>0</v>
      </c>
      <c r="FI28" s="563">
        <v>0</v>
      </c>
      <c r="FJ28" s="650">
        <v>4941.4451613616984</v>
      </c>
      <c r="FK28" s="564">
        <v>4000</v>
      </c>
      <c r="FL28" s="565">
        <v>188.49555921538757</v>
      </c>
      <c r="FM28" s="649">
        <v>28.416277800000003</v>
      </c>
      <c r="FN28" s="646">
        <v>110.60486875391472</v>
      </c>
      <c r="FO28" s="646">
        <v>0</v>
      </c>
      <c r="FP28" s="646">
        <v>0</v>
      </c>
      <c r="FQ28" s="646">
        <v>53.147500631842547</v>
      </c>
      <c r="FR28" s="646">
        <v>10.335323548762608</v>
      </c>
      <c r="FS28" s="646">
        <v>3600</v>
      </c>
      <c r="FT28" s="563" t="s">
        <v>1589</v>
      </c>
      <c r="FU28" s="563">
        <v>6</v>
      </c>
      <c r="FV28" s="563">
        <v>0</v>
      </c>
      <c r="FW28" s="563">
        <v>0</v>
      </c>
      <c r="FX28" s="563">
        <v>0</v>
      </c>
      <c r="FY28" s="650">
        <v>4163.5644182954866</v>
      </c>
      <c r="FZ28" s="563">
        <v>0</v>
      </c>
      <c r="GA28" s="563">
        <v>0</v>
      </c>
      <c r="GB28" s="563">
        <v>0</v>
      </c>
      <c r="GC28" s="650">
        <v>4941.4451613616984</v>
      </c>
      <c r="GD28" s="564">
        <v>4000</v>
      </c>
      <c r="GE28" s="565">
        <v>188.49555921538757</v>
      </c>
      <c r="GF28" s="649">
        <v>18.944185200000003</v>
      </c>
      <c r="GG28" s="646">
        <v>101.13277615391472</v>
      </c>
      <c r="GH28" s="646">
        <v>0</v>
      </c>
      <c r="GI28" s="646">
        <v>0</v>
      </c>
      <c r="GJ28" s="646">
        <v>50.91347629918922</v>
      </c>
      <c r="GK28" s="646">
        <v>9.1257373237426087</v>
      </c>
      <c r="GL28" s="646">
        <v>3300</v>
      </c>
      <c r="GM28" s="563" t="s">
        <v>1587</v>
      </c>
      <c r="GN28" s="563">
        <v>4</v>
      </c>
      <c r="GO28" s="563">
        <v>0</v>
      </c>
      <c r="GP28" s="563">
        <v>0</v>
      </c>
      <c r="GQ28" s="563">
        <v>0</v>
      </c>
      <c r="GR28" s="650">
        <v>3645.5695268684049</v>
      </c>
      <c r="GS28" s="563">
        <v>0</v>
      </c>
      <c r="GT28" s="563">
        <v>0</v>
      </c>
      <c r="GU28" s="563">
        <v>0</v>
      </c>
      <c r="GV28" s="650">
        <v>3997.5972337596281</v>
      </c>
      <c r="GW28" s="564">
        <v>3645.5695268684049</v>
      </c>
      <c r="GX28" s="565">
        <v>171.79341665640899</v>
      </c>
      <c r="GY28" s="649">
        <v>18.944185200000003</v>
      </c>
      <c r="GZ28" s="646">
        <v>101.13277615391472</v>
      </c>
      <c r="HA28" s="646">
        <v>0</v>
      </c>
      <c r="HB28" s="646">
        <v>0</v>
      </c>
      <c r="HC28" s="646">
        <v>50.91347629918922</v>
      </c>
      <c r="HD28" s="646">
        <v>9.1257373237426087</v>
      </c>
      <c r="HE28" s="646">
        <v>3600</v>
      </c>
      <c r="HF28" s="563" t="s">
        <v>1587</v>
      </c>
      <c r="HG28" s="563">
        <v>4</v>
      </c>
      <c r="HH28" s="563">
        <v>0</v>
      </c>
      <c r="HI28" s="563">
        <v>0</v>
      </c>
      <c r="HJ28" s="563">
        <v>0</v>
      </c>
      <c r="HK28" s="650">
        <v>3645.5695268684049</v>
      </c>
      <c r="HL28" s="563">
        <v>0</v>
      </c>
      <c r="HM28" s="563">
        <v>0</v>
      </c>
      <c r="HN28" s="563">
        <v>0</v>
      </c>
      <c r="HO28" s="650">
        <v>3997.5972337596281</v>
      </c>
      <c r="HP28" s="564">
        <v>3645.5695268684049</v>
      </c>
      <c r="HQ28" s="565">
        <v>171.79341665640899</v>
      </c>
      <c r="HR28" s="649">
        <v>23.680231500000005</v>
      </c>
      <c r="HS28" s="646">
        <v>105.86882245391472</v>
      </c>
      <c r="HT28" s="646">
        <v>0</v>
      </c>
      <c r="HU28" s="646">
        <v>0</v>
      </c>
      <c r="HV28" s="646">
        <v>52.080458052545993</v>
      </c>
      <c r="HW28" s="646">
        <v>9.7305304362526073</v>
      </c>
      <c r="HX28" s="646">
        <v>3300</v>
      </c>
      <c r="HY28" s="563" t="s">
        <v>68</v>
      </c>
      <c r="HZ28" s="563">
        <v>5</v>
      </c>
      <c r="IA28" s="563">
        <v>0</v>
      </c>
      <c r="IB28" s="563">
        <v>0</v>
      </c>
      <c r="IC28" s="563">
        <v>0</v>
      </c>
      <c r="ID28" s="650">
        <v>3792.5744649642934</v>
      </c>
      <c r="IE28" s="563">
        <v>0</v>
      </c>
      <c r="IF28" s="563">
        <v>0</v>
      </c>
      <c r="IG28" s="563">
        <v>0</v>
      </c>
      <c r="IH28" s="650">
        <v>4268.1526980930566</v>
      </c>
      <c r="II28" s="564">
        <v>3792.5744649642934</v>
      </c>
      <c r="IJ28" s="565">
        <v>178.72086115986096</v>
      </c>
      <c r="IK28" s="649">
        <v>23.680231500000005</v>
      </c>
      <c r="IL28" s="646">
        <v>105.86882245391472</v>
      </c>
      <c r="IM28" s="646">
        <v>0</v>
      </c>
      <c r="IN28" s="646">
        <v>0</v>
      </c>
      <c r="IO28" s="646">
        <v>52.080458052545993</v>
      </c>
      <c r="IP28" s="646">
        <v>9.7305304362526073</v>
      </c>
      <c r="IQ28" s="646">
        <v>3600</v>
      </c>
      <c r="IR28" s="563" t="s">
        <v>68</v>
      </c>
      <c r="IS28" s="563">
        <v>5</v>
      </c>
      <c r="IT28" s="563">
        <v>0</v>
      </c>
      <c r="IU28" s="563">
        <v>0</v>
      </c>
      <c r="IV28" s="563">
        <v>0</v>
      </c>
      <c r="IW28" s="650">
        <v>3792.5744649642934</v>
      </c>
      <c r="IX28" s="563">
        <v>0</v>
      </c>
      <c r="IY28" s="563">
        <v>0</v>
      </c>
      <c r="IZ28" s="563">
        <v>0</v>
      </c>
      <c r="JA28" s="650">
        <v>4268.1526980930566</v>
      </c>
      <c r="JB28" s="564">
        <v>3792.5744649642934</v>
      </c>
      <c r="JC28" s="565">
        <v>178.72086115986096</v>
      </c>
      <c r="JD28" s="649">
        <v>14.208138900000002</v>
      </c>
      <c r="JE28" s="646">
        <v>96.396729853914707</v>
      </c>
      <c r="JF28" s="646">
        <v>0</v>
      </c>
      <c r="JG28" s="646">
        <v>0</v>
      </c>
      <c r="JH28" s="646">
        <v>49.63182510375637</v>
      </c>
      <c r="JI28" s="646">
        <v>8.5209442112326066</v>
      </c>
      <c r="JJ28" s="646">
        <v>3300</v>
      </c>
      <c r="JK28" s="563" t="s">
        <v>67</v>
      </c>
      <c r="JL28" s="563">
        <v>3</v>
      </c>
      <c r="JM28" s="563">
        <v>0</v>
      </c>
      <c r="JN28" s="563">
        <v>0</v>
      </c>
      <c r="JO28" s="563">
        <v>0</v>
      </c>
      <c r="JP28" s="650">
        <v>3660.5529220943381</v>
      </c>
      <c r="JQ28" s="563">
        <v>0</v>
      </c>
      <c r="JR28" s="563">
        <v>0</v>
      </c>
      <c r="JS28" s="563">
        <v>0</v>
      </c>
      <c r="JT28" s="650">
        <v>3953.3956275097703</v>
      </c>
      <c r="JU28" s="564">
        <v>3660.5529220943381</v>
      </c>
      <c r="JV28" s="565">
        <v>172.49949252192334</v>
      </c>
      <c r="JW28" s="649">
        <v>14.208138900000002</v>
      </c>
      <c r="JX28" s="646">
        <v>96.396729853914707</v>
      </c>
      <c r="JY28" s="646">
        <v>0</v>
      </c>
      <c r="JZ28" s="646">
        <v>0</v>
      </c>
      <c r="KA28" s="646">
        <v>49.63182510375637</v>
      </c>
      <c r="KB28" s="646">
        <v>8.5209442112326066</v>
      </c>
      <c r="KC28" s="646">
        <v>3600</v>
      </c>
      <c r="KD28" s="563" t="s">
        <v>67</v>
      </c>
      <c r="KE28" s="563">
        <v>3</v>
      </c>
      <c r="KF28" s="563">
        <v>0</v>
      </c>
      <c r="KG28" s="563">
        <v>0</v>
      </c>
      <c r="KH28" s="563">
        <v>0</v>
      </c>
      <c r="KI28" s="650">
        <v>3660.5529220943381</v>
      </c>
      <c r="KJ28" s="563">
        <v>0</v>
      </c>
      <c r="KK28" s="563">
        <v>0</v>
      </c>
      <c r="KL28" s="563">
        <v>0</v>
      </c>
      <c r="KM28" s="650">
        <v>3953.3956275097703</v>
      </c>
      <c r="KN28" s="564">
        <v>3660.5529220943381</v>
      </c>
      <c r="KO28" s="566">
        <v>172.49949252192334</v>
      </c>
    </row>
    <row r="29" spans="1:301" ht="15" customHeight="1">
      <c r="A29" s="663" t="s">
        <v>806</v>
      </c>
      <c r="B29" s="629" t="s">
        <v>386</v>
      </c>
      <c r="C29" s="629">
        <v>437</v>
      </c>
      <c r="D29" s="629">
        <v>900</v>
      </c>
      <c r="E29" s="629">
        <v>450</v>
      </c>
      <c r="F29" s="629">
        <v>400</v>
      </c>
      <c r="G29" s="629">
        <v>272</v>
      </c>
      <c r="H29" s="629">
        <v>166</v>
      </c>
      <c r="I29" s="629">
        <v>118</v>
      </c>
      <c r="J29" s="629">
        <v>34.5</v>
      </c>
      <c r="K29" s="629">
        <v>46.37</v>
      </c>
      <c r="L29" s="629">
        <v>10</v>
      </c>
      <c r="M29" s="629">
        <v>369</v>
      </c>
      <c r="N29" s="629">
        <v>5</v>
      </c>
      <c r="O29" s="623">
        <v>18.727328332360031</v>
      </c>
      <c r="P29" s="629">
        <v>5</v>
      </c>
      <c r="Q29" s="623">
        <v>12.91261533208236</v>
      </c>
      <c r="R29" s="629">
        <v>18.000000000000004</v>
      </c>
      <c r="S29" s="629">
        <v>625.39969452896412</v>
      </c>
      <c r="T29" s="645">
        <v>43.405760799831668</v>
      </c>
      <c r="U29" s="645">
        <v>93.809954179344615</v>
      </c>
      <c r="V29" s="645">
        <v>97.5</v>
      </c>
      <c r="W29" s="793">
        <v>3.9675578231096122</v>
      </c>
      <c r="X29" s="646">
        <v>0</v>
      </c>
      <c r="Y29" s="646">
        <v>0</v>
      </c>
      <c r="Z29" s="646">
        <v>0</v>
      </c>
      <c r="AA29" s="646">
        <v>0</v>
      </c>
      <c r="AB29" s="647">
        <v>22.543751082228962</v>
      </c>
      <c r="AC29" s="784">
        <v>4000</v>
      </c>
      <c r="AD29" s="631">
        <v>0.55708342359556406</v>
      </c>
      <c r="AE29" s="631">
        <v>0.68728095860161309</v>
      </c>
      <c r="AF29" s="631">
        <v>-0.33126556740946189</v>
      </c>
      <c r="AG29" s="631">
        <v>0.88510298460532677</v>
      </c>
      <c r="AH29" s="629"/>
      <c r="AI29" s="648">
        <v>3.2926766456760377</v>
      </c>
      <c r="AJ29" s="649">
        <v>32.905944000000005</v>
      </c>
      <c r="AK29" s="646">
        <v>111.91920628738367</v>
      </c>
      <c r="AL29" s="646">
        <v>0</v>
      </c>
      <c r="AM29" s="646">
        <v>0</v>
      </c>
      <c r="AN29" s="646">
        <v>57.686985985218236</v>
      </c>
      <c r="AO29" s="646">
        <v>10.548247571559223</v>
      </c>
      <c r="AP29" s="801">
        <v>3400</v>
      </c>
      <c r="AQ29" s="563" t="s">
        <v>71</v>
      </c>
      <c r="AR29" s="563">
        <v>8</v>
      </c>
      <c r="AS29" s="563">
        <v>0</v>
      </c>
      <c r="AT29" s="563">
        <v>0</v>
      </c>
      <c r="AU29" s="563">
        <v>0</v>
      </c>
      <c r="AV29" s="650">
        <v>6517.2726772723527</v>
      </c>
      <c r="AW29" s="563">
        <v>0</v>
      </c>
      <c r="AX29" s="563">
        <v>0</v>
      </c>
      <c r="AY29" s="563">
        <v>0</v>
      </c>
      <c r="AZ29" s="650">
        <v>15945.959148922509</v>
      </c>
      <c r="BA29" s="564">
        <v>4000</v>
      </c>
      <c r="BB29" s="565">
        <v>188.49555921538757</v>
      </c>
      <c r="BC29" s="649">
        <v>32.905944000000005</v>
      </c>
      <c r="BD29" s="646">
        <v>111.91920628738367</v>
      </c>
      <c r="BE29" s="646">
        <v>0</v>
      </c>
      <c r="BF29" s="646">
        <v>0</v>
      </c>
      <c r="BG29" s="646">
        <v>57.686985985218236</v>
      </c>
      <c r="BH29" s="646">
        <v>10.548247571559223</v>
      </c>
      <c r="BI29" s="646">
        <v>3600</v>
      </c>
      <c r="BJ29" s="563" t="s">
        <v>71</v>
      </c>
      <c r="BK29" s="563">
        <v>8</v>
      </c>
      <c r="BL29" s="563">
        <v>0</v>
      </c>
      <c r="BM29" s="563">
        <v>0</v>
      </c>
      <c r="BN29" s="563">
        <v>0</v>
      </c>
      <c r="BO29" s="650">
        <v>6517.2726772723527</v>
      </c>
      <c r="BP29" s="563">
        <v>0</v>
      </c>
      <c r="BQ29" s="563">
        <v>0</v>
      </c>
      <c r="BR29" s="563">
        <v>0</v>
      </c>
      <c r="BS29" s="650">
        <v>15945.959148922509</v>
      </c>
      <c r="BT29" s="564">
        <v>4000</v>
      </c>
      <c r="BU29" s="565">
        <v>188.49555921538757</v>
      </c>
      <c r="BV29" s="649">
        <v>32.905944000000005</v>
      </c>
      <c r="BW29" s="646">
        <v>111.91920628738367</v>
      </c>
      <c r="BX29" s="646">
        <v>0</v>
      </c>
      <c r="BY29" s="646">
        <v>0</v>
      </c>
      <c r="BZ29" s="646">
        <v>57.686985985218236</v>
      </c>
      <c r="CA29" s="646">
        <v>10.548247571559223</v>
      </c>
      <c r="CB29" s="646">
        <v>3400</v>
      </c>
      <c r="CC29" s="563" t="s">
        <v>1584</v>
      </c>
      <c r="CD29" s="563">
        <v>8</v>
      </c>
      <c r="CE29" s="563">
        <v>0</v>
      </c>
      <c r="CF29" s="563">
        <v>0</v>
      </c>
      <c r="CG29" s="563">
        <v>0</v>
      </c>
      <c r="CH29" s="650">
        <v>6385.597029559879</v>
      </c>
      <c r="CI29" s="563">
        <v>0</v>
      </c>
      <c r="CJ29" s="563">
        <v>0</v>
      </c>
      <c r="CK29" s="563">
        <v>0</v>
      </c>
      <c r="CL29" s="650">
        <v>15623.785349650081</v>
      </c>
      <c r="CM29" s="564">
        <v>4000</v>
      </c>
      <c r="CN29" s="565">
        <v>188.49555921538757</v>
      </c>
      <c r="CO29" s="649">
        <v>32.905944000000005</v>
      </c>
      <c r="CP29" s="646">
        <v>111.91920628738367</v>
      </c>
      <c r="CQ29" s="646">
        <v>0</v>
      </c>
      <c r="CR29" s="646">
        <v>0</v>
      </c>
      <c r="CS29" s="646">
        <v>57.686985985218236</v>
      </c>
      <c r="CT29" s="646">
        <v>10.548247571559223</v>
      </c>
      <c r="CU29" s="646">
        <v>3600</v>
      </c>
      <c r="CV29" s="563" t="s">
        <v>1584</v>
      </c>
      <c r="CW29" s="563">
        <v>8</v>
      </c>
      <c r="CX29" s="563">
        <v>0</v>
      </c>
      <c r="CY29" s="563">
        <v>0</v>
      </c>
      <c r="CZ29" s="563">
        <v>0</v>
      </c>
      <c r="DA29" s="650">
        <v>6385.597029559879</v>
      </c>
      <c r="DB29" s="563">
        <v>0</v>
      </c>
      <c r="DC29" s="563">
        <v>0</v>
      </c>
      <c r="DD29" s="563">
        <v>0</v>
      </c>
      <c r="DE29" s="650">
        <v>15623.785349650081</v>
      </c>
      <c r="DF29" s="564">
        <v>4000</v>
      </c>
      <c r="DG29" s="565">
        <v>188.49555921538757</v>
      </c>
      <c r="DH29" s="649">
        <v>32.905944000000005</v>
      </c>
      <c r="DI29" s="646">
        <v>111.91920628738367</v>
      </c>
      <c r="DJ29" s="646">
        <v>0</v>
      </c>
      <c r="DK29" s="646">
        <v>0</v>
      </c>
      <c r="DL29" s="646">
        <v>57.686985985218236</v>
      </c>
      <c r="DM29" s="646">
        <v>10.548247571559223</v>
      </c>
      <c r="DN29" s="646">
        <v>3400</v>
      </c>
      <c r="DO29" s="563" t="s">
        <v>1588</v>
      </c>
      <c r="DP29" s="563">
        <v>8</v>
      </c>
      <c r="DQ29" s="563">
        <v>0</v>
      </c>
      <c r="DR29" s="563">
        <v>0</v>
      </c>
      <c r="DS29" s="563">
        <v>0</v>
      </c>
      <c r="DT29" s="650">
        <v>6646.3401113633654</v>
      </c>
      <c r="DU29" s="563">
        <v>0</v>
      </c>
      <c r="DV29" s="563">
        <v>0</v>
      </c>
      <c r="DW29" s="563">
        <v>0</v>
      </c>
      <c r="DX29" s="650">
        <v>16261.751372661824</v>
      </c>
      <c r="DY29" s="564">
        <v>4000</v>
      </c>
      <c r="DZ29" s="565">
        <v>188.49555921538757</v>
      </c>
      <c r="EA29" s="649">
        <v>32.905944000000005</v>
      </c>
      <c r="EB29" s="646">
        <v>111.91920628738367</v>
      </c>
      <c r="EC29" s="646">
        <v>0</v>
      </c>
      <c r="ED29" s="646">
        <v>0</v>
      </c>
      <c r="EE29" s="646">
        <v>57.686985985218236</v>
      </c>
      <c r="EF29" s="646">
        <v>10.548247571559223</v>
      </c>
      <c r="EG29" s="646">
        <v>3600</v>
      </c>
      <c r="EH29" s="563" t="s">
        <v>1588</v>
      </c>
      <c r="EI29" s="563">
        <v>8</v>
      </c>
      <c r="EJ29" s="563">
        <v>0</v>
      </c>
      <c r="EK29" s="563">
        <v>0</v>
      </c>
      <c r="EL29" s="563">
        <v>0</v>
      </c>
      <c r="EM29" s="650">
        <v>6646.3401113633654</v>
      </c>
      <c r="EN29" s="563">
        <v>0</v>
      </c>
      <c r="EO29" s="563">
        <v>0</v>
      </c>
      <c r="EP29" s="563">
        <v>0</v>
      </c>
      <c r="EQ29" s="650">
        <v>16261.751372661824</v>
      </c>
      <c r="ER29" s="564">
        <v>4000</v>
      </c>
      <c r="ES29" s="565">
        <v>188.49555921538757</v>
      </c>
      <c r="ET29" s="649">
        <v>24.679458000000004</v>
      </c>
      <c r="EU29" s="646">
        <v>103.69272028738368</v>
      </c>
      <c r="EV29" s="646">
        <v>0</v>
      </c>
      <c r="EW29" s="646">
        <v>0</v>
      </c>
      <c r="EX29" s="646">
        <v>55.678772150792064</v>
      </c>
      <c r="EY29" s="646">
        <v>9.5189403884424735</v>
      </c>
      <c r="EZ29" s="646">
        <v>3400</v>
      </c>
      <c r="FA29" s="563" t="s">
        <v>1589</v>
      </c>
      <c r="FB29" s="563">
        <v>6</v>
      </c>
      <c r="FC29" s="563">
        <v>0</v>
      </c>
      <c r="FD29" s="563">
        <v>0</v>
      </c>
      <c r="FE29" s="563">
        <v>0</v>
      </c>
      <c r="FF29" s="650">
        <v>3914.2556321517759</v>
      </c>
      <c r="FG29" s="563">
        <v>0</v>
      </c>
      <c r="FH29" s="563">
        <v>0</v>
      </c>
      <c r="FI29" s="563">
        <v>0</v>
      </c>
      <c r="FJ29" s="650">
        <v>4246.8325445374267</v>
      </c>
      <c r="FK29" s="564">
        <v>3914.2556321517759</v>
      </c>
      <c r="FL29" s="565">
        <v>184.45495107360736</v>
      </c>
      <c r="FM29" s="649">
        <v>24.679458000000004</v>
      </c>
      <c r="FN29" s="646">
        <v>103.69272028738368</v>
      </c>
      <c r="FO29" s="646">
        <v>0</v>
      </c>
      <c r="FP29" s="646">
        <v>0</v>
      </c>
      <c r="FQ29" s="646">
        <v>55.678772150792064</v>
      </c>
      <c r="FR29" s="646">
        <v>9.5189403884424735</v>
      </c>
      <c r="FS29" s="646">
        <v>3600</v>
      </c>
      <c r="FT29" s="563" t="s">
        <v>1589</v>
      </c>
      <c r="FU29" s="563">
        <v>6</v>
      </c>
      <c r="FV29" s="563">
        <v>0</v>
      </c>
      <c r="FW29" s="563">
        <v>0</v>
      </c>
      <c r="FX29" s="563">
        <v>0</v>
      </c>
      <c r="FY29" s="650">
        <v>3914.2556321517759</v>
      </c>
      <c r="FZ29" s="563">
        <v>0</v>
      </c>
      <c r="GA29" s="563">
        <v>0</v>
      </c>
      <c r="GB29" s="563">
        <v>0</v>
      </c>
      <c r="GC29" s="650">
        <v>4246.8325445374267</v>
      </c>
      <c r="GD29" s="564">
        <v>3914.2556321517759</v>
      </c>
      <c r="GE29" s="565">
        <v>184.45495107360736</v>
      </c>
      <c r="GF29" s="649">
        <v>20.566215000000003</v>
      </c>
      <c r="GG29" s="646">
        <v>99.579477287383668</v>
      </c>
      <c r="GH29" s="646">
        <v>0</v>
      </c>
      <c r="GI29" s="646">
        <v>0</v>
      </c>
      <c r="GJ29" s="646">
        <v>54.550237915993492</v>
      </c>
      <c r="GK29" s="646">
        <v>9.0042867968840987</v>
      </c>
      <c r="GL29" s="646">
        <v>3400</v>
      </c>
      <c r="GM29" s="563" t="s">
        <v>1587</v>
      </c>
      <c r="GN29" s="563">
        <v>5</v>
      </c>
      <c r="GO29" s="563">
        <v>0</v>
      </c>
      <c r="GP29" s="563">
        <v>0</v>
      </c>
      <c r="GQ29" s="563">
        <v>0</v>
      </c>
      <c r="GR29" s="650">
        <v>4075.8478009649734</v>
      </c>
      <c r="GS29" s="563">
        <v>0</v>
      </c>
      <c r="GT29" s="563">
        <v>0</v>
      </c>
      <c r="GU29" s="563">
        <v>0</v>
      </c>
      <c r="GV29" s="650">
        <v>4253.6146379239181</v>
      </c>
      <c r="GW29" s="564">
        <v>4000</v>
      </c>
      <c r="GX29" s="565">
        <v>188.49555921538757</v>
      </c>
      <c r="GY29" s="649">
        <v>20.566215000000003</v>
      </c>
      <c r="GZ29" s="646">
        <v>99.579477287383668</v>
      </c>
      <c r="HA29" s="646">
        <v>0</v>
      </c>
      <c r="HB29" s="646">
        <v>0</v>
      </c>
      <c r="HC29" s="646">
        <v>54.550237915993492</v>
      </c>
      <c r="HD29" s="646">
        <v>9.0042867968840987</v>
      </c>
      <c r="HE29" s="646">
        <v>3600</v>
      </c>
      <c r="HF29" s="563" t="s">
        <v>1587</v>
      </c>
      <c r="HG29" s="563">
        <v>5</v>
      </c>
      <c r="HH29" s="563">
        <v>0</v>
      </c>
      <c r="HI29" s="563">
        <v>0</v>
      </c>
      <c r="HJ29" s="563">
        <v>0</v>
      </c>
      <c r="HK29" s="650">
        <v>4075.8478009649734</v>
      </c>
      <c r="HL29" s="563">
        <v>0</v>
      </c>
      <c r="HM29" s="563">
        <v>0</v>
      </c>
      <c r="HN29" s="563">
        <v>0</v>
      </c>
      <c r="HO29" s="650">
        <v>4253.6146379239181</v>
      </c>
      <c r="HP29" s="564">
        <v>4000</v>
      </c>
      <c r="HQ29" s="565">
        <v>188.49555921538757</v>
      </c>
      <c r="HR29" s="649">
        <v>24.679458000000004</v>
      </c>
      <c r="HS29" s="646">
        <v>103.69272028738368</v>
      </c>
      <c r="HT29" s="646">
        <v>0</v>
      </c>
      <c r="HU29" s="646">
        <v>0</v>
      </c>
      <c r="HV29" s="646">
        <v>55.678772150792064</v>
      </c>
      <c r="HW29" s="646">
        <v>9.5189403884424735</v>
      </c>
      <c r="HX29" s="646">
        <v>3400</v>
      </c>
      <c r="HY29" s="563" t="s">
        <v>68</v>
      </c>
      <c r="HZ29" s="563">
        <v>6</v>
      </c>
      <c r="IA29" s="563">
        <v>0</v>
      </c>
      <c r="IB29" s="563">
        <v>0</v>
      </c>
      <c r="IC29" s="563">
        <v>0</v>
      </c>
      <c r="ID29" s="650">
        <v>4263.55823539215</v>
      </c>
      <c r="IE29" s="563">
        <v>0</v>
      </c>
      <c r="IF29" s="563">
        <v>0</v>
      </c>
      <c r="IG29" s="563">
        <v>0</v>
      </c>
      <c r="IH29" s="650">
        <v>4625.8138382342258</v>
      </c>
      <c r="II29" s="564">
        <v>4000</v>
      </c>
      <c r="IJ29" s="565">
        <v>188.49555921538757</v>
      </c>
      <c r="IK29" s="649">
        <v>24.679458000000004</v>
      </c>
      <c r="IL29" s="646">
        <v>103.69272028738368</v>
      </c>
      <c r="IM29" s="646">
        <v>0</v>
      </c>
      <c r="IN29" s="646">
        <v>0</v>
      </c>
      <c r="IO29" s="646">
        <v>55.678772150792064</v>
      </c>
      <c r="IP29" s="646">
        <v>9.5189403884424735</v>
      </c>
      <c r="IQ29" s="646">
        <v>3600</v>
      </c>
      <c r="IR29" s="563" t="s">
        <v>68</v>
      </c>
      <c r="IS29" s="563">
        <v>6</v>
      </c>
      <c r="IT29" s="563">
        <v>0</v>
      </c>
      <c r="IU29" s="563">
        <v>0</v>
      </c>
      <c r="IV29" s="563">
        <v>0</v>
      </c>
      <c r="IW29" s="650">
        <v>4263.55823539215</v>
      </c>
      <c r="IX29" s="563">
        <v>0</v>
      </c>
      <c r="IY29" s="563">
        <v>0</v>
      </c>
      <c r="IZ29" s="563">
        <v>0</v>
      </c>
      <c r="JA29" s="650">
        <v>4625.8138382342258</v>
      </c>
      <c r="JB29" s="564">
        <v>4000</v>
      </c>
      <c r="JC29" s="565">
        <v>188.49555921538757</v>
      </c>
      <c r="JD29" s="649">
        <v>16.452972000000003</v>
      </c>
      <c r="JE29" s="646">
        <v>95.466234287383671</v>
      </c>
      <c r="JF29" s="646">
        <v>0</v>
      </c>
      <c r="JG29" s="646">
        <v>0</v>
      </c>
      <c r="JH29" s="646">
        <v>53.324455987783821</v>
      </c>
      <c r="JI29" s="646">
        <v>8.4896332053257222</v>
      </c>
      <c r="JJ29" s="646">
        <v>3400</v>
      </c>
      <c r="JK29" s="563" t="s">
        <v>67</v>
      </c>
      <c r="JL29" s="563">
        <v>4</v>
      </c>
      <c r="JM29" s="563">
        <v>0</v>
      </c>
      <c r="JN29" s="563">
        <v>0</v>
      </c>
      <c r="JO29" s="563">
        <v>0</v>
      </c>
      <c r="JP29" s="650">
        <v>4170.7807829285957</v>
      </c>
      <c r="JQ29" s="563">
        <v>0</v>
      </c>
      <c r="JR29" s="563">
        <v>0</v>
      </c>
      <c r="JS29" s="563">
        <v>0</v>
      </c>
      <c r="JT29" s="650">
        <v>4267.0730408726258</v>
      </c>
      <c r="JU29" s="564">
        <v>4000</v>
      </c>
      <c r="JV29" s="565">
        <v>188.49555921538757</v>
      </c>
      <c r="JW29" s="649">
        <v>16.452972000000003</v>
      </c>
      <c r="JX29" s="646">
        <v>95.466234287383671</v>
      </c>
      <c r="JY29" s="646">
        <v>0</v>
      </c>
      <c r="JZ29" s="646">
        <v>0</v>
      </c>
      <c r="KA29" s="646">
        <v>53.324455987783821</v>
      </c>
      <c r="KB29" s="646">
        <v>8.4896332053257222</v>
      </c>
      <c r="KC29" s="646">
        <v>3600</v>
      </c>
      <c r="KD29" s="563" t="s">
        <v>67</v>
      </c>
      <c r="KE29" s="563">
        <v>4</v>
      </c>
      <c r="KF29" s="563">
        <v>0</v>
      </c>
      <c r="KG29" s="563">
        <v>0</v>
      </c>
      <c r="KH29" s="563">
        <v>0</v>
      </c>
      <c r="KI29" s="650">
        <v>4170.7807829285957</v>
      </c>
      <c r="KJ29" s="563">
        <v>0</v>
      </c>
      <c r="KK29" s="563">
        <v>0</v>
      </c>
      <c r="KL29" s="563">
        <v>0</v>
      </c>
      <c r="KM29" s="650">
        <v>4267.0730408726258</v>
      </c>
      <c r="KN29" s="564">
        <v>4000</v>
      </c>
      <c r="KO29" s="566">
        <v>188.49555921538757</v>
      </c>
    </row>
    <row r="30" spans="1:301" ht="15" customHeight="1">
      <c r="A30" s="663" t="s">
        <v>807</v>
      </c>
      <c r="B30" s="629" t="s">
        <v>382</v>
      </c>
      <c r="C30" s="629">
        <v>485.5</v>
      </c>
      <c r="D30" s="629">
        <v>900</v>
      </c>
      <c r="E30" s="629">
        <v>500</v>
      </c>
      <c r="F30" s="629">
        <v>450</v>
      </c>
      <c r="G30" s="629">
        <v>272</v>
      </c>
      <c r="H30" s="629">
        <v>182</v>
      </c>
      <c r="I30" s="629">
        <v>124</v>
      </c>
      <c r="J30" s="629">
        <v>34.82</v>
      </c>
      <c r="K30" s="629">
        <v>44.86</v>
      </c>
      <c r="L30" s="629">
        <v>12</v>
      </c>
      <c r="M30" s="629">
        <v>341</v>
      </c>
      <c r="N30" s="629">
        <v>5</v>
      </c>
      <c r="O30" s="623">
        <v>17.263051631475914</v>
      </c>
      <c r="P30" s="629">
        <v>5</v>
      </c>
      <c r="Q30" s="623">
        <v>12.193318408277758</v>
      </c>
      <c r="R30" s="629">
        <v>18.000000000000004</v>
      </c>
      <c r="S30" s="629">
        <v>643.78428996120647</v>
      </c>
      <c r="T30" s="645">
        <v>45.99522972552824</v>
      </c>
      <c r="U30" s="645">
        <v>96.56764349418097</v>
      </c>
      <c r="V30" s="645">
        <v>110</v>
      </c>
      <c r="W30" s="793">
        <v>4.7432580654450982</v>
      </c>
      <c r="X30" s="646">
        <v>0</v>
      </c>
      <c r="Y30" s="646">
        <v>0</v>
      </c>
      <c r="Z30" s="646">
        <v>0</v>
      </c>
      <c r="AA30" s="646">
        <v>0</v>
      </c>
      <c r="AB30" s="647">
        <v>26.307879808654377</v>
      </c>
      <c r="AC30" s="784">
        <v>4000</v>
      </c>
      <c r="AD30" s="631">
        <v>0.54564181236893494</v>
      </c>
      <c r="AE30" s="631">
        <v>0.69553591333635456</v>
      </c>
      <c r="AF30" s="631">
        <v>-0.33684263185302099</v>
      </c>
      <c r="AG30" s="631">
        <v>0.76329467364335479</v>
      </c>
      <c r="AH30" s="629"/>
      <c r="AI30" s="648">
        <v>3.426589254519826</v>
      </c>
      <c r="AJ30" s="649">
        <v>39.317572800000008</v>
      </c>
      <c r="AK30" s="646">
        <v>119.51243063072702</v>
      </c>
      <c r="AL30" s="646">
        <v>0</v>
      </c>
      <c r="AM30" s="646">
        <v>0</v>
      </c>
      <c r="AN30" s="646">
        <v>62.128215782179325</v>
      </c>
      <c r="AO30" s="646">
        <v>11.675866642576697</v>
      </c>
      <c r="AP30" s="801">
        <v>3450</v>
      </c>
      <c r="AQ30" s="563" t="s">
        <v>71</v>
      </c>
      <c r="AR30" s="563">
        <v>8</v>
      </c>
      <c r="AS30" s="563">
        <v>0</v>
      </c>
      <c r="AT30" s="563">
        <v>0</v>
      </c>
      <c r="AU30" s="563">
        <v>0</v>
      </c>
      <c r="AV30" s="650">
        <v>5286.950138697076</v>
      </c>
      <c r="AW30" s="563">
        <v>0</v>
      </c>
      <c r="AX30" s="563">
        <v>0</v>
      </c>
      <c r="AY30" s="563">
        <v>0</v>
      </c>
      <c r="AZ30" s="650">
        <v>10415.047813638794</v>
      </c>
      <c r="BA30" s="564">
        <v>4000</v>
      </c>
      <c r="BB30" s="565">
        <v>188.49555921538757</v>
      </c>
      <c r="BC30" s="649">
        <v>39.317572800000008</v>
      </c>
      <c r="BD30" s="646">
        <v>119.51243063072702</v>
      </c>
      <c r="BE30" s="646">
        <v>0</v>
      </c>
      <c r="BF30" s="646">
        <v>0</v>
      </c>
      <c r="BG30" s="646">
        <v>62.128215782179325</v>
      </c>
      <c r="BH30" s="646">
        <v>11.675866642576697</v>
      </c>
      <c r="BI30" s="646">
        <v>3600</v>
      </c>
      <c r="BJ30" s="563" t="s">
        <v>71</v>
      </c>
      <c r="BK30" s="563">
        <v>8</v>
      </c>
      <c r="BL30" s="563">
        <v>0</v>
      </c>
      <c r="BM30" s="563">
        <v>0</v>
      </c>
      <c r="BN30" s="563">
        <v>0</v>
      </c>
      <c r="BO30" s="650">
        <v>5286.950138697076</v>
      </c>
      <c r="BP30" s="563">
        <v>0</v>
      </c>
      <c r="BQ30" s="563">
        <v>0</v>
      </c>
      <c r="BR30" s="563">
        <v>0</v>
      </c>
      <c r="BS30" s="650">
        <v>10415.047813638794</v>
      </c>
      <c r="BT30" s="564">
        <v>4000</v>
      </c>
      <c r="BU30" s="565">
        <v>188.49555921538757</v>
      </c>
      <c r="BV30" s="649">
        <v>39.317572800000008</v>
      </c>
      <c r="BW30" s="646">
        <v>119.51243063072702</v>
      </c>
      <c r="BX30" s="646">
        <v>0</v>
      </c>
      <c r="BY30" s="646">
        <v>0</v>
      </c>
      <c r="BZ30" s="646">
        <v>62.128215782179325</v>
      </c>
      <c r="CA30" s="646">
        <v>11.675866642576697</v>
      </c>
      <c r="CB30" s="646">
        <v>3450</v>
      </c>
      <c r="CC30" s="563" t="s">
        <v>1584</v>
      </c>
      <c r="CD30" s="563">
        <v>8</v>
      </c>
      <c r="CE30" s="563">
        <v>0</v>
      </c>
      <c r="CF30" s="563">
        <v>0</v>
      </c>
      <c r="CG30" s="563">
        <v>0</v>
      </c>
      <c r="CH30" s="650">
        <v>5180.1320541378354</v>
      </c>
      <c r="CI30" s="563">
        <v>0</v>
      </c>
      <c r="CJ30" s="563">
        <v>0</v>
      </c>
      <c r="CK30" s="563">
        <v>0</v>
      </c>
      <c r="CL30" s="650">
        <v>10204.621116041832</v>
      </c>
      <c r="CM30" s="564">
        <v>4000</v>
      </c>
      <c r="CN30" s="565">
        <v>188.49555921538757</v>
      </c>
      <c r="CO30" s="649">
        <v>39.317572800000008</v>
      </c>
      <c r="CP30" s="646">
        <v>119.51243063072702</v>
      </c>
      <c r="CQ30" s="646">
        <v>0</v>
      </c>
      <c r="CR30" s="646">
        <v>0</v>
      </c>
      <c r="CS30" s="646">
        <v>62.128215782179325</v>
      </c>
      <c r="CT30" s="646">
        <v>11.675866642576697</v>
      </c>
      <c r="CU30" s="646">
        <v>3600</v>
      </c>
      <c r="CV30" s="563" t="s">
        <v>1584</v>
      </c>
      <c r="CW30" s="563">
        <v>8</v>
      </c>
      <c r="CX30" s="563">
        <v>0</v>
      </c>
      <c r="CY30" s="563">
        <v>0</v>
      </c>
      <c r="CZ30" s="563">
        <v>0</v>
      </c>
      <c r="DA30" s="650">
        <v>5180.1320541378354</v>
      </c>
      <c r="DB30" s="563">
        <v>0</v>
      </c>
      <c r="DC30" s="563">
        <v>0</v>
      </c>
      <c r="DD30" s="563">
        <v>0</v>
      </c>
      <c r="DE30" s="650">
        <v>10204.621116041832</v>
      </c>
      <c r="DF30" s="564">
        <v>4000</v>
      </c>
      <c r="DG30" s="565">
        <v>188.49555921538757</v>
      </c>
      <c r="DH30" s="649">
        <v>39.317572800000008</v>
      </c>
      <c r="DI30" s="646">
        <v>119.51243063072702</v>
      </c>
      <c r="DJ30" s="646">
        <v>0</v>
      </c>
      <c r="DK30" s="646">
        <v>0</v>
      </c>
      <c r="DL30" s="646">
        <v>62.128215782179325</v>
      </c>
      <c r="DM30" s="646">
        <v>11.675866642576697</v>
      </c>
      <c r="DN30" s="646">
        <v>3450</v>
      </c>
      <c r="DO30" s="563" t="s">
        <v>1588</v>
      </c>
      <c r="DP30" s="563">
        <v>8</v>
      </c>
      <c r="DQ30" s="563">
        <v>0</v>
      </c>
      <c r="DR30" s="563">
        <v>0</v>
      </c>
      <c r="DS30" s="563">
        <v>0</v>
      </c>
      <c r="DT30" s="650">
        <v>5391.6523849216928</v>
      </c>
      <c r="DU30" s="563">
        <v>0</v>
      </c>
      <c r="DV30" s="563">
        <v>0</v>
      </c>
      <c r="DW30" s="563">
        <v>0</v>
      </c>
      <c r="DX30" s="650">
        <v>10621.306407349215</v>
      </c>
      <c r="DY30" s="564">
        <v>4000</v>
      </c>
      <c r="DZ30" s="565">
        <v>188.49555921538757</v>
      </c>
      <c r="EA30" s="649">
        <v>39.317572800000008</v>
      </c>
      <c r="EB30" s="646">
        <v>119.51243063072702</v>
      </c>
      <c r="EC30" s="646">
        <v>0</v>
      </c>
      <c r="ED30" s="646">
        <v>0</v>
      </c>
      <c r="EE30" s="646">
        <v>62.128215782179325</v>
      </c>
      <c r="EF30" s="646">
        <v>11.675866642576697</v>
      </c>
      <c r="EG30" s="646">
        <v>3600</v>
      </c>
      <c r="EH30" s="563" t="s">
        <v>1588</v>
      </c>
      <c r="EI30" s="563">
        <v>8</v>
      </c>
      <c r="EJ30" s="563">
        <v>0</v>
      </c>
      <c r="EK30" s="563">
        <v>0</v>
      </c>
      <c r="EL30" s="563">
        <v>0</v>
      </c>
      <c r="EM30" s="650">
        <v>5391.6523849216928</v>
      </c>
      <c r="EN30" s="563">
        <v>0</v>
      </c>
      <c r="EO30" s="563">
        <v>0</v>
      </c>
      <c r="EP30" s="563">
        <v>0</v>
      </c>
      <c r="EQ30" s="650">
        <v>10621.306407349215</v>
      </c>
      <c r="ER30" s="564">
        <v>4000</v>
      </c>
      <c r="ES30" s="565">
        <v>188.49555921538757</v>
      </c>
      <c r="ET30" s="649">
        <v>39.317572800000008</v>
      </c>
      <c r="EU30" s="646">
        <v>119.51243063072702</v>
      </c>
      <c r="EV30" s="646">
        <v>0</v>
      </c>
      <c r="EW30" s="646">
        <v>0</v>
      </c>
      <c r="EX30" s="646">
        <v>62.128215782179325</v>
      </c>
      <c r="EY30" s="646">
        <v>11.675866642576697</v>
      </c>
      <c r="EZ30" s="646">
        <v>3450</v>
      </c>
      <c r="FA30" s="563" t="s">
        <v>1589</v>
      </c>
      <c r="FB30" s="563">
        <v>8</v>
      </c>
      <c r="FC30" s="563">
        <v>0</v>
      </c>
      <c r="FD30" s="563">
        <v>0</v>
      </c>
      <c r="FE30" s="563">
        <v>0</v>
      </c>
      <c r="FF30" s="650">
        <v>5743.0978824586864</v>
      </c>
      <c r="FG30" s="563">
        <v>0</v>
      </c>
      <c r="FH30" s="563">
        <v>0</v>
      </c>
      <c r="FI30" s="563">
        <v>0</v>
      </c>
      <c r="FJ30" s="650">
        <v>11313.637820491298</v>
      </c>
      <c r="FK30" s="564">
        <v>4000</v>
      </c>
      <c r="FL30" s="565">
        <v>188.49555921538757</v>
      </c>
      <c r="FM30" s="649">
        <v>39.317572800000008</v>
      </c>
      <c r="FN30" s="646">
        <v>119.51243063072702</v>
      </c>
      <c r="FO30" s="646">
        <v>0</v>
      </c>
      <c r="FP30" s="646">
        <v>0</v>
      </c>
      <c r="FQ30" s="646">
        <v>62.128215782179325</v>
      </c>
      <c r="FR30" s="646">
        <v>11.675866642576697</v>
      </c>
      <c r="FS30" s="646">
        <v>3600</v>
      </c>
      <c r="FT30" s="563" t="s">
        <v>1589</v>
      </c>
      <c r="FU30" s="563">
        <v>8</v>
      </c>
      <c r="FV30" s="563">
        <v>0</v>
      </c>
      <c r="FW30" s="563">
        <v>0</v>
      </c>
      <c r="FX30" s="563">
        <v>0</v>
      </c>
      <c r="FY30" s="650">
        <v>5743.0978824586864</v>
      </c>
      <c r="FZ30" s="563">
        <v>0</v>
      </c>
      <c r="GA30" s="563">
        <v>0</v>
      </c>
      <c r="GB30" s="563">
        <v>0</v>
      </c>
      <c r="GC30" s="650">
        <v>11313.637820491298</v>
      </c>
      <c r="GD30" s="564">
        <v>4000</v>
      </c>
      <c r="GE30" s="565">
        <v>188.49555921538757</v>
      </c>
      <c r="GF30" s="649">
        <v>29.488179600000006</v>
      </c>
      <c r="GG30" s="646">
        <v>109.68303743072703</v>
      </c>
      <c r="GH30" s="646">
        <v>0</v>
      </c>
      <c r="GI30" s="646">
        <v>0</v>
      </c>
      <c r="GJ30" s="646">
        <v>59.540831934045556</v>
      </c>
      <c r="GK30" s="646">
        <v>10.391029490011659</v>
      </c>
      <c r="GL30" s="646">
        <v>3450</v>
      </c>
      <c r="GM30" s="563" t="s">
        <v>1587</v>
      </c>
      <c r="GN30" s="563">
        <v>6</v>
      </c>
      <c r="GO30" s="563">
        <v>0</v>
      </c>
      <c r="GP30" s="563">
        <v>0</v>
      </c>
      <c r="GQ30" s="563">
        <v>0</v>
      </c>
      <c r="GR30" s="650">
        <v>4201.5783959770124</v>
      </c>
      <c r="GS30" s="563">
        <v>0</v>
      </c>
      <c r="GT30" s="563">
        <v>0</v>
      </c>
      <c r="GU30" s="563">
        <v>0</v>
      </c>
      <c r="GV30" s="650">
        <v>4824.3332966695325</v>
      </c>
      <c r="GW30" s="564">
        <v>4000</v>
      </c>
      <c r="GX30" s="565">
        <v>188.49555921538757</v>
      </c>
      <c r="GY30" s="649">
        <v>29.488179600000006</v>
      </c>
      <c r="GZ30" s="646">
        <v>109.68303743072703</v>
      </c>
      <c r="HA30" s="646">
        <v>0</v>
      </c>
      <c r="HB30" s="646">
        <v>0</v>
      </c>
      <c r="HC30" s="646">
        <v>59.540831934045556</v>
      </c>
      <c r="HD30" s="646">
        <v>10.391029490011659</v>
      </c>
      <c r="HE30" s="646">
        <v>3600</v>
      </c>
      <c r="HF30" s="563" t="s">
        <v>1587</v>
      </c>
      <c r="HG30" s="563">
        <v>6</v>
      </c>
      <c r="HH30" s="563">
        <v>0</v>
      </c>
      <c r="HI30" s="563">
        <v>0</v>
      </c>
      <c r="HJ30" s="563">
        <v>0</v>
      </c>
      <c r="HK30" s="650">
        <v>4201.5783959770124</v>
      </c>
      <c r="HL30" s="563">
        <v>0</v>
      </c>
      <c r="HM30" s="563">
        <v>0</v>
      </c>
      <c r="HN30" s="563">
        <v>0</v>
      </c>
      <c r="HO30" s="650">
        <v>4824.3332966695325</v>
      </c>
      <c r="HP30" s="564">
        <v>4000</v>
      </c>
      <c r="HQ30" s="565">
        <v>188.49555921538757</v>
      </c>
      <c r="HR30" s="649">
        <v>29.488179600000006</v>
      </c>
      <c r="HS30" s="646">
        <v>111.81890198073053</v>
      </c>
      <c r="HT30" s="646">
        <v>2.1358645500035034</v>
      </c>
      <c r="HU30" s="646">
        <v>0</v>
      </c>
      <c r="HV30" s="646">
        <v>60.141736795875211</v>
      </c>
      <c r="HW30" s="646">
        <v>10.543530720596756</v>
      </c>
      <c r="HX30" s="646">
        <v>3450</v>
      </c>
      <c r="HY30" s="563" t="s">
        <v>68</v>
      </c>
      <c r="HZ30" s="563">
        <v>6</v>
      </c>
      <c r="IA30" s="563">
        <v>1</v>
      </c>
      <c r="IB30" s="563">
        <v>8</v>
      </c>
      <c r="IC30" s="563">
        <v>46.858196189691405</v>
      </c>
      <c r="ID30" s="650">
        <v>6788.7365529093986</v>
      </c>
      <c r="IE30" s="563">
        <v>0</v>
      </c>
      <c r="IF30" s="563">
        <v>0</v>
      </c>
      <c r="IG30" s="563">
        <v>0</v>
      </c>
      <c r="IH30" s="650">
        <v>4254.6620482253238</v>
      </c>
      <c r="II30" s="564">
        <v>4000</v>
      </c>
      <c r="IJ30" s="565">
        <v>188.49555921538757</v>
      </c>
      <c r="IK30" s="649">
        <v>29.488179600000006</v>
      </c>
      <c r="IL30" s="646">
        <v>111.81890198073053</v>
      </c>
      <c r="IM30" s="646">
        <v>2.1358645500035034</v>
      </c>
      <c r="IN30" s="646">
        <v>0</v>
      </c>
      <c r="IO30" s="646">
        <v>60.141736795875211</v>
      </c>
      <c r="IP30" s="646">
        <v>10.543530720596756</v>
      </c>
      <c r="IQ30" s="646">
        <v>3600</v>
      </c>
      <c r="IR30" s="563" t="s">
        <v>68</v>
      </c>
      <c r="IS30" s="563">
        <v>6</v>
      </c>
      <c r="IT30" s="563">
        <v>1</v>
      </c>
      <c r="IU30" s="563">
        <v>8</v>
      </c>
      <c r="IV30" s="563">
        <v>46.858196189691405</v>
      </c>
      <c r="IW30" s="650">
        <v>6788.7365529093986</v>
      </c>
      <c r="IX30" s="563">
        <v>0</v>
      </c>
      <c r="IY30" s="563">
        <v>0</v>
      </c>
      <c r="IZ30" s="563">
        <v>0</v>
      </c>
      <c r="JA30" s="650">
        <v>4254.6620482253238</v>
      </c>
      <c r="JB30" s="564">
        <v>4000</v>
      </c>
      <c r="JC30" s="565">
        <v>188.49555921538757</v>
      </c>
      <c r="JD30" s="649">
        <v>24.573483000000003</v>
      </c>
      <c r="JE30" s="646">
        <v>104.76834083072703</v>
      </c>
      <c r="JF30" s="646">
        <v>0</v>
      </c>
      <c r="JG30" s="646">
        <v>0</v>
      </c>
      <c r="JH30" s="646">
        <v>58.065078236825322</v>
      </c>
      <c r="JI30" s="646">
        <v>9.7486109137291397</v>
      </c>
      <c r="JJ30" s="646">
        <v>3450</v>
      </c>
      <c r="JK30" s="563" t="s">
        <v>67</v>
      </c>
      <c r="JL30" s="563">
        <v>5</v>
      </c>
      <c r="JM30" s="563">
        <v>0</v>
      </c>
      <c r="JN30" s="563">
        <v>0</v>
      </c>
      <c r="JO30" s="563">
        <v>0</v>
      </c>
      <c r="JP30" s="650">
        <v>4289.3756864516536</v>
      </c>
      <c r="JQ30" s="563">
        <v>0</v>
      </c>
      <c r="JR30" s="563">
        <v>0</v>
      </c>
      <c r="JS30" s="563">
        <v>0</v>
      </c>
      <c r="JT30" s="650">
        <v>4744.8698779849601</v>
      </c>
      <c r="JU30" s="564">
        <v>4000</v>
      </c>
      <c r="JV30" s="565">
        <v>188.49555921538757</v>
      </c>
      <c r="JW30" s="649">
        <v>24.573483000000003</v>
      </c>
      <c r="JX30" s="646">
        <v>104.76834083072703</v>
      </c>
      <c r="JY30" s="646">
        <v>0</v>
      </c>
      <c r="JZ30" s="646">
        <v>0</v>
      </c>
      <c r="KA30" s="646">
        <v>58.065078236825322</v>
      </c>
      <c r="KB30" s="646">
        <v>9.7486109137291397</v>
      </c>
      <c r="KC30" s="646">
        <v>3600</v>
      </c>
      <c r="KD30" s="563" t="s">
        <v>67</v>
      </c>
      <c r="KE30" s="563">
        <v>5</v>
      </c>
      <c r="KF30" s="563">
        <v>0</v>
      </c>
      <c r="KG30" s="563">
        <v>0</v>
      </c>
      <c r="KH30" s="563">
        <v>0</v>
      </c>
      <c r="KI30" s="650">
        <v>4289.3756864516536</v>
      </c>
      <c r="KJ30" s="563">
        <v>0</v>
      </c>
      <c r="KK30" s="563">
        <v>0</v>
      </c>
      <c r="KL30" s="563">
        <v>0</v>
      </c>
      <c r="KM30" s="650">
        <v>4744.8698779849601</v>
      </c>
      <c r="KN30" s="564">
        <v>4000</v>
      </c>
      <c r="KO30" s="566">
        <v>188.49555921538757</v>
      </c>
    </row>
    <row r="31" spans="1:301" ht="15" customHeight="1">
      <c r="A31" s="663" t="s">
        <v>808</v>
      </c>
      <c r="B31" s="629" t="s">
        <v>387</v>
      </c>
      <c r="C31" s="629">
        <v>574.5</v>
      </c>
      <c r="D31" s="629">
        <v>900</v>
      </c>
      <c r="E31" s="629">
        <v>560</v>
      </c>
      <c r="F31" s="629">
        <v>570</v>
      </c>
      <c r="G31" s="629">
        <v>323</v>
      </c>
      <c r="H31" s="629">
        <v>233</v>
      </c>
      <c r="I31" s="629">
        <v>172</v>
      </c>
      <c r="J31" s="629">
        <v>19.16</v>
      </c>
      <c r="K31" s="629">
        <v>29.87</v>
      </c>
      <c r="L31" s="629">
        <v>8</v>
      </c>
      <c r="M31" s="629">
        <v>363</v>
      </c>
      <c r="N31" s="629">
        <v>5</v>
      </c>
      <c r="O31" s="623">
        <v>15.302462196186863</v>
      </c>
      <c r="P31" s="629">
        <v>5</v>
      </c>
      <c r="Q31" s="623">
        <v>10.493157776098732</v>
      </c>
      <c r="R31" s="629">
        <v>18.000000000000004</v>
      </c>
      <c r="S31" s="629">
        <v>685.28103994096364</v>
      </c>
      <c r="T31" s="645">
        <v>52.115808001372727</v>
      </c>
      <c r="U31" s="645">
        <v>102.79215599114454</v>
      </c>
      <c r="V31" s="645">
        <v>135</v>
      </c>
      <c r="W31" s="793">
        <v>6.5959069501737329</v>
      </c>
      <c r="X31" s="646">
        <v>0</v>
      </c>
      <c r="Y31" s="646">
        <v>0</v>
      </c>
      <c r="Z31" s="646">
        <v>0</v>
      </c>
      <c r="AA31" s="646">
        <v>0</v>
      </c>
      <c r="AB31" s="647">
        <v>32.2101342610963</v>
      </c>
      <c r="AC31" s="784">
        <v>4000</v>
      </c>
      <c r="AD31" s="631">
        <v>0.52693769707253968</v>
      </c>
      <c r="AE31" s="631">
        <v>0.34745424079171944</v>
      </c>
      <c r="AF31" s="631">
        <v>-0.62352705447607581</v>
      </c>
      <c r="AG31" s="631">
        <v>1.0361976726003008</v>
      </c>
      <c r="AH31" s="629"/>
      <c r="AI31" s="648">
        <v>3.2023683290499951</v>
      </c>
      <c r="AJ31" s="649">
        <v>27.697626</v>
      </c>
      <c r="AK31" s="646">
        <v>122.93270713852873</v>
      </c>
      <c r="AL31" s="646">
        <v>1.8628114690842883</v>
      </c>
      <c r="AM31" s="646">
        <v>8.8649347456123841</v>
      </c>
      <c r="AN31" s="646">
        <v>70.869243290594966</v>
      </c>
      <c r="AO31" s="646">
        <v>12.608709031300345</v>
      </c>
      <c r="AP31" s="801">
        <v>3600</v>
      </c>
      <c r="AQ31" s="563" t="s">
        <v>71</v>
      </c>
      <c r="AR31" s="563">
        <v>6</v>
      </c>
      <c r="AS31" s="563">
        <v>1</v>
      </c>
      <c r="AT31" s="563">
        <v>8</v>
      </c>
      <c r="AU31" s="563">
        <v>33.868285385747484</v>
      </c>
      <c r="AV31" s="650">
        <v>4622.5450633190185</v>
      </c>
      <c r="AW31" s="563">
        <v>1</v>
      </c>
      <c r="AX31" s="563">
        <v>16</v>
      </c>
      <c r="AY31" s="563">
        <v>51.39298048508892</v>
      </c>
      <c r="AZ31" s="650">
        <v>3980.3555430811484</v>
      </c>
      <c r="BA31" s="564">
        <v>3980.3555430811484</v>
      </c>
      <c r="BB31" s="565">
        <v>187.56983599228721</v>
      </c>
      <c r="BC31" s="649">
        <v>27.697626</v>
      </c>
      <c r="BD31" s="646">
        <v>122.93270713852873</v>
      </c>
      <c r="BE31" s="646">
        <v>1.8628114690842883</v>
      </c>
      <c r="BF31" s="646">
        <v>8.8649347456123841</v>
      </c>
      <c r="BG31" s="646">
        <v>70.869243290594966</v>
      </c>
      <c r="BH31" s="646">
        <v>12.608709031300345</v>
      </c>
      <c r="BI31" s="646">
        <v>3600</v>
      </c>
      <c r="BJ31" s="563" t="s">
        <v>71</v>
      </c>
      <c r="BK31" s="563">
        <v>6</v>
      </c>
      <c r="BL31" s="563">
        <v>1</v>
      </c>
      <c r="BM31" s="563">
        <v>8</v>
      </c>
      <c r="BN31" s="563">
        <v>33.868285385747484</v>
      </c>
      <c r="BO31" s="650">
        <v>4622.5450633190185</v>
      </c>
      <c r="BP31" s="563">
        <v>1</v>
      </c>
      <c r="BQ31" s="563">
        <v>16</v>
      </c>
      <c r="BR31" s="563">
        <v>51.39298048508892</v>
      </c>
      <c r="BS31" s="650">
        <v>3980.3555430811484</v>
      </c>
      <c r="BT31" s="564">
        <v>3980.3555430811484</v>
      </c>
      <c r="BU31" s="565">
        <v>187.56983599228721</v>
      </c>
      <c r="BV31" s="649">
        <v>23.081355000000002</v>
      </c>
      <c r="BW31" s="646">
        <v>114.99208560892409</v>
      </c>
      <c r="BX31" s="646">
        <v>1.8628114690842883</v>
      </c>
      <c r="BY31" s="646">
        <v>5.5405842160077396</v>
      </c>
      <c r="BZ31" s="646">
        <v>68.600009920279774</v>
      </c>
      <c r="CA31" s="646">
        <v>11.350171961246657</v>
      </c>
      <c r="CB31" s="646">
        <v>3600</v>
      </c>
      <c r="CC31" s="563" t="s">
        <v>1588</v>
      </c>
      <c r="CD31" s="563">
        <v>5</v>
      </c>
      <c r="CE31" s="563">
        <v>1</v>
      </c>
      <c r="CF31" s="563">
        <v>8</v>
      </c>
      <c r="CG31" s="563">
        <v>33.868285385747484</v>
      </c>
      <c r="CH31" s="650">
        <v>3974.7620744438814</v>
      </c>
      <c r="CI31" s="563">
        <v>1</v>
      </c>
      <c r="CJ31" s="563">
        <v>10</v>
      </c>
      <c r="CK31" s="563">
        <v>51.39298048508892</v>
      </c>
      <c r="CL31" s="650">
        <v>3971.9642078012612</v>
      </c>
      <c r="CM31" s="564">
        <v>3971.9642078012612</v>
      </c>
      <c r="CN31" s="565">
        <v>187.17440363325068</v>
      </c>
      <c r="CO31" s="649">
        <v>23.081355000000002</v>
      </c>
      <c r="CP31" s="646">
        <v>114.99208560892409</v>
      </c>
      <c r="CQ31" s="646">
        <v>1.8628114690842883</v>
      </c>
      <c r="CR31" s="646">
        <v>5.5405842160077396</v>
      </c>
      <c r="CS31" s="646">
        <v>68.600009920279774</v>
      </c>
      <c r="CT31" s="646">
        <v>11.350171961246657</v>
      </c>
      <c r="CU31" s="646">
        <v>3600</v>
      </c>
      <c r="CV31" s="563" t="s">
        <v>1588</v>
      </c>
      <c r="CW31" s="563">
        <v>5</v>
      </c>
      <c r="CX31" s="563">
        <v>1</v>
      </c>
      <c r="CY31" s="563">
        <v>8</v>
      </c>
      <c r="CZ31" s="563">
        <v>33.868285385747484</v>
      </c>
      <c r="DA31" s="650">
        <v>3974.7620744438814</v>
      </c>
      <c r="DB31" s="563">
        <v>1</v>
      </c>
      <c r="DC31" s="563">
        <v>10</v>
      </c>
      <c r="DD31" s="563">
        <v>51.39298048508892</v>
      </c>
      <c r="DE31" s="650">
        <v>3971.9642078012612</v>
      </c>
      <c r="DF31" s="564">
        <v>3971.9642078012612</v>
      </c>
      <c r="DG31" s="565">
        <v>187.17440363325068</v>
      </c>
      <c r="DH31" s="649">
        <v>23.081355000000002</v>
      </c>
      <c r="DI31" s="646">
        <v>114.99208560892409</v>
      </c>
      <c r="DJ31" s="646">
        <v>1.8628114690842883</v>
      </c>
      <c r="DK31" s="646">
        <v>5.5405842160077396</v>
      </c>
      <c r="DL31" s="646">
        <v>68.600009920279774</v>
      </c>
      <c r="DM31" s="646">
        <v>11.350171961246657</v>
      </c>
      <c r="DN31" s="646">
        <v>3600</v>
      </c>
      <c r="DO31" s="563" t="s">
        <v>1588</v>
      </c>
      <c r="DP31" s="563">
        <v>5</v>
      </c>
      <c r="DQ31" s="563">
        <v>1</v>
      </c>
      <c r="DR31" s="563">
        <v>8</v>
      </c>
      <c r="DS31" s="563">
        <v>33.868285385747484</v>
      </c>
      <c r="DT31" s="650">
        <v>3974.7620744438814</v>
      </c>
      <c r="DU31" s="563">
        <v>1</v>
      </c>
      <c r="DV31" s="563">
        <v>10</v>
      </c>
      <c r="DW31" s="563">
        <v>51.39298048508892</v>
      </c>
      <c r="DX31" s="650">
        <v>3971.9642078012612</v>
      </c>
      <c r="DY31" s="564">
        <v>3971.9642078012612</v>
      </c>
      <c r="DZ31" s="565">
        <v>187.17440363325068</v>
      </c>
      <c r="EA31" s="649">
        <v>23.081355000000002</v>
      </c>
      <c r="EB31" s="646">
        <v>114.99208560892409</v>
      </c>
      <c r="EC31" s="646">
        <v>1.8628114690842883</v>
      </c>
      <c r="ED31" s="646">
        <v>5.5405842160077396</v>
      </c>
      <c r="EE31" s="646">
        <v>68.600009920279774</v>
      </c>
      <c r="EF31" s="646">
        <v>11.350171961246657</v>
      </c>
      <c r="EG31" s="646">
        <v>3600</v>
      </c>
      <c r="EH31" s="563" t="s">
        <v>1588</v>
      </c>
      <c r="EI31" s="563">
        <v>5</v>
      </c>
      <c r="EJ31" s="563">
        <v>1</v>
      </c>
      <c r="EK31" s="563">
        <v>8</v>
      </c>
      <c r="EL31" s="563">
        <v>33.868285385747484</v>
      </c>
      <c r="EM31" s="650">
        <v>3974.7620744438814</v>
      </c>
      <c r="EN31" s="563">
        <v>1</v>
      </c>
      <c r="EO31" s="563">
        <v>10</v>
      </c>
      <c r="EP31" s="563">
        <v>51.39298048508892</v>
      </c>
      <c r="EQ31" s="650">
        <v>3971.9642078012612</v>
      </c>
      <c r="ER31" s="564">
        <v>3971.9642078012612</v>
      </c>
      <c r="ES31" s="565">
        <v>187.17440363325068</v>
      </c>
      <c r="ET31" s="649">
        <v>36.930168000000002</v>
      </c>
      <c r="EU31" s="646">
        <v>123.76601726018741</v>
      </c>
      <c r="EV31" s="646">
        <v>2.3285143363553602</v>
      </c>
      <c r="EW31" s="646">
        <v>0</v>
      </c>
      <c r="EX31" s="646">
        <v>73.361083037831264</v>
      </c>
      <c r="EY31" s="646">
        <v>12.365789806125463</v>
      </c>
      <c r="EZ31" s="646">
        <v>3600</v>
      </c>
      <c r="FA31" s="563" t="s">
        <v>1587</v>
      </c>
      <c r="FB31" s="563">
        <v>8</v>
      </c>
      <c r="FC31" s="563">
        <v>1</v>
      </c>
      <c r="FD31" s="563">
        <v>10</v>
      </c>
      <c r="FE31" s="563">
        <v>33.868285385747484</v>
      </c>
      <c r="FF31" s="650">
        <v>6122.1362374396631</v>
      </c>
      <c r="FG31" s="563">
        <v>0</v>
      </c>
      <c r="FH31" s="563">
        <v>0</v>
      </c>
      <c r="FI31" s="563">
        <v>0</v>
      </c>
      <c r="FJ31" s="650">
        <v>4636.5722865348953</v>
      </c>
      <c r="FK31" s="564">
        <v>4000</v>
      </c>
      <c r="FL31" s="565">
        <v>188.49555921538757</v>
      </c>
      <c r="FM31" s="649">
        <v>36.930168000000002</v>
      </c>
      <c r="FN31" s="646">
        <v>123.76601726018741</v>
      </c>
      <c r="FO31" s="646">
        <v>2.3285143363553602</v>
      </c>
      <c r="FP31" s="646">
        <v>0</v>
      </c>
      <c r="FQ31" s="646">
        <v>73.361083037831264</v>
      </c>
      <c r="FR31" s="646">
        <v>12.365789806125463</v>
      </c>
      <c r="FS31" s="646">
        <v>3600</v>
      </c>
      <c r="FT31" s="563" t="s">
        <v>1587</v>
      </c>
      <c r="FU31" s="563">
        <v>8</v>
      </c>
      <c r="FV31" s="563">
        <v>1</v>
      </c>
      <c r="FW31" s="563">
        <v>10</v>
      </c>
      <c r="FX31" s="563">
        <v>33.868285385747484</v>
      </c>
      <c r="FY31" s="650">
        <v>6122.1362374396631</v>
      </c>
      <c r="FZ31" s="563">
        <v>0</v>
      </c>
      <c r="GA31" s="563">
        <v>0</v>
      </c>
      <c r="GB31" s="563">
        <v>0</v>
      </c>
      <c r="GC31" s="650">
        <v>4636.5722865348953</v>
      </c>
      <c r="GD31" s="564">
        <v>4000</v>
      </c>
      <c r="GE31" s="565">
        <v>188.49555921538757</v>
      </c>
      <c r="GF31" s="649">
        <v>36.930168000000002</v>
      </c>
      <c r="GG31" s="646">
        <v>123.76601726018741</v>
      </c>
      <c r="GH31" s="646">
        <v>2.3285143363553602</v>
      </c>
      <c r="GI31" s="646">
        <v>0</v>
      </c>
      <c r="GJ31" s="646">
        <v>73.361083037831264</v>
      </c>
      <c r="GK31" s="646">
        <v>12.365789806125463</v>
      </c>
      <c r="GL31" s="646">
        <v>3600</v>
      </c>
      <c r="GM31" s="563" t="s">
        <v>1587</v>
      </c>
      <c r="GN31" s="563">
        <v>8</v>
      </c>
      <c r="GO31" s="563">
        <v>1</v>
      </c>
      <c r="GP31" s="563">
        <v>10</v>
      </c>
      <c r="GQ31" s="563">
        <v>33.868285385747484</v>
      </c>
      <c r="GR31" s="650">
        <v>6122.1362374396631</v>
      </c>
      <c r="GS31" s="563">
        <v>0</v>
      </c>
      <c r="GT31" s="563">
        <v>0</v>
      </c>
      <c r="GU31" s="563">
        <v>0</v>
      </c>
      <c r="GV31" s="650">
        <v>4636.5722865348953</v>
      </c>
      <c r="GW31" s="564">
        <v>4000</v>
      </c>
      <c r="GX31" s="565">
        <v>188.49555921538757</v>
      </c>
      <c r="GY31" s="649">
        <v>36.930168000000002</v>
      </c>
      <c r="GZ31" s="646">
        <v>123.76601726018741</v>
      </c>
      <c r="HA31" s="646">
        <v>2.3285143363553602</v>
      </c>
      <c r="HB31" s="646">
        <v>0</v>
      </c>
      <c r="HC31" s="646">
        <v>73.361083037831264</v>
      </c>
      <c r="HD31" s="646">
        <v>12.365789806125463</v>
      </c>
      <c r="HE31" s="646">
        <v>3600</v>
      </c>
      <c r="HF31" s="563" t="s">
        <v>1587</v>
      </c>
      <c r="HG31" s="563">
        <v>8</v>
      </c>
      <c r="HH31" s="563">
        <v>1</v>
      </c>
      <c r="HI31" s="563">
        <v>10</v>
      </c>
      <c r="HJ31" s="563">
        <v>33.868285385747484</v>
      </c>
      <c r="HK31" s="650">
        <v>6122.1362374396631</v>
      </c>
      <c r="HL31" s="563">
        <v>0</v>
      </c>
      <c r="HM31" s="563">
        <v>0</v>
      </c>
      <c r="HN31" s="563">
        <v>0</v>
      </c>
      <c r="HO31" s="650">
        <v>4636.5722865348953</v>
      </c>
      <c r="HP31" s="564">
        <v>4000</v>
      </c>
      <c r="HQ31" s="565">
        <v>188.49555921538757</v>
      </c>
      <c r="HR31" s="649">
        <v>23.081355000000002</v>
      </c>
      <c r="HS31" s="646">
        <v>113.88396876572253</v>
      </c>
      <c r="HT31" s="646">
        <v>1.8628114690842883</v>
      </c>
      <c r="HU31" s="646">
        <v>4.4324673728061921</v>
      </c>
      <c r="HV31" s="646">
        <v>68.430704070757258</v>
      </c>
      <c r="HW31" s="646">
        <v>11.149942142379501</v>
      </c>
      <c r="HX31" s="646">
        <v>3600</v>
      </c>
      <c r="HY31" s="563" t="s">
        <v>68</v>
      </c>
      <c r="HZ31" s="563">
        <v>5</v>
      </c>
      <c r="IA31" s="563">
        <v>1</v>
      </c>
      <c r="IB31" s="563">
        <v>8</v>
      </c>
      <c r="IC31" s="563">
        <v>33.868285385747484</v>
      </c>
      <c r="ID31" s="650">
        <v>4611.6727909283463</v>
      </c>
      <c r="IE31" s="563">
        <v>1</v>
      </c>
      <c r="IF31" s="563">
        <v>8</v>
      </c>
      <c r="IG31" s="563">
        <v>51.39298048508892</v>
      </c>
      <c r="IH31" s="650">
        <v>4513.4875959897872</v>
      </c>
      <c r="II31" s="564">
        <v>4000</v>
      </c>
      <c r="IJ31" s="565">
        <v>188.49555921538757</v>
      </c>
      <c r="IK31" s="649">
        <v>23.081355000000002</v>
      </c>
      <c r="IL31" s="646">
        <v>113.88396876572253</v>
      </c>
      <c r="IM31" s="646">
        <v>1.8628114690842883</v>
      </c>
      <c r="IN31" s="646">
        <v>4.4324673728061921</v>
      </c>
      <c r="IO31" s="646">
        <v>68.430704070757258</v>
      </c>
      <c r="IP31" s="646">
        <v>11.149942142379501</v>
      </c>
      <c r="IQ31" s="646">
        <v>3600</v>
      </c>
      <c r="IR31" s="563" t="s">
        <v>68</v>
      </c>
      <c r="IS31" s="563">
        <v>5</v>
      </c>
      <c r="IT31" s="563">
        <v>1</v>
      </c>
      <c r="IU31" s="563">
        <v>8</v>
      </c>
      <c r="IV31" s="563">
        <v>33.868285385747484</v>
      </c>
      <c r="IW31" s="650">
        <v>4611.6727909283463</v>
      </c>
      <c r="IX31" s="563">
        <v>1</v>
      </c>
      <c r="IY31" s="563">
        <v>8</v>
      </c>
      <c r="IZ31" s="563">
        <v>51.39298048508892</v>
      </c>
      <c r="JA31" s="650">
        <v>4513.4875959897872</v>
      </c>
      <c r="JB31" s="564">
        <v>4000</v>
      </c>
      <c r="JC31" s="565">
        <v>188.49555921538757</v>
      </c>
      <c r="JD31" s="649">
        <v>13.848813</v>
      </c>
      <c r="JE31" s="646">
        <v>103.07760705524991</v>
      </c>
      <c r="JF31" s="646">
        <v>1.3971086018132164</v>
      </c>
      <c r="JG31" s="646">
        <v>3.3243505296046441</v>
      </c>
      <c r="JH31" s="646">
        <v>63.719141112168316</v>
      </c>
      <c r="JI31" s="646">
        <v>9.5907929977499755</v>
      </c>
      <c r="JJ31" s="646">
        <v>3600</v>
      </c>
      <c r="JK31" s="563" t="s">
        <v>67</v>
      </c>
      <c r="JL31" s="563">
        <v>3</v>
      </c>
      <c r="JM31" s="563">
        <v>1</v>
      </c>
      <c r="JN31" s="563">
        <v>6</v>
      </c>
      <c r="JO31" s="563">
        <v>33.868285385747484</v>
      </c>
      <c r="JP31" s="650">
        <v>4265.7430053797298</v>
      </c>
      <c r="JQ31" s="563">
        <v>1</v>
      </c>
      <c r="JR31" s="563">
        <v>6</v>
      </c>
      <c r="JS31" s="563">
        <v>51.39298048508892</v>
      </c>
      <c r="JT31" s="650">
        <v>4479.4852598175939</v>
      </c>
      <c r="JU31" s="564">
        <v>4000</v>
      </c>
      <c r="JV31" s="565">
        <v>188.49555921538757</v>
      </c>
      <c r="JW31" s="649">
        <v>13.848813</v>
      </c>
      <c r="JX31" s="646">
        <v>103.07760705524991</v>
      </c>
      <c r="JY31" s="646">
        <v>1.3971086018132164</v>
      </c>
      <c r="JZ31" s="646">
        <v>3.3243505296046441</v>
      </c>
      <c r="KA31" s="646">
        <v>63.719141112168316</v>
      </c>
      <c r="KB31" s="646">
        <v>9.5907929977499755</v>
      </c>
      <c r="KC31" s="646">
        <v>3600</v>
      </c>
      <c r="KD31" s="563" t="s">
        <v>67</v>
      </c>
      <c r="KE31" s="563">
        <v>3</v>
      </c>
      <c r="KF31" s="563">
        <v>1</v>
      </c>
      <c r="KG31" s="563">
        <v>6</v>
      </c>
      <c r="KH31" s="563">
        <v>33.868285385747484</v>
      </c>
      <c r="KI31" s="650">
        <v>4265.7430053797298</v>
      </c>
      <c r="KJ31" s="563">
        <v>1</v>
      </c>
      <c r="KK31" s="563">
        <v>6</v>
      </c>
      <c r="KL31" s="563">
        <v>51.39298048508892</v>
      </c>
      <c r="KM31" s="650">
        <v>4479.4852598175939</v>
      </c>
      <c r="KN31" s="564">
        <v>4000</v>
      </c>
      <c r="KO31" s="566">
        <v>188.49555921538757</v>
      </c>
    </row>
    <row r="32" spans="1:301" ht="15" customHeight="1">
      <c r="A32" s="663" t="s">
        <v>809</v>
      </c>
      <c r="B32" s="629" t="s">
        <v>383</v>
      </c>
      <c r="C32" s="629">
        <v>324.5</v>
      </c>
      <c r="D32" s="629">
        <v>990</v>
      </c>
      <c r="E32" s="629">
        <v>315</v>
      </c>
      <c r="F32" s="629">
        <v>315</v>
      </c>
      <c r="G32" s="629">
        <v>154</v>
      </c>
      <c r="H32" s="629">
        <v>88</v>
      </c>
      <c r="I32" s="629">
        <v>46.2</v>
      </c>
      <c r="J32" s="629">
        <v>39.99</v>
      </c>
      <c r="K32" s="629">
        <v>50.98</v>
      </c>
      <c r="L32" s="629">
        <v>10</v>
      </c>
      <c r="M32" s="629">
        <v>434</v>
      </c>
      <c r="N32" s="629">
        <v>6</v>
      </c>
      <c r="O32" s="623">
        <v>32.585551298306456</v>
      </c>
      <c r="P32" s="629">
        <v>6</v>
      </c>
      <c r="Q32" s="623">
        <v>21.499279495214978</v>
      </c>
      <c r="R32" s="629">
        <v>18.000000000000004</v>
      </c>
      <c r="S32" s="629">
        <v>631.59853752068557</v>
      </c>
      <c r="T32" s="645">
        <v>44.270484468702136</v>
      </c>
      <c r="U32" s="645">
        <v>94.739780628102835</v>
      </c>
      <c r="V32" s="645">
        <v>85</v>
      </c>
      <c r="W32" s="793">
        <v>3.5278042310997009</v>
      </c>
      <c r="X32" s="646">
        <v>0</v>
      </c>
      <c r="Y32" s="646">
        <v>0</v>
      </c>
      <c r="Z32" s="646">
        <v>0</v>
      </c>
      <c r="AA32" s="646">
        <v>0</v>
      </c>
      <c r="AB32" s="647">
        <v>14.35505610441451</v>
      </c>
      <c r="AC32" s="784">
        <v>4000</v>
      </c>
      <c r="AD32" s="631">
        <v>0.38757313265833399</v>
      </c>
      <c r="AE32" s="631">
        <v>0.83880225522834062</v>
      </c>
      <c r="AF32" s="631">
        <v>-0.16386950008659926</v>
      </c>
      <c r="AG32" s="631">
        <v>1.144370934825848</v>
      </c>
      <c r="AH32" s="629"/>
      <c r="AI32" s="648">
        <v>3.4960977138727722</v>
      </c>
      <c r="AJ32" s="649">
        <v>9.1441195999999998</v>
      </c>
      <c r="AK32" s="646">
        <v>111.02723909332327</v>
      </c>
      <c r="AL32" s="646">
        <v>0</v>
      </c>
      <c r="AM32" s="646">
        <v>0</v>
      </c>
      <c r="AN32" s="646">
        <v>34.971000692119006</v>
      </c>
      <c r="AO32" s="646">
        <v>11.550441464628078</v>
      </c>
      <c r="AP32" s="801">
        <v>3600</v>
      </c>
      <c r="AQ32" s="563" t="s">
        <v>71</v>
      </c>
      <c r="AR32" s="563">
        <v>4</v>
      </c>
      <c r="AS32" s="563">
        <v>0</v>
      </c>
      <c r="AT32" s="563">
        <v>0</v>
      </c>
      <c r="AU32" s="563">
        <v>0</v>
      </c>
      <c r="AV32" s="650">
        <v>6316.6347970579654</v>
      </c>
      <c r="AW32" s="563">
        <v>0</v>
      </c>
      <c r="AX32" s="563">
        <v>0</v>
      </c>
      <c r="AY32" s="563">
        <v>0</v>
      </c>
      <c r="AZ32" s="650">
        <v>8645.4440260507399</v>
      </c>
      <c r="BA32" s="564">
        <v>4000</v>
      </c>
      <c r="BB32" s="565">
        <v>207.34511513692635</v>
      </c>
      <c r="BC32" s="649">
        <v>9.1441195999999998</v>
      </c>
      <c r="BD32" s="646">
        <v>111.02723909332327</v>
      </c>
      <c r="BE32" s="646">
        <v>0</v>
      </c>
      <c r="BF32" s="646">
        <v>0</v>
      </c>
      <c r="BG32" s="646">
        <v>34.971000692119006</v>
      </c>
      <c r="BH32" s="646">
        <v>11.550441464628078</v>
      </c>
      <c r="BI32" s="646">
        <v>3600</v>
      </c>
      <c r="BJ32" s="563" t="s">
        <v>71</v>
      </c>
      <c r="BK32" s="563">
        <v>4</v>
      </c>
      <c r="BL32" s="563">
        <v>0</v>
      </c>
      <c r="BM32" s="563">
        <v>0</v>
      </c>
      <c r="BN32" s="563">
        <v>0</v>
      </c>
      <c r="BO32" s="650">
        <v>6316.6347970579654</v>
      </c>
      <c r="BP32" s="563">
        <v>0</v>
      </c>
      <c r="BQ32" s="563">
        <v>0</v>
      </c>
      <c r="BR32" s="563">
        <v>0</v>
      </c>
      <c r="BS32" s="650">
        <v>8645.4440260507399</v>
      </c>
      <c r="BT32" s="564">
        <v>4000</v>
      </c>
      <c r="BU32" s="565">
        <v>207.34511513692635</v>
      </c>
      <c r="BV32" s="649">
        <v>9.1441195999999998</v>
      </c>
      <c r="BW32" s="646">
        <v>111.02723909332327</v>
      </c>
      <c r="BX32" s="646">
        <v>0</v>
      </c>
      <c r="BY32" s="646">
        <v>0</v>
      </c>
      <c r="BZ32" s="646">
        <v>34.971000692119006</v>
      </c>
      <c r="CA32" s="646">
        <v>11.550441464628078</v>
      </c>
      <c r="CB32" s="646">
        <v>3600</v>
      </c>
      <c r="CC32" s="563" t="s">
        <v>1584</v>
      </c>
      <c r="CD32" s="563">
        <v>4</v>
      </c>
      <c r="CE32" s="563">
        <v>0</v>
      </c>
      <c r="CF32" s="563">
        <v>0</v>
      </c>
      <c r="CG32" s="563">
        <v>0</v>
      </c>
      <c r="CH32" s="650">
        <v>6189.0128577203159</v>
      </c>
      <c r="CI32" s="563">
        <v>0</v>
      </c>
      <c r="CJ32" s="563">
        <v>0</v>
      </c>
      <c r="CK32" s="563">
        <v>0</v>
      </c>
      <c r="CL32" s="650">
        <v>8470.7705854469514</v>
      </c>
      <c r="CM32" s="564">
        <v>4000</v>
      </c>
      <c r="CN32" s="565">
        <v>207.34511513692635</v>
      </c>
      <c r="CO32" s="649">
        <v>9.1441195999999998</v>
      </c>
      <c r="CP32" s="646">
        <v>111.02723909332327</v>
      </c>
      <c r="CQ32" s="646">
        <v>0</v>
      </c>
      <c r="CR32" s="646">
        <v>0</v>
      </c>
      <c r="CS32" s="646">
        <v>34.971000692119006</v>
      </c>
      <c r="CT32" s="646">
        <v>11.550441464628078</v>
      </c>
      <c r="CU32" s="646">
        <v>3600</v>
      </c>
      <c r="CV32" s="563" t="s">
        <v>1584</v>
      </c>
      <c r="CW32" s="563">
        <v>4</v>
      </c>
      <c r="CX32" s="563">
        <v>0</v>
      </c>
      <c r="CY32" s="563">
        <v>0</v>
      </c>
      <c r="CZ32" s="563">
        <v>0</v>
      </c>
      <c r="DA32" s="650">
        <v>6189.0128577203159</v>
      </c>
      <c r="DB32" s="563">
        <v>0</v>
      </c>
      <c r="DC32" s="563">
        <v>0</v>
      </c>
      <c r="DD32" s="563">
        <v>0</v>
      </c>
      <c r="DE32" s="650">
        <v>8470.7705854469514</v>
      </c>
      <c r="DF32" s="564">
        <v>4000</v>
      </c>
      <c r="DG32" s="565">
        <v>207.34511513692635</v>
      </c>
      <c r="DH32" s="649">
        <v>9.1441195999999998</v>
      </c>
      <c r="DI32" s="646">
        <v>111.02723909332327</v>
      </c>
      <c r="DJ32" s="646">
        <v>0</v>
      </c>
      <c r="DK32" s="646">
        <v>0</v>
      </c>
      <c r="DL32" s="646">
        <v>34.971000692119006</v>
      </c>
      <c r="DM32" s="646">
        <v>11.550441464628078</v>
      </c>
      <c r="DN32" s="646">
        <v>3600</v>
      </c>
      <c r="DO32" s="563" t="s">
        <v>1588</v>
      </c>
      <c r="DP32" s="563">
        <v>4</v>
      </c>
      <c r="DQ32" s="563">
        <v>0</v>
      </c>
      <c r="DR32" s="563">
        <v>0</v>
      </c>
      <c r="DS32" s="563">
        <v>0</v>
      </c>
      <c r="DT32" s="650">
        <v>6441.728818087553</v>
      </c>
      <c r="DU32" s="563">
        <v>0</v>
      </c>
      <c r="DV32" s="563">
        <v>0</v>
      </c>
      <c r="DW32" s="563">
        <v>0</v>
      </c>
      <c r="DX32" s="650">
        <v>8816.6575585013761</v>
      </c>
      <c r="DY32" s="564">
        <v>4000</v>
      </c>
      <c r="DZ32" s="565">
        <v>207.34511513692635</v>
      </c>
      <c r="EA32" s="649">
        <v>9.1441195999999998</v>
      </c>
      <c r="EB32" s="646">
        <v>111.02723909332327</v>
      </c>
      <c r="EC32" s="646">
        <v>0</v>
      </c>
      <c r="ED32" s="646">
        <v>0</v>
      </c>
      <c r="EE32" s="646">
        <v>34.971000692119006</v>
      </c>
      <c r="EF32" s="646">
        <v>11.550441464628078</v>
      </c>
      <c r="EG32" s="646">
        <v>3600</v>
      </c>
      <c r="EH32" s="563" t="s">
        <v>1588</v>
      </c>
      <c r="EI32" s="563">
        <v>4</v>
      </c>
      <c r="EJ32" s="563">
        <v>0</v>
      </c>
      <c r="EK32" s="563">
        <v>0</v>
      </c>
      <c r="EL32" s="563">
        <v>0</v>
      </c>
      <c r="EM32" s="650">
        <v>6441.728818087553</v>
      </c>
      <c r="EN32" s="563">
        <v>0</v>
      </c>
      <c r="EO32" s="563">
        <v>0</v>
      </c>
      <c r="EP32" s="563">
        <v>0</v>
      </c>
      <c r="EQ32" s="650">
        <v>8816.6575585013761</v>
      </c>
      <c r="ER32" s="564">
        <v>4000</v>
      </c>
      <c r="ES32" s="565">
        <v>207.34511513692635</v>
      </c>
      <c r="ET32" s="649">
        <v>9.1441195999999998</v>
      </c>
      <c r="EU32" s="646">
        <v>111.02723909332327</v>
      </c>
      <c r="EV32" s="646">
        <v>0</v>
      </c>
      <c r="EW32" s="646">
        <v>0</v>
      </c>
      <c r="EX32" s="646">
        <v>34.971000692119006</v>
      </c>
      <c r="EY32" s="646">
        <v>11.550441464628078</v>
      </c>
      <c r="EZ32" s="646">
        <v>3600</v>
      </c>
      <c r="FA32" s="563" t="s">
        <v>1589</v>
      </c>
      <c r="FB32" s="563">
        <v>4</v>
      </c>
      <c r="FC32" s="563">
        <v>0</v>
      </c>
      <c r="FD32" s="563">
        <v>0</v>
      </c>
      <c r="FE32" s="563">
        <v>0</v>
      </c>
      <c r="FF32" s="650">
        <v>6861.6217243517704</v>
      </c>
      <c r="FG32" s="563">
        <v>0</v>
      </c>
      <c r="FH32" s="563">
        <v>0</v>
      </c>
      <c r="FI32" s="563">
        <v>0</v>
      </c>
      <c r="FJ32" s="650">
        <v>9391.3560703947423</v>
      </c>
      <c r="FK32" s="564">
        <v>4000</v>
      </c>
      <c r="FL32" s="565">
        <v>207.34511513692635</v>
      </c>
      <c r="FM32" s="649">
        <v>9.1441195999999998</v>
      </c>
      <c r="FN32" s="646">
        <v>111.02723909332327</v>
      </c>
      <c r="FO32" s="646">
        <v>0</v>
      </c>
      <c r="FP32" s="646">
        <v>0</v>
      </c>
      <c r="FQ32" s="646">
        <v>34.971000692119006</v>
      </c>
      <c r="FR32" s="646">
        <v>11.550441464628078</v>
      </c>
      <c r="FS32" s="646">
        <v>3600</v>
      </c>
      <c r="FT32" s="563" t="s">
        <v>1589</v>
      </c>
      <c r="FU32" s="563">
        <v>4</v>
      </c>
      <c r="FV32" s="563">
        <v>0</v>
      </c>
      <c r="FW32" s="563">
        <v>0</v>
      </c>
      <c r="FX32" s="563">
        <v>0</v>
      </c>
      <c r="FY32" s="650">
        <v>6861.6217243517704</v>
      </c>
      <c r="FZ32" s="563">
        <v>0</v>
      </c>
      <c r="GA32" s="563">
        <v>0</v>
      </c>
      <c r="GB32" s="563">
        <v>0</v>
      </c>
      <c r="GC32" s="650">
        <v>9391.3560703947423</v>
      </c>
      <c r="GD32" s="564">
        <v>4000</v>
      </c>
      <c r="GE32" s="565">
        <v>207.34511513692635</v>
      </c>
      <c r="GF32" s="649">
        <v>9.1441195999999998</v>
      </c>
      <c r="GG32" s="646">
        <v>111.02723909332327</v>
      </c>
      <c r="GH32" s="646">
        <v>0</v>
      </c>
      <c r="GI32" s="646">
        <v>0</v>
      </c>
      <c r="GJ32" s="646">
        <v>34.971000692119006</v>
      </c>
      <c r="GK32" s="646">
        <v>11.550441464628078</v>
      </c>
      <c r="GL32" s="646">
        <v>3600</v>
      </c>
      <c r="GM32" s="563" t="s">
        <v>1587</v>
      </c>
      <c r="GN32" s="563">
        <v>4</v>
      </c>
      <c r="GO32" s="563">
        <v>0</v>
      </c>
      <c r="GP32" s="563">
        <v>0</v>
      </c>
      <c r="GQ32" s="563">
        <v>0</v>
      </c>
      <c r="GR32" s="650">
        <v>8474.654877157318</v>
      </c>
      <c r="GS32" s="563">
        <v>0</v>
      </c>
      <c r="GT32" s="563">
        <v>0</v>
      </c>
      <c r="GU32" s="563">
        <v>0</v>
      </c>
      <c r="GV32" s="650">
        <v>11599.08032275135</v>
      </c>
      <c r="GW32" s="564">
        <v>4000</v>
      </c>
      <c r="GX32" s="565">
        <v>207.34511513692635</v>
      </c>
      <c r="GY32" s="649">
        <v>9.1441195999999998</v>
      </c>
      <c r="GZ32" s="646">
        <v>111.02723909332327</v>
      </c>
      <c r="HA32" s="646">
        <v>0</v>
      </c>
      <c r="HB32" s="646">
        <v>0</v>
      </c>
      <c r="HC32" s="646">
        <v>34.971000692119006</v>
      </c>
      <c r="HD32" s="646">
        <v>11.550441464628078</v>
      </c>
      <c r="HE32" s="646">
        <v>3600</v>
      </c>
      <c r="HF32" s="563" t="s">
        <v>1587</v>
      </c>
      <c r="HG32" s="563">
        <v>4</v>
      </c>
      <c r="HH32" s="563">
        <v>0</v>
      </c>
      <c r="HI32" s="563">
        <v>0</v>
      </c>
      <c r="HJ32" s="563">
        <v>0</v>
      </c>
      <c r="HK32" s="650">
        <v>8474.654877157318</v>
      </c>
      <c r="HL32" s="563">
        <v>0</v>
      </c>
      <c r="HM32" s="563">
        <v>0</v>
      </c>
      <c r="HN32" s="563">
        <v>0</v>
      </c>
      <c r="HO32" s="650">
        <v>11599.08032275135</v>
      </c>
      <c r="HP32" s="564">
        <v>4000</v>
      </c>
      <c r="HQ32" s="565">
        <v>207.34511513692635</v>
      </c>
      <c r="HR32" s="649">
        <v>9.1441195999999998</v>
      </c>
      <c r="HS32" s="646">
        <v>111.02723909332327</v>
      </c>
      <c r="HT32" s="646">
        <v>0</v>
      </c>
      <c r="HU32" s="646">
        <v>0</v>
      </c>
      <c r="HV32" s="646">
        <v>34.971000692119006</v>
      </c>
      <c r="HW32" s="646">
        <v>11.550441464628078</v>
      </c>
      <c r="HX32" s="646">
        <v>3600</v>
      </c>
      <c r="HY32" s="563" t="s">
        <v>68</v>
      </c>
      <c r="HZ32" s="563">
        <v>4</v>
      </c>
      <c r="IA32" s="563">
        <v>0</v>
      </c>
      <c r="IB32" s="563">
        <v>0</v>
      </c>
      <c r="IC32" s="563">
        <v>0</v>
      </c>
      <c r="ID32" s="650">
        <v>7473.9430840196337</v>
      </c>
      <c r="IE32" s="563">
        <v>0</v>
      </c>
      <c r="IF32" s="563">
        <v>0</v>
      </c>
      <c r="IG32" s="563">
        <v>0</v>
      </c>
      <c r="IH32" s="650">
        <v>10229.427323687623</v>
      </c>
      <c r="II32" s="564">
        <v>4000</v>
      </c>
      <c r="IJ32" s="565">
        <v>207.34511513692635</v>
      </c>
      <c r="IK32" s="649">
        <v>9.1441195999999998</v>
      </c>
      <c r="IL32" s="646">
        <v>111.02723909332327</v>
      </c>
      <c r="IM32" s="646">
        <v>0</v>
      </c>
      <c r="IN32" s="646">
        <v>0</v>
      </c>
      <c r="IO32" s="646">
        <v>34.971000692119006</v>
      </c>
      <c r="IP32" s="646">
        <v>11.550441464628078</v>
      </c>
      <c r="IQ32" s="646">
        <v>3600</v>
      </c>
      <c r="IR32" s="563" t="s">
        <v>68</v>
      </c>
      <c r="IS32" s="563">
        <v>4</v>
      </c>
      <c r="IT32" s="563">
        <v>0</v>
      </c>
      <c r="IU32" s="563">
        <v>0</v>
      </c>
      <c r="IV32" s="563">
        <v>0</v>
      </c>
      <c r="IW32" s="650">
        <v>7473.9430840196337</v>
      </c>
      <c r="IX32" s="563">
        <v>0</v>
      </c>
      <c r="IY32" s="563">
        <v>0</v>
      </c>
      <c r="IZ32" s="563">
        <v>0</v>
      </c>
      <c r="JA32" s="650">
        <v>10229.427323687623</v>
      </c>
      <c r="JB32" s="564">
        <v>4000</v>
      </c>
      <c r="JC32" s="565">
        <v>207.34511513692635</v>
      </c>
      <c r="JD32" s="649">
        <v>9.1441195999999998</v>
      </c>
      <c r="JE32" s="646">
        <v>111.02723909332327</v>
      </c>
      <c r="JF32" s="646">
        <v>0</v>
      </c>
      <c r="JG32" s="646">
        <v>0</v>
      </c>
      <c r="JH32" s="646">
        <v>34.971000692119006</v>
      </c>
      <c r="JI32" s="646">
        <v>11.550441464628078</v>
      </c>
      <c r="JJ32" s="646">
        <v>3600</v>
      </c>
      <c r="JK32" s="563" t="s">
        <v>67</v>
      </c>
      <c r="JL32" s="563">
        <v>4</v>
      </c>
      <c r="JM32" s="563">
        <v>0</v>
      </c>
      <c r="JN32" s="563">
        <v>0</v>
      </c>
      <c r="JO32" s="563">
        <v>0</v>
      </c>
      <c r="JP32" s="650">
        <v>10185.267567150564</v>
      </c>
      <c r="JQ32" s="563">
        <v>0</v>
      </c>
      <c r="JR32" s="563">
        <v>0</v>
      </c>
      <c r="JS32" s="563">
        <v>0</v>
      </c>
      <c r="JT32" s="650">
        <v>13940.35961730179</v>
      </c>
      <c r="JU32" s="564">
        <v>4000</v>
      </c>
      <c r="JV32" s="565">
        <v>207.34511513692635</v>
      </c>
      <c r="JW32" s="649">
        <v>9.1441195999999998</v>
      </c>
      <c r="JX32" s="646">
        <v>111.02723909332327</v>
      </c>
      <c r="JY32" s="646">
        <v>0</v>
      </c>
      <c r="JZ32" s="646">
        <v>0</v>
      </c>
      <c r="KA32" s="646">
        <v>34.971000692119006</v>
      </c>
      <c r="KB32" s="646">
        <v>11.550441464628078</v>
      </c>
      <c r="KC32" s="646">
        <v>3600</v>
      </c>
      <c r="KD32" s="563" t="s">
        <v>67</v>
      </c>
      <c r="KE32" s="563">
        <v>4</v>
      </c>
      <c r="KF32" s="563">
        <v>0</v>
      </c>
      <c r="KG32" s="563">
        <v>0</v>
      </c>
      <c r="KH32" s="563">
        <v>0</v>
      </c>
      <c r="KI32" s="650">
        <v>10185.267567150564</v>
      </c>
      <c r="KJ32" s="563">
        <v>0</v>
      </c>
      <c r="KK32" s="563">
        <v>0</v>
      </c>
      <c r="KL32" s="563">
        <v>0</v>
      </c>
      <c r="KM32" s="650">
        <v>13940.35961730179</v>
      </c>
      <c r="KN32" s="564">
        <v>4000</v>
      </c>
      <c r="KO32" s="566">
        <v>207.34511513692635</v>
      </c>
    </row>
    <row r="33" spans="1:301" ht="15" customHeight="1">
      <c r="A33" s="663" t="s">
        <v>810</v>
      </c>
      <c r="B33" s="629" t="s">
        <v>383</v>
      </c>
      <c r="C33" s="629">
        <v>323</v>
      </c>
      <c r="D33" s="629">
        <v>980</v>
      </c>
      <c r="E33" s="629">
        <v>315</v>
      </c>
      <c r="F33" s="629">
        <v>315</v>
      </c>
      <c r="G33" s="629">
        <v>187</v>
      </c>
      <c r="H33" s="629">
        <v>120</v>
      </c>
      <c r="I33" s="629">
        <v>78.7</v>
      </c>
      <c r="J33" s="629">
        <v>39.99</v>
      </c>
      <c r="K33" s="629">
        <v>50.98</v>
      </c>
      <c r="L33" s="629">
        <v>10</v>
      </c>
      <c r="M33" s="629">
        <v>434</v>
      </c>
      <c r="N33" s="629">
        <v>6</v>
      </c>
      <c r="O33" s="623">
        <v>31.856803904434862</v>
      </c>
      <c r="P33" s="629">
        <v>6</v>
      </c>
      <c r="Q33" s="623">
        <v>20.955487206578745</v>
      </c>
      <c r="R33" s="629">
        <v>18.000000000000004</v>
      </c>
      <c r="S33" s="629">
        <v>627.6279783281658</v>
      </c>
      <c r="T33" s="645">
        <v>43.715619152996069</v>
      </c>
      <c r="U33" s="645">
        <v>94.144196749224861</v>
      </c>
      <c r="V33" s="645">
        <v>85</v>
      </c>
      <c r="W33" s="793">
        <v>3.4835884012543734</v>
      </c>
      <c r="X33" s="646">
        <v>0</v>
      </c>
      <c r="Y33" s="646">
        <v>0</v>
      </c>
      <c r="Z33" s="646">
        <v>0</v>
      </c>
      <c r="AA33" s="646">
        <v>0</v>
      </c>
      <c r="AB33" s="647">
        <v>19.371291131468936</v>
      </c>
      <c r="AC33" s="784">
        <v>4000</v>
      </c>
      <c r="AD33" s="631">
        <v>0.3861417929025574</v>
      </c>
      <c r="AE33" s="631">
        <v>0.83880225522834062</v>
      </c>
      <c r="AF33" s="631">
        <v>-0.19280850993352566</v>
      </c>
      <c r="AG33" s="631">
        <v>1.1493817004226063</v>
      </c>
      <c r="AH33" s="629"/>
      <c r="AI33" s="648">
        <v>3.7156639745294524</v>
      </c>
      <c r="AJ33" s="649">
        <v>13.539020600000001</v>
      </c>
      <c r="AK33" s="646">
        <v>113.55051926526406</v>
      </c>
      <c r="AL33" s="646">
        <v>0</v>
      </c>
      <c r="AM33" s="646">
        <v>0</v>
      </c>
      <c r="AN33" s="646">
        <v>46.142609293949768</v>
      </c>
      <c r="AO33" s="646">
        <v>11.721543000644177</v>
      </c>
      <c r="AP33" s="801">
        <v>3600</v>
      </c>
      <c r="AQ33" s="563" t="s">
        <v>71</v>
      </c>
      <c r="AR33" s="563">
        <v>4</v>
      </c>
      <c r="AS33" s="563">
        <v>0</v>
      </c>
      <c r="AT33" s="563">
        <v>0</v>
      </c>
      <c r="AU33" s="563">
        <v>0</v>
      </c>
      <c r="AV33" s="650">
        <v>4355.1510127865331</v>
      </c>
      <c r="AW33" s="563">
        <v>0</v>
      </c>
      <c r="AX33" s="563">
        <v>0</v>
      </c>
      <c r="AY33" s="563">
        <v>0</v>
      </c>
      <c r="AZ33" s="650">
        <v>4231.1656688591565</v>
      </c>
      <c r="BA33" s="564">
        <v>4000</v>
      </c>
      <c r="BB33" s="565">
        <v>205.25072003453315</v>
      </c>
      <c r="BC33" s="649">
        <v>13.539020600000001</v>
      </c>
      <c r="BD33" s="646">
        <v>113.55051926526406</v>
      </c>
      <c r="BE33" s="646">
        <v>0</v>
      </c>
      <c r="BF33" s="646">
        <v>0</v>
      </c>
      <c r="BG33" s="646">
        <v>46.142609293949768</v>
      </c>
      <c r="BH33" s="646">
        <v>11.721543000644177</v>
      </c>
      <c r="BI33" s="646">
        <v>3600</v>
      </c>
      <c r="BJ33" s="563" t="s">
        <v>71</v>
      </c>
      <c r="BK33" s="563">
        <v>4</v>
      </c>
      <c r="BL33" s="563">
        <v>0</v>
      </c>
      <c r="BM33" s="563">
        <v>0</v>
      </c>
      <c r="BN33" s="563">
        <v>0</v>
      </c>
      <c r="BO33" s="650">
        <v>4355.1510127865331</v>
      </c>
      <c r="BP33" s="563">
        <v>0</v>
      </c>
      <c r="BQ33" s="563">
        <v>0</v>
      </c>
      <c r="BR33" s="563">
        <v>0</v>
      </c>
      <c r="BS33" s="650">
        <v>4231.1656688591565</v>
      </c>
      <c r="BT33" s="564">
        <v>4000</v>
      </c>
      <c r="BU33" s="565">
        <v>205.25072003453315</v>
      </c>
      <c r="BV33" s="649">
        <v>13.539020600000001</v>
      </c>
      <c r="BW33" s="646">
        <v>113.55051926526406</v>
      </c>
      <c r="BX33" s="646">
        <v>0</v>
      </c>
      <c r="BY33" s="646">
        <v>0</v>
      </c>
      <c r="BZ33" s="646">
        <v>46.142609293949768</v>
      </c>
      <c r="CA33" s="646">
        <v>11.721543000644177</v>
      </c>
      <c r="CB33" s="646">
        <v>3600</v>
      </c>
      <c r="CC33" s="563" t="s">
        <v>1584</v>
      </c>
      <c r="CD33" s="563">
        <v>4</v>
      </c>
      <c r="CE33" s="563">
        <v>0</v>
      </c>
      <c r="CF33" s="563">
        <v>0</v>
      </c>
      <c r="CG33" s="563">
        <v>0</v>
      </c>
      <c r="CH33" s="650">
        <v>4267.1590936369539</v>
      </c>
      <c r="CI33" s="563">
        <v>0</v>
      </c>
      <c r="CJ33" s="563">
        <v>0</v>
      </c>
      <c r="CK33" s="563">
        <v>0</v>
      </c>
      <c r="CL33" s="650">
        <v>4145.6787623547316</v>
      </c>
      <c r="CM33" s="564">
        <v>4000</v>
      </c>
      <c r="CN33" s="565">
        <v>205.25072003453315</v>
      </c>
      <c r="CO33" s="649">
        <v>13.539020600000001</v>
      </c>
      <c r="CP33" s="646">
        <v>113.55051926526406</v>
      </c>
      <c r="CQ33" s="646">
        <v>0</v>
      </c>
      <c r="CR33" s="646">
        <v>0</v>
      </c>
      <c r="CS33" s="646">
        <v>46.142609293949768</v>
      </c>
      <c r="CT33" s="646">
        <v>11.721543000644177</v>
      </c>
      <c r="CU33" s="646">
        <v>3600</v>
      </c>
      <c r="CV33" s="563" t="s">
        <v>1584</v>
      </c>
      <c r="CW33" s="563">
        <v>4</v>
      </c>
      <c r="CX33" s="563">
        <v>0</v>
      </c>
      <c r="CY33" s="563">
        <v>0</v>
      </c>
      <c r="CZ33" s="563">
        <v>0</v>
      </c>
      <c r="DA33" s="650">
        <v>4267.1590936369539</v>
      </c>
      <c r="DB33" s="563">
        <v>0</v>
      </c>
      <c r="DC33" s="563">
        <v>0</v>
      </c>
      <c r="DD33" s="563">
        <v>0</v>
      </c>
      <c r="DE33" s="650">
        <v>4145.6787623547316</v>
      </c>
      <c r="DF33" s="564">
        <v>4000</v>
      </c>
      <c r="DG33" s="565">
        <v>205.25072003453315</v>
      </c>
      <c r="DH33" s="649">
        <v>13.539020600000001</v>
      </c>
      <c r="DI33" s="646">
        <v>113.55051926526406</v>
      </c>
      <c r="DJ33" s="646">
        <v>0</v>
      </c>
      <c r="DK33" s="646">
        <v>0</v>
      </c>
      <c r="DL33" s="646">
        <v>46.142609293949768</v>
      </c>
      <c r="DM33" s="646">
        <v>11.721543000644177</v>
      </c>
      <c r="DN33" s="646">
        <v>3600</v>
      </c>
      <c r="DO33" s="563" t="s">
        <v>1588</v>
      </c>
      <c r="DP33" s="563">
        <v>4</v>
      </c>
      <c r="DQ33" s="563">
        <v>0</v>
      </c>
      <c r="DR33" s="563">
        <v>0</v>
      </c>
      <c r="DS33" s="563">
        <v>0</v>
      </c>
      <c r="DT33" s="650">
        <v>4441.3999997683832</v>
      </c>
      <c r="DU33" s="563">
        <v>0</v>
      </c>
      <c r="DV33" s="563">
        <v>0</v>
      </c>
      <c r="DW33" s="563">
        <v>0</v>
      </c>
      <c r="DX33" s="650">
        <v>4314.959262151342</v>
      </c>
      <c r="DY33" s="564">
        <v>4000</v>
      </c>
      <c r="DZ33" s="565">
        <v>205.25072003453315</v>
      </c>
      <c r="EA33" s="649">
        <v>13.539020600000001</v>
      </c>
      <c r="EB33" s="646">
        <v>113.55051926526406</v>
      </c>
      <c r="EC33" s="646">
        <v>0</v>
      </c>
      <c r="ED33" s="646">
        <v>0</v>
      </c>
      <c r="EE33" s="646">
        <v>46.142609293949768</v>
      </c>
      <c r="EF33" s="646">
        <v>11.721543000644177</v>
      </c>
      <c r="EG33" s="646">
        <v>3600</v>
      </c>
      <c r="EH33" s="563" t="s">
        <v>1588</v>
      </c>
      <c r="EI33" s="563">
        <v>4</v>
      </c>
      <c r="EJ33" s="563">
        <v>0</v>
      </c>
      <c r="EK33" s="563">
        <v>0</v>
      </c>
      <c r="EL33" s="563">
        <v>0</v>
      </c>
      <c r="EM33" s="650">
        <v>4441.3999997683832</v>
      </c>
      <c r="EN33" s="563">
        <v>0</v>
      </c>
      <c r="EO33" s="563">
        <v>0</v>
      </c>
      <c r="EP33" s="563">
        <v>0</v>
      </c>
      <c r="EQ33" s="650">
        <v>4314.959262151342</v>
      </c>
      <c r="ER33" s="564">
        <v>4000</v>
      </c>
      <c r="ES33" s="565">
        <v>205.25072003453315</v>
      </c>
      <c r="ET33" s="649">
        <v>13.539020600000001</v>
      </c>
      <c r="EU33" s="646">
        <v>113.55051926526406</v>
      </c>
      <c r="EV33" s="646">
        <v>0</v>
      </c>
      <c r="EW33" s="646">
        <v>0</v>
      </c>
      <c r="EX33" s="646">
        <v>46.142609293949768</v>
      </c>
      <c r="EY33" s="646">
        <v>11.721543000644177</v>
      </c>
      <c r="EZ33" s="646">
        <v>3600</v>
      </c>
      <c r="FA33" s="563" t="s">
        <v>1589</v>
      </c>
      <c r="FB33" s="563">
        <v>4</v>
      </c>
      <c r="FC33" s="563">
        <v>0</v>
      </c>
      <c r="FD33" s="563">
        <v>0</v>
      </c>
      <c r="FE33" s="563">
        <v>0</v>
      </c>
      <c r="FF33" s="650">
        <v>4730.9049457928413</v>
      </c>
      <c r="FG33" s="563">
        <v>0</v>
      </c>
      <c r="FH33" s="563">
        <v>0</v>
      </c>
      <c r="FI33" s="563">
        <v>0</v>
      </c>
      <c r="FJ33" s="650">
        <v>4596.2223882719363</v>
      </c>
      <c r="FK33" s="564">
        <v>4000</v>
      </c>
      <c r="FL33" s="565">
        <v>205.25072003453315</v>
      </c>
      <c r="FM33" s="649">
        <v>13.539020600000001</v>
      </c>
      <c r="FN33" s="646">
        <v>113.55051926526406</v>
      </c>
      <c r="FO33" s="646">
        <v>0</v>
      </c>
      <c r="FP33" s="646">
        <v>0</v>
      </c>
      <c r="FQ33" s="646">
        <v>46.142609293949768</v>
      </c>
      <c r="FR33" s="646">
        <v>11.721543000644177</v>
      </c>
      <c r="FS33" s="646">
        <v>3600</v>
      </c>
      <c r="FT33" s="563" t="s">
        <v>1589</v>
      </c>
      <c r="FU33" s="563">
        <v>4</v>
      </c>
      <c r="FV33" s="563">
        <v>0</v>
      </c>
      <c r="FW33" s="563">
        <v>0</v>
      </c>
      <c r="FX33" s="563">
        <v>0</v>
      </c>
      <c r="FY33" s="650">
        <v>4730.9049457928413</v>
      </c>
      <c r="FZ33" s="563">
        <v>0</v>
      </c>
      <c r="GA33" s="563">
        <v>0</v>
      </c>
      <c r="GB33" s="563">
        <v>0</v>
      </c>
      <c r="GC33" s="650">
        <v>4596.2223882719363</v>
      </c>
      <c r="GD33" s="564">
        <v>4000</v>
      </c>
      <c r="GE33" s="565">
        <v>205.25072003453315</v>
      </c>
      <c r="GF33" s="649">
        <v>13.539020600000001</v>
      </c>
      <c r="GG33" s="646">
        <v>113.55051926526406</v>
      </c>
      <c r="GH33" s="646">
        <v>0</v>
      </c>
      <c r="GI33" s="646">
        <v>0</v>
      </c>
      <c r="GJ33" s="646">
        <v>46.142609293949768</v>
      </c>
      <c r="GK33" s="646">
        <v>11.721543000644177</v>
      </c>
      <c r="GL33" s="646">
        <v>3600</v>
      </c>
      <c r="GM33" s="563" t="s">
        <v>1587</v>
      </c>
      <c r="GN33" s="563">
        <v>4</v>
      </c>
      <c r="GO33" s="563">
        <v>0</v>
      </c>
      <c r="GP33" s="563">
        <v>0</v>
      </c>
      <c r="GQ33" s="563">
        <v>0</v>
      </c>
      <c r="GR33" s="650">
        <v>5843.0482301206466</v>
      </c>
      <c r="GS33" s="563">
        <v>0</v>
      </c>
      <c r="GT33" s="563">
        <v>0</v>
      </c>
      <c r="GU33" s="563">
        <v>0</v>
      </c>
      <c r="GV33" s="650">
        <v>5676.7044357794648</v>
      </c>
      <c r="GW33" s="564">
        <v>4000</v>
      </c>
      <c r="GX33" s="565">
        <v>205.25072003453315</v>
      </c>
      <c r="GY33" s="649">
        <v>13.539020600000001</v>
      </c>
      <c r="GZ33" s="646">
        <v>113.55051926526406</v>
      </c>
      <c r="HA33" s="646">
        <v>0</v>
      </c>
      <c r="HB33" s="646">
        <v>0</v>
      </c>
      <c r="HC33" s="646">
        <v>46.142609293949768</v>
      </c>
      <c r="HD33" s="646">
        <v>11.721543000644177</v>
      </c>
      <c r="HE33" s="646">
        <v>3600</v>
      </c>
      <c r="HF33" s="563" t="s">
        <v>1587</v>
      </c>
      <c r="HG33" s="563">
        <v>4</v>
      </c>
      <c r="HH33" s="563">
        <v>0</v>
      </c>
      <c r="HI33" s="563">
        <v>0</v>
      </c>
      <c r="HJ33" s="563">
        <v>0</v>
      </c>
      <c r="HK33" s="650">
        <v>5843.0482301206466</v>
      </c>
      <c r="HL33" s="563">
        <v>0</v>
      </c>
      <c r="HM33" s="563">
        <v>0</v>
      </c>
      <c r="HN33" s="563">
        <v>0</v>
      </c>
      <c r="HO33" s="650">
        <v>5676.7044357794648</v>
      </c>
      <c r="HP33" s="564">
        <v>4000</v>
      </c>
      <c r="HQ33" s="565">
        <v>205.25072003453315</v>
      </c>
      <c r="HR33" s="649">
        <v>13.539020600000001</v>
      </c>
      <c r="HS33" s="646">
        <v>113.55051926526406</v>
      </c>
      <c r="HT33" s="646">
        <v>0</v>
      </c>
      <c r="HU33" s="646">
        <v>0</v>
      </c>
      <c r="HV33" s="646">
        <v>46.142609293949768</v>
      </c>
      <c r="HW33" s="646">
        <v>11.721543000644177</v>
      </c>
      <c r="HX33" s="646">
        <v>3600</v>
      </c>
      <c r="HY33" s="563" t="s">
        <v>68</v>
      </c>
      <c r="HZ33" s="563">
        <v>4</v>
      </c>
      <c r="IA33" s="563">
        <v>0</v>
      </c>
      <c r="IB33" s="563">
        <v>0</v>
      </c>
      <c r="IC33" s="563">
        <v>0</v>
      </c>
      <c r="ID33" s="650">
        <v>5153.0841718184447</v>
      </c>
      <c r="IE33" s="563">
        <v>0</v>
      </c>
      <c r="IF33" s="563">
        <v>0</v>
      </c>
      <c r="IG33" s="563">
        <v>0</v>
      </c>
      <c r="IH33" s="650">
        <v>5006.3827344965639</v>
      </c>
      <c r="II33" s="564">
        <v>4000</v>
      </c>
      <c r="IJ33" s="565">
        <v>205.25072003453315</v>
      </c>
      <c r="IK33" s="649">
        <v>13.539020600000001</v>
      </c>
      <c r="IL33" s="646">
        <v>113.55051926526406</v>
      </c>
      <c r="IM33" s="646">
        <v>0</v>
      </c>
      <c r="IN33" s="646">
        <v>0</v>
      </c>
      <c r="IO33" s="646">
        <v>46.142609293949768</v>
      </c>
      <c r="IP33" s="646">
        <v>11.721543000644177</v>
      </c>
      <c r="IQ33" s="646">
        <v>3600</v>
      </c>
      <c r="IR33" s="563" t="s">
        <v>68</v>
      </c>
      <c r="IS33" s="563">
        <v>4</v>
      </c>
      <c r="IT33" s="563">
        <v>0</v>
      </c>
      <c r="IU33" s="563">
        <v>0</v>
      </c>
      <c r="IV33" s="563">
        <v>0</v>
      </c>
      <c r="IW33" s="650">
        <v>5153.0841718184447</v>
      </c>
      <c r="IX33" s="563">
        <v>0</v>
      </c>
      <c r="IY33" s="563">
        <v>0</v>
      </c>
      <c r="IZ33" s="563">
        <v>0</v>
      </c>
      <c r="JA33" s="650">
        <v>5006.3827344965639</v>
      </c>
      <c r="JB33" s="564">
        <v>4000</v>
      </c>
      <c r="JC33" s="565">
        <v>205.25072003453315</v>
      </c>
      <c r="JD33" s="649">
        <v>13.539020600000001</v>
      </c>
      <c r="JE33" s="646">
        <v>113.55051926526406</v>
      </c>
      <c r="JF33" s="646">
        <v>0</v>
      </c>
      <c r="JG33" s="646">
        <v>0</v>
      </c>
      <c r="JH33" s="646">
        <v>46.142609293949768</v>
      </c>
      <c r="JI33" s="646">
        <v>11.721543000644177</v>
      </c>
      <c r="JJ33" s="646">
        <v>3600</v>
      </c>
      <c r="JK33" s="563" t="s">
        <v>67</v>
      </c>
      <c r="JL33" s="563">
        <v>4</v>
      </c>
      <c r="JM33" s="563">
        <v>0</v>
      </c>
      <c r="JN33" s="563">
        <v>0</v>
      </c>
      <c r="JO33" s="563">
        <v>0</v>
      </c>
      <c r="JP33" s="650">
        <v>7022.469999569701</v>
      </c>
      <c r="JQ33" s="563">
        <v>0</v>
      </c>
      <c r="JR33" s="563">
        <v>0</v>
      </c>
      <c r="JS33" s="563">
        <v>0</v>
      </c>
      <c r="JT33" s="650">
        <v>6822.5496396189101</v>
      </c>
      <c r="JU33" s="564">
        <v>4000</v>
      </c>
      <c r="JV33" s="565">
        <v>205.25072003453315</v>
      </c>
      <c r="JW33" s="649">
        <v>13.539020600000001</v>
      </c>
      <c r="JX33" s="646">
        <v>113.55051926526406</v>
      </c>
      <c r="JY33" s="646">
        <v>0</v>
      </c>
      <c r="JZ33" s="646">
        <v>0</v>
      </c>
      <c r="KA33" s="646">
        <v>46.142609293949768</v>
      </c>
      <c r="KB33" s="646">
        <v>11.721543000644177</v>
      </c>
      <c r="KC33" s="646">
        <v>3600</v>
      </c>
      <c r="KD33" s="563" t="s">
        <v>67</v>
      </c>
      <c r="KE33" s="563">
        <v>4</v>
      </c>
      <c r="KF33" s="563">
        <v>0</v>
      </c>
      <c r="KG33" s="563">
        <v>0</v>
      </c>
      <c r="KH33" s="563">
        <v>0</v>
      </c>
      <c r="KI33" s="650">
        <v>7022.469999569701</v>
      </c>
      <c r="KJ33" s="563">
        <v>0</v>
      </c>
      <c r="KK33" s="563">
        <v>0</v>
      </c>
      <c r="KL33" s="563">
        <v>0</v>
      </c>
      <c r="KM33" s="650">
        <v>6822.5496396189101</v>
      </c>
      <c r="KN33" s="564">
        <v>4000</v>
      </c>
      <c r="KO33" s="566">
        <v>205.25072003453315</v>
      </c>
    </row>
    <row r="34" spans="1:301" ht="15" customHeight="1">
      <c r="A34" s="663" t="s">
        <v>811</v>
      </c>
      <c r="B34" s="629" t="s">
        <v>384</v>
      </c>
      <c r="C34" s="629">
        <v>371.62197504944044</v>
      </c>
      <c r="D34" s="629">
        <v>980</v>
      </c>
      <c r="E34" s="629">
        <v>355</v>
      </c>
      <c r="F34" s="629">
        <v>315</v>
      </c>
      <c r="G34" s="629">
        <v>201</v>
      </c>
      <c r="H34" s="629">
        <v>133</v>
      </c>
      <c r="I34" s="629">
        <v>81.99070231404913</v>
      </c>
      <c r="J34" s="629">
        <v>35.26269356060623</v>
      </c>
      <c r="K34" s="629">
        <v>55.851800423607244</v>
      </c>
      <c r="L34" s="629">
        <v>10</v>
      </c>
      <c r="M34" s="629">
        <v>457</v>
      </c>
      <c r="N34" s="629">
        <v>6</v>
      </c>
      <c r="O34" s="623">
        <v>30.865411510741531</v>
      </c>
      <c r="P34" s="629">
        <v>6</v>
      </c>
      <c r="Q34" s="623">
        <v>20.163696074170865</v>
      </c>
      <c r="R34" s="629">
        <v>18.000000000000004</v>
      </c>
      <c r="S34" s="629">
        <v>644.45412622940682</v>
      </c>
      <c r="T34" s="645">
        <v>46.090992550219696</v>
      </c>
      <c r="U34" s="645">
        <v>96.668118934411027</v>
      </c>
      <c r="V34" s="645">
        <v>85</v>
      </c>
      <c r="W34" s="793">
        <v>3.6728759688456316</v>
      </c>
      <c r="X34" s="646">
        <v>0</v>
      </c>
      <c r="Y34" s="646">
        <v>0</v>
      </c>
      <c r="Z34" s="646">
        <v>0</v>
      </c>
      <c r="AA34" s="646">
        <v>0</v>
      </c>
      <c r="AB34" s="647">
        <v>23.200321115658284</v>
      </c>
      <c r="AC34" s="784">
        <v>4000</v>
      </c>
      <c r="AD34" s="631">
        <v>0.72410386997193488</v>
      </c>
      <c r="AE34" s="631">
        <v>0.70706237774199721</v>
      </c>
      <c r="AF34" s="631">
        <v>-0.27008256358604837</v>
      </c>
      <c r="AG34" s="631">
        <v>1.0456674070371257</v>
      </c>
      <c r="AH34" s="629"/>
      <c r="AI34" s="648">
        <v>3.7827615780759731</v>
      </c>
      <c r="AJ34" s="649">
        <v>23.138051850496073</v>
      </c>
      <c r="AK34" s="646">
        <v>123.93102795447379</v>
      </c>
      <c r="AL34" s="646">
        <v>0</v>
      </c>
      <c r="AM34" s="646">
        <v>0</v>
      </c>
      <c r="AN34" s="646">
        <v>50.634514474795118</v>
      </c>
      <c r="AO34" s="646">
        <v>13.229044603717171</v>
      </c>
      <c r="AP34" s="801">
        <v>3600</v>
      </c>
      <c r="AQ34" s="563" t="s">
        <v>71</v>
      </c>
      <c r="AR34" s="563">
        <v>6</v>
      </c>
      <c r="AS34" s="563">
        <v>0</v>
      </c>
      <c r="AT34" s="563">
        <v>0</v>
      </c>
      <c r="AU34" s="563">
        <v>0</v>
      </c>
      <c r="AV34" s="650">
        <v>4454.2265111257138</v>
      </c>
      <c r="AW34" s="563">
        <v>0</v>
      </c>
      <c r="AX34" s="563">
        <v>0</v>
      </c>
      <c r="AY34" s="563">
        <v>0</v>
      </c>
      <c r="AZ34" s="650">
        <v>6540.347299250252</v>
      </c>
      <c r="BA34" s="564">
        <v>4000</v>
      </c>
      <c r="BB34" s="565">
        <v>205.25072003453315</v>
      </c>
      <c r="BC34" s="649">
        <v>23.138051850496073</v>
      </c>
      <c r="BD34" s="646">
        <v>123.93102795447379</v>
      </c>
      <c r="BE34" s="646">
        <v>0</v>
      </c>
      <c r="BF34" s="646">
        <v>0</v>
      </c>
      <c r="BG34" s="646">
        <v>50.634514474795118</v>
      </c>
      <c r="BH34" s="646">
        <v>13.229044603717171</v>
      </c>
      <c r="BI34" s="646">
        <v>3600</v>
      </c>
      <c r="BJ34" s="563" t="s">
        <v>71</v>
      </c>
      <c r="BK34" s="563">
        <v>6</v>
      </c>
      <c r="BL34" s="563">
        <v>0</v>
      </c>
      <c r="BM34" s="563">
        <v>0</v>
      </c>
      <c r="BN34" s="563">
        <v>0</v>
      </c>
      <c r="BO34" s="650">
        <v>4454.2265111257138</v>
      </c>
      <c r="BP34" s="563">
        <v>0</v>
      </c>
      <c r="BQ34" s="563">
        <v>0</v>
      </c>
      <c r="BR34" s="563">
        <v>0</v>
      </c>
      <c r="BS34" s="650">
        <v>6540.347299250252</v>
      </c>
      <c r="BT34" s="564">
        <v>4000</v>
      </c>
      <c r="BU34" s="565">
        <v>205.25072003453315</v>
      </c>
      <c r="BV34" s="649">
        <v>23.138051850496073</v>
      </c>
      <c r="BW34" s="646">
        <v>123.93102795447379</v>
      </c>
      <c r="BX34" s="646">
        <v>0</v>
      </c>
      <c r="BY34" s="646">
        <v>0</v>
      </c>
      <c r="BZ34" s="646">
        <v>50.634514474795118</v>
      </c>
      <c r="CA34" s="646">
        <v>13.229044603717171</v>
      </c>
      <c r="CB34" s="646">
        <v>3600</v>
      </c>
      <c r="CC34" s="563" t="s">
        <v>1584</v>
      </c>
      <c r="CD34" s="563">
        <v>6</v>
      </c>
      <c r="CE34" s="563">
        <v>0</v>
      </c>
      <c r="CF34" s="563">
        <v>0</v>
      </c>
      <c r="CG34" s="563">
        <v>0</v>
      </c>
      <c r="CH34" s="650">
        <v>4364.2328604141348</v>
      </c>
      <c r="CI34" s="563">
        <v>0</v>
      </c>
      <c r="CJ34" s="563">
        <v>0</v>
      </c>
      <c r="CK34" s="563">
        <v>0</v>
      </c>
      <c r="CL34" s="650">
        <v>6408.205449501259</v>
      </c>
      <c r="CM34" s="564">
        <v>4000</v>
      </c>
      <c r="CN34" s="565">
        <v>205.25072003453315</v>
      </c>
      <c r="CO34" s="649">
        <v>23.138051850496073</v>
      </c>
      <c r="CP34" s="646">
        <v>123.93102795447379</v>
      </c>
      <c r="CQ34" s="646">
        <v>0</v>
      </c>
      <c r="CR34" s="646">
        <v>0</v>
      </c>
      <c r="CS34" s="646">
        <v>50.634514474795118</v>
      </c>
      <c r="CT34" s="646">
        <v>13.229044603717171</v>
      </c>
      <c r="CU34" s="646">
        <v>3600</v>
      </c>
      <c r="CV34" s="563" t="s">
        <v>1584</v>
      </c>
      <c r="CW34" s="563">
        <v>6</v>
      </c>
      <c r="CX34" s="563">
        <v>0</v>
      </c>
      <c r="CY34" s="563">
        <v>0</v>
      </c>
      <c r="CZ34" s="563">
        <v>0</v>
      </c>
      <c r="DA34" s="650">
        <v>4364.2328604141348</v>
      </c>
      <c r="DB34" s="563">
        <v>0</v>
      </c>
      <c r="DC34" s="563">
        <v>0</v>
      </c>
      <c r="DD34" s="563">
        <v>0</v>
      </c>
      <c r="DE34" s="650">
        <v>6408.205449501259</v>
      </c>
      <c r="DF34" s="564">
        <v>4000</v>
      </c>
      <c r="DG34" s="565">
        <v>205.25072003453315</v>
      </c>
      <c r="DH34" s="649">
        <v>23.138051850496073</v>
      </c>
      <c r="DI34" s="646">
        <v>123.93102795447379</v>
      </c>
      <c r="DJ34" s="646">
        <v>0</v>
      </c>
      <c r="DK34" s="646">
        <v>0</v>
      </c>
      <c r="DL34" s="646">
        <v>50.634514474795118</v>
      </c>
      <c r="DM34" s="646">
        <v>13.229044603717171</v>
      </c>
      <c r="DN34" s="646">
        <v>3600</v>
      </c>
      <c r="DO34" s="563" t="s">
        <v>1588</v>
      </c>
      <c r="DP34" s="563">
        <v>6</v>
      </c>
      <c r="DQ34" s="563">
        <v>0</v>
      </c>
      <c r="DR34" s="563">
        <v>0</v>
      </c>
      <c r="DS34" s="563">
        <v>0</v>
      </c>
      <c r="DT34" s="650">
        <v>4542.4375796384656</v>
      </c>
      <c r="DU34" s="563">
        <v>0</v>
      </c>
      <c r="DV34" s="563">
        <v>0</v>
      </c>
      <c r="DW34" s="563">
        <v>0</v>
      </c>
      <c r="DX34" s="650">
        <v>6669.8717009101783</v>
      </c>
      <c r="DY34" s="564">
        <v>4000</v>
      </c>
      <c r="DZ34" s="565">
        <v>205.25072003453315</v>
      </c>
      <c r="EA34" s="649">
        <v>23.138051850496073</v>
      </c>
      <c r="EB34" s="646">
        <v>123.93102795447379</v>
      </c>
      <c r="EC34" s="646">
        <v>0</v>
      </c>
      <c r="ED34" s="646">
        <v>0</v>
      </c>
      <c r="EE34" s="646">
        <v>50.634514474795118</v>
      </c>
      <c r="EF34" s="646">
        <v>13.229044603717171</v>
      </c>
      <c r="EG34" s="646">
        <v>3600</v>
      </c>
      <c r="EH34" s="563" t="s">
        <v>1588</v>
      </c>
      <c r="EI34" s="563">
        <v>6</v>
      </c>
      <c r="EJ34" s="563">
        <v>0</v>
      </c>
      <c r="EK34" s="563">
        <v>0</v>
      </c>
      <c r="EL34" s="563">
        <v>0</v>
      </c>
      <c r="EM34" s="650">
        <v>4542.4375796384656</v>
      </c>
      <c r="EN34" s="563">
        <v>0</v>
      </c>
      <c r="EO34" s="563">
        <v>0</v>
      </c>
      <c r="EP34" s="563">
        <v>0</v>
      </c>
      <c r="EQ34" s="650">
        <v>6669.8717009101783</v>
      </c>
      <c r="ER34" s="564">
        <v>4000</v>
      </c>
      <c r="ES34" s="565">
        <v>205.25072003453315</v>
      </c>
      <c r="ET34" s="649">
        <v>19.281709875413394</v>
      </c>
      <c r="EU34" s="646">
        <v>120.07468597939112</v>
      </c>
      <c r="EV34" s="646">
        <v>0</v>
      </c>
      <c r="EW34" s="646">
        <v>0</v>
      </c>
      <c r="EX34" s="646">
        <v>50.124975455085213</v>
      </c>
      <c r="EY34" s="646">
        <v>12.699519252032282</v>
      </c>
      <c r="EZ34" s="646">
        <v>3600</v>
      </c>
      <c r="FA34" s="563" t="s">
        <v>1589</v>
      </c>
      <c r="FB34" s="563">
        <v>5</v>
      </c>
      <c r="FC34" s="563">
        <v>0</v>
      </c>
      <c r="FD34" s="563">
        <v>0</v>
      </c>
      <c r="FE34" s="563">
        <v>0</v>
      </c>
      <c r="FF34" s="650">
        <v>4140.1592099927375</v>
      </c>
      <c r="FG34" s="563">
        <v>0</v>
      </c>
      <c r="FH34" s="563">
        <v>0</v>
      </c>
      <c r="FI34" s="563">
        <v>0</v>
      </c>
      <c r="FJ34" s="650">
        <v>5638.6915255501872</v>
      </c>
      <c r="FK34" s="564">
        <v>4000</v>
      </c>
      <c r="FL34" s="565">
        <v>205.25072003453315</v>
      </c>
      <c r="FM34" s="649">
        <v>19.281709875413394</v>
      </c>
      <c r="FN34" s="646">
        <v>120.07468597939112</v>
      </c>
      <c r="FO34" s="646">
        <v>0</v>
      </c>
      <c r="FP34" s="646">
        <v>0</v>
      </c>
      <c r="FQ34" s="646">
        <v>50.124975455085213</v>
      </c>
      <c r="FR34" s="646">
        <v>12.699519252032282</v>
      </c>
      <c r="FS34" s="646">
        <v>3600</v>
      </c>
      <c r="FT34" s="563" t="s">
        <v>1589</v>
      </c>
      <c r="FU34" s="563">
        <v>5</v>
      </c>
      <c r="FV34" s="563">
        <v>0</v>
      </c>
      <c r="FW34" s="563">
        <v>0</v>
      </c>
      <c r="FX34" s="563">
        <v>0</v>
      </c>
      <c r="FY34" s="650">
        <v>4140.1592099927375</v>
      </c>
      <c r="FZ34" s="563">
        <v>0</v>
      </c>
      <c r="GA34" s="563">
        <v>0</v>
      </c>
      <c r="GB34" s="563">
        <v>0</v>
      </c>
      <c r="GC34" s="650">
        <v>5638.6915255501872</v>
      </c>
      <c r="GD34" s="564">
        <v>4000</v>
      </c>
      <c r="GE34" s="565">
        <v>205.25072003453315</v>
      </c>
      <c r="GF34" s="649">
        <v>15.425367900330714</v>
      </c>
      <c r="GG34" s="646">
        <v>116.21834400430843</v>
      </c>
      <c r="GH34" s="646">
        <v>0</v>
      </c>
      <c r="GI34" s="646">
        <v>0</v>
      </c>
      <c r="GJ34" s="646">
        <v>49.58162152041529</v>
      </c>
      <c r="GK34" s="646">
        <v>12.169993900347393</v>
      </c>
      <c r="GL34" s="646">
        <v>3600</v>
      </c>
      <c r="GM34" s="563" t="s">
        <v>1587</v>
      </c>
      <c r="GN34" s="563">
        <v>4</v>
      </c>
      <c r="GO34" s="563">
        <v>0</v>
      </c>
      <c r="GP34" s="563">
        <v>0</v>
      </c>
      <c r="GQ34" s="563">
        <v>0</v>
      </c>
      <c r="GR34" s="650">
        <v>4375.1062225427913</v>
      </c>
      <c r="GS34" s="563">
        <v>0</v>
      </c>
      <c r="GT34" s="563">
        <v>0</v>
      </c>
      <c r="GU34" s="563">
        <v>0</v>
      </c>
      <c r="GV34" s="650">
        <v>5719.1792337897041</v>
      </c>
      <c r="GW34" s="564">
        <v>4000</v>
      </c>
      <c r="GX34" s="565">
        <v>205.25072003453315</v>
      </c>
      <c r="GY34" s="649">
        <v>15.425367900330714</v>
      </c>
      <c r="GZ34" s="646">
        <v>116.21834400430843</v>
      </c>
      <c r="HA34" s="646">
        <v>0</v>
      </c>
      <c r="HB34" s="646">
        <v>0</v>
      </c>
      <c r="HC34" s="646">
        <v>49.58162152041529</v>
      </c>
      <c r="HD34" s="646">
        <v>12.169993900347393</v>
      </c>
      <c r="HE34" s="646">
        <v>3600</v>
      </c>
      <c r="HF34" s="563" t="s">
        <v>1587</v>
      </c>
      <c r="HG34" s="563">
        <v>4</v>
      </c>
      <c r="HH34" s="563">
        <v>0</v>
      </c>
      <c r="HI34" s="563">
        <v>0</v>
      </c>
      <c r="HJ34" s="563">
        <v>0</v>
      </c>
      <c r="HK34" s="650">
        <v>4375.1062225427913</v>
      </c>
      <c r="HL34" s="563">
        <v>0</v>
      </c>
      <c r="HM34" s="563">
        <v>0</v>
      </c>
      <c r="HN34" s="563">
        <v>0</v>
      </c>
      <c r="HO34" s="650">
        <v>5719.1792337897041</v>
      </c>
      <c r="HP34" s="564">
        <v>4000</v>
      </c>
      <c r="HQ34" s="565">
        <v>205.25072003453315</v>
      </c>
      <c r="HR34" s="649">
        <v>19.281709875413394</v>
      </c>
      <c r="HS34" s="646">
        <v>120.07468597939112</v>
      </c>
      <c r="HT34" s="646">
        <v>0</v>
      </c>
      <c r="HU34" s="646">
        <v>0</v>
      </c>
      <c r="HV34" s="646">
        <v>50.124975455085213</v>
      </c>
      <c r="HW34" s="646">
        <v>12.699519252032282</v>
      </c>
      <c r="HX34" s="646">
        <v>3600</v>
      </c>
      <c r="HY34" s="563" t="s">
        <v>68</v>
      </c>
      <c r="HZ34" s="563">
        <v>5</v>
      </c>
      <c r="IA34" s="563">
        <v>0</v>
      </c>
      <c r="IB34" s="563">
        <v>0</v>
      </c>
      <c r="IC34" s="563">
        <v>0</v>
      </c>
      <c r="ID34" s="650">
        <v>4509.6211270942194</v>
      </c>
      <c r="IE34" s="563">
        <v>0</v>
      </c>
      <c r="IF34" s="563">
        <v>0</v>
      </c>
      <c r="IG34" s="563">
        <v>0</v>
      </c>
      <c r="IH34" s="650">
        <v>6141.8803343151785</v>
      </c>
      <c r="II34" s="564">
        <v>4000</v>
      </c>
      <c r="IJ34" s="565">
        <v>205.25072003453315</v>
      </c>
      <c r="IK34" s="649">
        <v>19.281709875413394</v>
      </c>
      <c r="IL34" s="646">
        <v>120.07468597939112</v>
      </c>
      <c r="IM34" s="646">
        <v>0</v>
      </c>
      <c r="IN34" s="646">
        <v>0</v>
      </c>
      <c r="IO34" s="646">
        <v>50.124975455085213</v>
      </c>
      <c r="IP34" s="646">
        <v>12.699519252032282</v>
      </c>
      <c r="IQ34" s="646">
        <v>3600</v>
      </c>
      <c r="IR34" s="563" t="s">
        <v>68</v>
      </c>
      <c r="IS34" s="563">
        <v>5</v>
      </c>
      <c r="IT34" s="563">
        <v>0</v>
      </c>
      <c r="IU34" s="563">
        <v>0</v>
      </c>
      <c r="IV34" s="563">
        <v>0</v>
      </c>
      <c r="IW34" s="650">
        <v>4509.6211270942194</v>
      </c>
      <c r="IX34" s="563">
        <v>0</v>
      </c>
      <c r="IY34" s="563">
        <v>0</v>
      </c>
      <c r="IZ34" s="563">
        <v>0</v>
      </c>
      <c r="JA34" s="650">
        <v>6141.8803343151785</v>
      </c>
      <c r="JB34" s="564">
        <v>4000</v>
      </c>
      <c r="JC34" s="565">
        <v>205.25072003453315</v>
      </c>
      <c r="JD34" s="649">
        <v>15.425367900330714</v>
      </c>
      <c r="JE34" s="646">
        <v>116.21834400430843</v>
      </c>
      <c r="JF34" s="646">
        <v>0</v>
      </c>
      <c r="JG34" s="646">
        <v>0</v>
      </c>
      <c r="JH34" s="646">
        <v>49.58162152041529</v>
      </c>
      <c r="JI34" s="646">
        <v>12.169993900347393</v>
      </c>
      <c r="JJ34" s="646">
        <v>3600</v>
      </c>
      <c r="JK34" s="563" t="s">
        <v>67</v>
      </c>
      <c r="JL34" s="563">
        <v>4</v>
      </c>
      <c r="JM34" s="563">
        <v>0</v>
      </c>
      <c r="JN34" s="563">
        <v>0</v>
      </c>
      <c r="JO34" s="563">
        <v>0</v>
      </c>
      <c r="JP34" s="650">
        <v>5258.2232736598644</v>
      </c>
      <c r="JQ34" s="563">
        <v>0</v>
      </c>
      <c r="JR34" s="563">
        <v>0</v>
      </c>
      <c r="JS34" s="563">
        <v>0</v>
      </c>
      <c r="JT34" s="650">
        <v>6873.597993665875</v>
      </c>
      <c r="JU34" s="564">
        <v>4000</v>
      </c>
      <c r="JV34" s="565">
        <v>205.25072003453315</v>
      </c>
      <c r="JW34" s="649">
        <v>15.425367900330714</v>
      </c>
      <c r="JX34" s="646">
        <v>116.21834400430843</v>
      </c>
      <c r="JY34" s="646">
        <v>0</v>
      </c>
      <c r="JZ34" s="646">
        <v>0</v>
      </c>
      <c r="KA34" s="646">
        <v>49.58162152041529</v>
      </c>
      <c r="KB34" s="646">
        <v>12.169993900347393</v>
      </c>
      <c r="KC34" s="646">
        <v>3600</v>
      </c>
      <c r="KD34" s="563" t="s">
        <v>67</v>
      </c>
      <c r="KE34" s="563">
        <v>4</v>
      </c>
      <c r="KF34" s="563">
        <v>0</v>
      </c>
      <c r="KG34" s="563">
        <v>0</v>
      </c>
      <c r="KH34" s="563">
        <v>0</v>
      </c>
      <c r="KI34" s="650">
        <v>5258.2232736598644</v>
      </c>
      <c r="KJ34" s="563">
        <v>0</v>
      </c>
      <c r="KK34" s="563">
        <v>0</v>
      </c>
      <c r="KL34" s="563">
        <v>0</v>
      </c>
      <c r="KM34" s="650">
        <v>6873.597993665875</v>
      </c>
      <c r="KN34" s="564">
        <v>4000</v>
      </c>
      <c r="KO34" s="566">
        <v>205.25072003453315</v>
      </c>
    </row>
    <row r="35" spans="1:301" ht="15" customHeight="1">
      <c r="A35" s="802" t="s">
        <v>812</v>
      </c>
      <c r="B35" s="629" t="s">
        <v>384</v>
      </c>
      <c r="C35" s="629">
        <v>345</v>
      </c>
      <c r="D35" s="629">
        <v>980</v>
      </c>
      <c r="E35" s="629">
        <v>355</v>
      </c>
      <c r="F35" s="629">
        <v>276.50505811244818</v>
      </c>
      <c r="G35" s="629">
        <v>149.64435343337104</v>
      </c>
      <c r="H35" s="629">
        <v>122.4719392195997</v>
      </c>
      <c r="I35" s="629">
        <v>82.8</v>
      </c>
      <c r="J35" s="629">
        <v>35.01</v>
      </c>
      <c r="K35" s="629">
        <v>47.81</v>
      </c>
      <c r="L35" s="629">
        <v>10</v>
      </c>
      <c r="M35" s="629">
        <v>488.35355202579035</v>
      </c>
      <c r="N35" s="629">
        <v>6</v>
      </c>
      <c r="O35" s="623">
        <v>30.865411510741531</v>
      </c>
      <c r="P35" s="629">
        <v>6</v>
      </c>
      <c r="Q35" s="623">
        <v>20.926471922481088</v>
      </c>
      <c r="R35" s="629">
        <v>18.000000000000004</v>
      </c>
      <c r="S35" s="629">
        <v>628.25252905622403</v>
      </c>
      <c r="T35" s="645">
        <v>43.802665005289029</v>
      </c>
      <c r="U35" s="645">
        <v>94.237879358433602</v>
      </c>
      <c r="V35" s="645">
        <v>72.5</v>
      </c>
      <c r="W35" s="793">
        <v>2.9772123870782381</v>
      </c>
      <c r="X35" s="646">
        <v>0</v>
      </c>
      <c r="Y35" s="646">
        <v>0</v>
      </c>
      <c r="Z35" s="646">
        <v>0</v>
      </c>
      <c r="AA35" s="646">
        <v>0</v>
      </c>
      <c r="AB35" s="647">
        <v>20.518371272857184</v>
      </c>
      <c r="AC35" s="784">
        <v>4000</v>
      </c>
      <c r="AD35" s="631">
        <v>0.4032942506577531</v>
      </c>
      <c r="AE35" s="631">
        <v>0.70046767478066729</v>
      </c>
      <c r="AF35" s="631">
        <v>-0.32230890848126437</v>
      </c>
      <c r="AG35" s="631">
        <v>1.2600977889005627</v>
      </c>
      <c r="AH35" s="629"/>
      <c r="AI35" s="648">
        <v>3.8326743582020111</v>
      </c>
      <c r="AJ35" s="649">
        <v>19.673136327388558</v>
      </c>
      <c r="AK35" s="646">
        <v>118.24489715297845</v>
      </c>
      <c r="AL35" s="646">
        <v>0</v>
      </c>
      <c r="AM35" s="646">
        <v>0</v>
      </c>
      <c r="AN35" s="646">
        <v>46.934606602697897</v>
      </c>
      <c r="AO35" s="646">
        <v>12.551885517726069</v>
      </c>
      <c r="AP35" s="801">
        <v>3600</v>
      </c>
      <c r="AQ35" s="563" t="s">
        <v>71</v>
      </c>
      <c r="AR35" s="563">
        <v>5</v>
      </c>
      <c r="AS35" s="563">
        <v>0</v>
      </c>
      <c r="AT35" s="563">
        <v>0</v>
      </c>
      <c r="AU35" s="563">
        <v>0</v>
      </c>
      <c r="AV35" s="650">
        <v>4375.3831684778697</v>
      </c>
      <c r="AW35" s="563">
        <v>0</v>
      </c>
      <c r="AX35" s="563">
        <v>0</v>
      </c>
      <c r="AY35" s="563">
        <v>0</v>
      </c>
      <c r="AZ35" s="650">
        <v>4683.7826627530567</v>
      </c>
      <c r="BA35" s="564">
        <v>4000</v>
      </c>
      <c r="BB35" s="565">
        <v>205.25072003453315</v>
      </c>
      <c r="BC35" s="649">
        <v>19.673136327388558</v>
      </c>
      <c r="BD35" s="646">
        <v>118.24489715297845</v>
      </c>
      <c r="BE35" s="646">
        <v>0</v>
      </c>
      <c r="BF35" s="646">
        <v>0</v>
      </c>
      <c r="BG35" s="646">
        <v>46.934606602697897</v>
      </c>
      <c r="BH35" s="646">
        <v>12.551885517726069</v>
      </c>
      <c r="BI35" s="646">
        <v>3600</v>
      </c>
      <c r="BJ35" s="563" t="s">
        <v>71</v>
      </c>
      <c r="BK35" s="563">
        <v>5</v>
      </c>
      <c r="BL35" s="563">
        <v>0</v>
      </c>
      <c r="BM35" s="563">
        <v>0</v>
      </c>
      <c r="BN35" s="563">
        <v>0</v>
      </c>
      <c r="BO35" s="650">
        <v>4375.3831684778697</v>
      </c>
      <c r="BP35" s="563">
        <v>0</v>
      </c>
      <c r="BQ35" s="563">
        <v>0</v>
      </c>
      <c r="BR35" s="563">
        <v>0</v>
      </c>
      <c r="BS35" s="650">
        <v>4683.7826627530567</v>
      </c>
      <c r="BT35" s="564">
        <v>4000</v>
      </c>
      <c r="BU35" s="565">
        <v>205.25072003453315</v>
      </c>
      <c r="BV35" s="649">
        <v>19.673136327388558</v>
      </c>
      <c r="BW35" s="646">
        <v>118.24489715297845</v>
      </c>
      <c r="BX35" s="646">
        <v>0</v>
      </c>
      <c r="BY35" s="646">
        <v>0</v>
      </c>
      <c r="BZ35" s="646">
        <v>46.934606602697897</v>
      </c>
      <c r="CA35" s="646">
        <v>12.551885517726069</v>
      </c>
      <c r="CB35" s="646">
        <v>3600</v>
      </c>
      <c r="CC35" s="563" t="s">
        <v>1584</v>
      </c>
      <c r="CD35" s="563">
        <v>5</v>
      </c>
      <c r="CE35" s="563">
        <v>0</v>
      </c>
      <c r="CF35" s="563">
        <v>0</v>
      </c>
      <c r="CG35" s="563">
        <v>0</v>
      </c>
      <c r="CH35" s="650">
        <v>4286.9824767730825</v>
      </c>
      <c r="CI35" s="563">
        <v>0</v>
      </c>
      <c r="CJ35" s="563">
        <v>0</v>
      </c>
      <c r="CK35" s="563">
        <v>0</v>
      </c>
      <c r="CL35" s="650">
        <v>4589.1510359357171</v>
      </c>
      <c r="CM35" s="564">
        <v>4000</v>
      </c>
      <c r="CN35" s="565">
        <v>205.25072003453315</v>
      </c>
      <c r="CO35" s="649">
        <v>19.673136327388558</v>
      </c>
      <c r="CP35" s="646">
        <v>118.24489715297845</v>
      </c>
      <c r="CQ35" s="646">
        <v>0</v>
      </c>
      <c r="CR35" s="646">
        <v>0</v>
      </c>
      <c r="CS35" s="646">
        <v>46.934606602697897</v>
      </c>
      <c r="CT35" s="646">
        <v>12.551885517726069</v>
      </c>
      <c r="CU35" s="646">
        <v>3600</v>
      </c>
      <c r="CV35" s="563" t="s">
        <v>1584</v>
      </c>
      <c r="CW35" s="563">
        <v>5</v>
      </c>
      <c r="CX35" s="563">
        <v>0</v>
      </c>
      <c r="CY35" s="563">
        <v>0</v>
      </c>
      <c r="CZ35" s="563">
        <v>0</v>
      </c>
      <c r="DA35" s="650">
        <v>4286.9824767730825</v>
      </c>
      <c r="DB35" s="563">
        <v>0</v>
      </c>
      <c r="DC35" s="563">
        <v>0</v>
      </c>
      <c r="DD35" s="563">
        <v>0</v>
      </c>
      <c r="DE35" s="650">
        <v>4589.1510359357171</v>
      </c>
      <c r="DF35" s="564">
        <v>4000</v>
      </c>
      <c r="DG35" s="565">
        <v>205.25072003453315</v>
      </c>
      <c r="DH35" s="649">
        <v>19.673136327388558</v>
      </c>
      <c r="DI35" s="646">
        <v>118.24489715297845</v>
      </c>
      <c r="DJ35" s="646">
        <v>0</v>
      </c>
      <c r="DK35" s="646">
        <v>0</v>
      </c>
      <c r="DL35" s="646">
        <v>46.934606602697897</v>
      </c>
      <c r="DM35" s="646">
        <v>12.551885517726069</v>
      </c>
      <c r="DN35" s="646">
        <v>3600</v>
      </c>
      <c r="DO35" s="563" t="s">
        <v>1588</v>
      </c>
      <c r="DP35" s="563">
        <v>5</v>
      </c>
      <c r="DQ35" s="563">
        <v>0</v>
      </c>
      <c r="DR35" s="563">
        <v>0</v>
      </c>
      <c r="DS35" s="563">
        <v>0</v>
      </c>
      <c r="DT35" s="650">
        <v>4462.0328311028179</v>
      </c>
      <c r="DU35" s="563">
        <v>0</v>
      </c>
      <c r="DV35" s="563">
        <v>0</v>
      </c>
      <c r="DW35" s="563">
        <v>0</v>
      </c>
      <c r="DX35" s="650">
        <v>4776.5398389610818</v>
      </c>
      <c r="DY35" s="564">
        <v>4000</v>
      </c>
      <c r="DZ35" s="565">
        <v>205.25072003453315</v>
      </c>
      <c r="EA35" s="649">
        <v>19.673136327388558</v>
      </c>
      <c r="EB35" s="646">
        <v>118.24489715297845</v>
      </c>
      <c r="EC35" s="646">
        <v>0</v>
      </c>
      <c r="ED35" s="646">
        <v>0</v>
      </c>
      <c r="EE35" s="646">
        <v>46.934606602697897</v>
      </c>
      <c r="EF35" s="646">
        <v>12.551885517726069</v>
      </c>
      <c r="EG35" s="646">
        <v>3600</v>
      </c>
      <c r="EH35" s="563" t="s">
        <v>1588</v>
      </c>
      <c r="EI35" s="563">
        <v>5</v>
      </c>
      <c r="EJ35" s="563">
        <v>0</v>
      </c>
      <c r="EK35" s="563">
        <v>0</v>
      </c>
      <c r="EL35" s="563">
        <v>0</v>
      </c>
      <c r="EM35" s="650">
        <v>4462.0328311028179</v>
      </c>
      <c r="EN35" s="563">
        <v>0</v>
      </c>
      <c r="EO35" s="563">
        <v>0</v>
      </c>
      <c r="EP35" s="563">
        <v>0</v>
      </c>
      <c r="EQ35" s="650">
        <v>4776.5398389610818</v>
      </c>
      <c r="ER35" s="564">
        <v>4000</v>
      </c>
      <c r="ES35" s="565">
        <v>205.25072003453315</v>
      </c>
      <c r="ET35" s="649">
        <v>15.738509061910847</v>
      </c>
      <c r="EU35" s="646">
        <v>114.31026988750074</v>
      </c>
      <c r="EV35" s="646">
        <v>0</v>
      </c>
      <c r="EW35" s="646">
        <v>0</v>
      </c>
      <c r="EX35" s="646">
        <v>46.442345208541305</v>
      </c>
      <c r="EY35" s="646">
        <v>12.020993638221285</v>
      </c>
      <c r="EZ35" s="646">
        <v>3600</v>
      </c>
      <c r="FA35" s="563" t="s">
        <v>1589</v>
      </c>
      <c r="FB35" s="563">
        <v>4</v>
      </c>
      <c r="FC35" s="563">
        <v>0</v>
      </c>
      <c r="FD35" s="563">
        <v>0</v>
      </c>
      <c r="FE35" s="563">
        <v>0</v>
      </c>
      <c r="FF35" s="650">
        <v>4045.9102742325599</v>
      </c>
      <c r="FG35" s="563">
        <v>0</v>
      </c>
      <c r="FH35" s="563">
        <v>0</v>
      </c>
      <c r="FI35" s="563">
        <v>0</v>
      </c>
      <c r="FJ35" s="650">
        <v>4183.4019276096105</v>
      </c>
      <c r="FK35" s="564">
        <v>4000</v>
      </c>
      <c r="FL35" s="565">
        <v>205.25072003453315</v>
      </c>
      <c r="FM35" s="649">
        <v>15.738509061910847</v>
      </c>
      <c r="FN35" s="646">
        <v>114.31026988750074</v>
      </c>
      <c r="FO35" s="646">
        <v>0</v>
      </c>
      <c r="FP35" s="646">
        <v>0</v>
      </c>
      <c r="FQ35" s="646">
        <v>46.442345208541305</v>
      </c>
      <c r="FR35" s="646">
        <v>12.020993638221285</v>
      </c>
      <c r="FS35" s="646">
        <v>3600</v>
      </c>
      <c r="FT35" s="563" t="s">
        <v>1589</v>
      </c>
      <c r="FU35" s="563">
        <v>4</v>
      </c>
      <c r="FV35" s="563">
        <v>0</v>
      </c>
      <c r="FW35" s="563">
        <v>0</v>
      </c>
      <c r="FX35" s="563">
        <v>0</v>
      </c>
      <c r="FY35" s="650">
        <v>4045.9102742325599</v>
      </c>
      <c r="FZ35" s="563">
        <v>0</v>
      </c>
      <c r="GA35" s="563">
        <v>0</v>
      </c>
      <c r="GB35" s="563">
        <v>0</v>
      </c>
      <c r="GC35" s="650">
        <v>4183.4019276096105</v>
      </c>
      <c r="GD35" s="564">
        <v>4000</v>
      </c>
      <c r="GE35" s="565">
        <v>205.25072003453315</v>
      </c>
      <c r="GF35" s="649">
        <v>15.738509061910847</v>
      </c>
      <c r="GG35" s="646">
        <v>114.31026988750074</v>
      </c>
      <c r="GH35" s="646">
        <v>0</v>
      </c>
      <c r="GI35" s="646">
        <v>0</v>
      </c>
      <c r="GJ35" s="646">
        <v>46.442345208541305</v>
      </c>
      <c r="GK35" s="646">
        <v>12.020993638221285</v>
      </c>
      <c r="GL35" s="646">
        <v>3600</v>
      </c>
      <c r="GM35" s="563" t="s">
        <v>1587</v>
      </c>
      <c r="GN35" s="563">
        <v>4</v>
      </c>
      <c r="GO35" s="563">
        <v>0</v>
      </c>
      <c r="GP35" s="563">
        <v>0</v>
      </c>
      <c r="GQ35" s="563">
        <v>0</v>
      </c>
      <c r="GR35" s="650">
        <v>4997.024699915979</v>
      </c>
      <c r="GS35" s="563">
        <v>0</v>
      </c>
      <c r="GT35" s="563">
        <v>0</v>
      </c>
      <c r="GU35" s="563">
        <v>0</v>
      </c>
      <c r="GV35" s="650">
        <v>5166.8379536435932</v>
      </c>
      <c r="GW35" s="564">
        <v>4000</v>
      </c>
      <c r="GX35" s="565">
        <v>205.25072003453315</v>
      </c>
      <c r="GY35" s="649">
        <v>15.738509061910847</v>
      </c>
      <c r="GZ35" s="646">
        <v>114.31026988750074</v>
      </c>
      <c r="HA35" s="646">
        <v>0</v>
      </c>
      <c r="HB35" s="646">
        <v>0</v>
      </c>
      <c r="HC35" s="646">
        <v>46.442345208541305</v>
      </c>
      <c r="HD35" s="646">
        <v>12.020993638221285</v>
      </c>
      <c r="HE35" s="646">
        <v>3600</v>
      </c>
      <c r="HF35" s="563" t="s">
        <v>1587</v>
      </c>
      <c r="HG35" s="563">
        <v>4</v>
      </c>
      <c r="HH35" s="563">
        <v>0</v>
      </c>
      <c r="HI35" s="563">
        <v>0</v>
      </c>
      <c r="HJ35" s="563">
        <v>0</v>
      </c>
      <c r="HK35" s="650">
        <v>4997.024699915979</v>
      </c>
      <c r="HL35" s="563">
        <v>0</v>
      </c>
      <c r="HM35" s="563">
        <v>0</v>
      </c>
      <c r="HN35" s="563">
        <v>0</v>
      </c>
      <c r="HO35" s="650">
        <v>5166.8379536435932</v>
      </c>
      <c r="HP35" s="564">
        <v>4000</v>
      </c>
      <c r="HQ35" s="565">
        <v>205.25072003453315</v>
      </c>
      <c r="HR35" s="649">
        <v>15.738509061910847</v>
      </c>
      <c r="HS35" s="646">
        <v>114.31026988750074</v>
      </c>
      <c r="HT35" s="646">
        <v>0</v>
      </c>
      <c r="HU35" s="646">
        <v>0</v>
      </c>
      <c r="HV35" s="646">
        <v>46.442345208541305</v>
      </c>
      <c r="HW35" s="646">
        <v>12.020993638221285</v>
      </c>
      <c r="HX35" s="646">
        <v>3600</v>
      </c>
      <c r="HY35" s="563" t="s">
        <v>68</v>
      </c>
      <c r="HZ35" s="563">
        <v>4</v>
      </c>
      <c r="IA35" s="563">
        <v>0</v>
      </c>
      <c r="IB35" s="563">
        <v>0</v>
      </c>
      <c r="IC35" s="563">
        <v>0</v>
      </c>
      <c r="ID35" s="650">
        <v>4406.9615504082822</v>
      </c>
      <c r="IE35" s="563">
        <v>0</v>
      </c>
      <c r="IF35" s="563">
        <v>0</v>
      </c>
      <c r="IG35" s="563">
        <v>0</v>
      </c>
      <c r="IH35" s="650">
        <v>4556.7227633036073</v>
      </c>
      <c r="II35" s="564">
        <v>4000</v>
      </c>
      <c r="IJ35" s="565">
        <v>205.25072003453315</v>
      </c>
      <c r="IK35" s="649">
        <v>15.738509061910847</v>
      </c>
      <c r="IL35" s="646">
        <v>114.31026988750074</v>
      </c>
      <c r="IM35" s="646">
        <v>0</v>
      </c>
      <c r="IN35" s="646">
        <v>0</v>
      </c>
      <c r="IO35" s="646">
        <v>46.442345208541305</v>
      </c>
      <c r="IP35" s="646">
        <v>12.020993638221285</v>
      </c>
      <c r="IQ35" s="646">
        <v>3600</v>
      </c>
      <c r="IR35" s="563" t="s">
        <v>68</v>
      </c>
      <c r="IS35" s="563">
        <v>4</v>
      </c>
      <c r="IT35" s="563">
        <v>0</v>
      </c>
      <c r="IU35" s="563">
        <v>0</v>
      </c>
      <c r="IV35" s="563">
        <v>0</v>
      </c>
      <c r="IW35" s="650">
        <v>4406.9615504082822</v>
      </c>
      <c r="IX35" s="563">
        <v>0</v>
      </c>
      <c r="IY35" s="563">
        <v>0</v>
      </c>
      <c r="IZ35" s="563">
        <v>0</v>
      </c>
      <c r="JA35" s="650">
        <v>4556.7227633036073</v>
      </c>
      <c r="JB35" s="564">
        <v>4000</v>
      </c>
      <c r="JC35" s="565">
        <v>205.25072003453315</v>
      </c>
      <c r="JD35" s="649">
        <v>15.738509061910847</v>
      </c>
      <c r="JE35" s="646">
        <v>114.31026988750074</v>
      </c>
      <c r="JF35" s="646">
        <v>0</v>
      </c>
      <c r="JG35" s="646">
        <v>0</v>
      </c>
      <c r="JH35" s="646">
        <v>46.442345208541305</v>
      </c>
      <c r="JI35" s="646">
        <v>12.020993638221285</v>
      </c>
      <c r="JJ35" s="646">
        <v>3600</v>
      </c>
      <c r="JK35" s="563" t="s">
        <v>67</v>
      </c>
      <c r="JL35" s="563">
        <v>4</v>
      </c>
      <c r="JM35" s="563">
        <v>0</v>
      </c>
      <c r="JN35" s="563">
        <v>0</v>
      </c>
      <c r="JO35" s="563">
        <v>0</v>
      </c>
      <c r="JP35" s="650">
        <v>6005.6762601023729</v>
      </c>
      <c r="JQ35" s="563">
        <v>0</v>
      </c>
      <c r="JR35" s="563">
        <v>0</v>
      </c>
      <c r="JS35" s="563">
        <v>0</v>
      </c>
      <c r="JT35" s="650">
        <v>6209.7663912918006</v>
      </c>
      <c r="JU35" s="564">
        <v>4000</v>
      </c>
      <c r="JV35" s="565">
        <v>205.25072003453315</v>
      </c>
      <c r="JW35" s="649">
        <v>15.738509061910847</v>
      </c>
      <c r="JX35" s="646">
        <v>114.31026988750074</v>
      </c>
      <c r="JY35" s="646">
        <v>0</v>
      </c>
      <c r="JZ35" s="646">
        <v>0</v>
      </c>
      <c r="KA35" s="646">
        <v>46.442345208541305</v>
      </c>
      <c r="KB35" s="646">
        <v>12.020993638221285</v>
      </c>
      <c r="KC35" s="646">
        <v>3600</v>
      </c>
      <c r="KD35" s="563" t="s">
        <v>67</v>
      </c>
      <c r="KE35" s="563">
        <v>4</v>
      </c>
      <c r="KF35" s="563">
        <v>0</v>
      </c>
      <c r="KG35" s="563">
        <v>0</v>
      </c>
      <c r="KH35" s="563">
        <v>0</v>
      </c>
      <c r="KI35" s="650">
        <v>6005.6762601023729</v>
      </c>
      <c r="KJ35" s="563">
        <v>0</v>
      </c>
      <c r="KK35" s="563">
        <v>0</v>
      </c>
      <c r="KL35" s="563">
        <v>0</v>
      </c>
      <c r="KM35" s="650">
        <v>6209.7663912918006</v>
      </c>
      <c r="KN35" s="564">
        <v>4000</v>
      </c>
      <c r="KO35" s="566">
        <v>205.25072003453315</v>
      </c>
    </row>
    <row r="36" spans="1:301" ht="15" customHeight="1">
      <c r="A36" s="663" t="s">
        <v>813</v>
      </c>
      <c r="B36" s="629" t="s">
        <v>385</v>
      </c>
      <c r="C36" s="629">
        <v>395</v>
      </c>
      <c r="D36" s="629">
        <v>980</v>
      </c>
      <c r="E36" s="629">
        <v>400</v>
      </c>
      <c r="F36" s="629">
        <v>350</v>
      </c>
      <c r="G36" s="629">
        <v>230</v>
      </c>
      <c r="H36" s="629">
        <v>155</v>
      </c>
      <c r="I36" s="629">
        <v>105.2</v>
      </c>
      <c r="J36" s="629">
        <v>34.950000000000003</v>
      </c>
      <c r="K36" s="629">
        <v>48.76</v>
      </c>
      <c r="L36" s="629">
        <v>9</v>
      </c>
      <c r="M36" s="629">
        <v>459</v>
      </c>
      <c r="N36" s="629">
        <v>6</v>
      </c>
      <c r="O36" s="623">
        <v>29.608599698214263</v>
      </c>
      <c r="P36" s="629">
        <v>6</v>
      </c>
      <c r="Q36" s="623">
        <v>19.845368390215921</v>
      </c>
      <c r="R36" s="629">
        <v>18.000000000000004</v>
      </c>
      <c r="S36" s="629">
        <v>651.09628579056857</v>
      </c>
      <c r="T36" s="645">
        <v>47.045975602084539</v>
      </c>
      <c r="U36" s="645">
        <v>97.664442868585283</v>
      </c>
      <c r="V36" s="645">
        <v>85</v>
      </c>
      <c r="W36" s="793">
        <v>3.7489761807911108</v>
      </c>
      <c r="X36" s="646">
        <v>0</v>
      </c>
      <c r="Y36" s="646">
        <v>0</v>
      </c>
      <c r="Z36" s="646">
        <v>0</v>
      </c>
      <c r="AA36" s="646">
        <v>0</v>
      </c>
      <c r="AB36" s="647">
        <v>25.117643205300908</v>
      </c>
      <c r="AC36" s="784">
        <v>4000</v>
      </c>
      <c r="AD36" s="631">
        <v>0.49374771558078495</v>
      </c>
      <c r="AE36" s="631">
        <v>0.69890780818898146</v>
      </c>
      <c r="AF36" s="631">
        <v>-0.29920151165394859</v>
      </c>
      <c r="AG36" s="631">
        <v>1.077476039132149</v>
      </c>
      <c r="AH36" s="629"/>
      <c r="AI36" s="648">
        <v>3.846988287619463</v>
      </c>
      <c r="AJ36" s="649">
        <v>25.313570009999999</v>
      </c>
      <c r="AK36" s="646">
        <v>125.56248988130585</v>
      </c>
      <c r="AL36" s="646">
        <v>0</v>
      </c>
      <c r="AM36" s="646">
        <v>0</v>
      </c>
      <c r="AN36" s="646">
        <v>57.289529771758858</v>
      </c>
      <c r="AO36" s="646">
        <v>13.606334271347032</v>
      </c>
      <c r="AP36" s="801">
        <v>3400</v>
      </c>
      <c r="AQ36" s="563" t="s">
        <v>71</v>
      </c>
      <c r="AR36" s="563">
        <v>6</v>
      </c>
      <c r="AS36" s="563">
        <v>0</v>
      </c>
      <c r="AT36" s="563">
        <v>0</v>
      </c>
      <c r="AU36" s="563">
        <v>0</v>
      </c>
      <c r="AV36" s="650">
        <v>3920.3060013507047</v>
      </c>
      <c r="AW36" s="563">
        <v>0</v>
      </c>
      <c r="AX36" s="563">
        <v>0</v>
      </c>
      <c r="AY36" s="563">
        <v>0</v>
      </c>
      <c r="AZ36" s="650">
        <v>4177.9379613377505</v>
      </c>
      <c r="BA36" s="564">
        <v>3920.3060013507047</v>
      </c>
      <c r="BB36" s="565">
        <v>201.16140738323341</v>
      </c>
      <c r="BC36" s="649">
        <v>25.313570009999999</v>
      </c>
      <c r="BD36" s="646">
        <v>125.56248988130585</v>
      </c>
      <c r="BE36" s="646">
        <v>0</v>
      </c>
      <c r="BF36" s="646">
        <v>0</v>
      </c>
      <c r="BG36" s="646">
        <v>57.289529771758858</v>
      </c>
      <c r="BH36" s="646">
        <v>13.606334271347032</v>
      </c>
      <c r="BI36" s="646">
        <v>3600</v>
      </c>
      <c r="BJ36" s="563" t="s">
        <v>71</v>
      </c>
      <c r="BK36" s="563">
        <v>6</v>
      </c>
      <c r="BL36" s="563">
        <v>0</v>
      </c>
      <c r="BM36" s="563">
        <v>0</v>
      </c>
      <c r="BN36" s="563">
        <v>0</v>
      </c>
      <c r="BO36" s="650">
        <v>3920.3060013507047</v>
      </c>
      <c r="BP36" s="563">
        <v>0</v>
      </c>
      <c r="BQ36" s="563">
        <v>0</v>
      </c>
      <c r="BR36" s="563">
        <v>0</v>
      </c>
      <c r="BS36" s="650">
        <v>4177.9379613377505</v>
      </c>
      <c r="BT36" s="564">
        <v>3920.3060013507047</v>
      </c>
      <c r="BU36" s="565">
        <v>201.16140738323341</v>
      </c>
      <c r="BV36" s="649">
        <v>25.313570009999999</v>
      </c>
      <c r="BW36" s="646">
        <v>125.56248988130585</v>
      </c>
      <c r="BX36" s="646">
        <v>0</v>
      </c>
      <c r="BY36" s="646">
        <v>0</v>
      </c>
      <c r="BZ36" s="646">
        <v>57.289529771758858</v>
      </c>
      <c r="CA36" s="646">
        <v>13.606334271347032</v>
      </c>
      <c r="CB36" s="646">
        <v>3400</v>
      </c>
      <c r="CC36" s="563" t="s">
        <v>1584</v>
      </c>
      <c r="CD36" s="563">
        <v>6</v>
      </c>
      <c r="CE36" s="563">
        <v>0</v>
      </c>
      <c r="CF36" s="563">
        <v>0</v>
      </c>
      <c r="CG36" s="563">
        <v>0</v>
      </c>
      <c r="CH36" s="650">
        <v>3841.0997355519544</v>
      </c>
      <c r="CI36" s="563">
        <v>0</v>
      </c>
      <c r="CJ36" s="563">
        <v>0</v>
      </c>
      <c r="CK36" s="563">
        <v>0</v>
      </c>
      <c r="CL36" s="650">
        <v>4093.5264729125138</v>
      </c>
      <c r="CM36" s="564">
        <v>3841.0997355519544</v>
      </c>
      <c r="CN36" s="565">
        <v>197.09712161162335</v>
      </c>
      <c r="CO36" s="649">
        <v>25.313570009999999</v>
      </c>
      <c r="CP36" s="646">
        <v>125.56248988130585</v>
      </c>
      <c r="CQ36" s="646">
        <v>0</v>
      </c>
      <c r="CR36" s="646">
        <v>0</v>
      </c>
      <c r="CS36" s="646">
        <v>57.289529771758858</v>
      </c>
      <c r="CT36" s="646">
        <v>13.606334271347032</v>
      </c>
      <c r="CU36" s="646">
        <v>3600</v>
      </c>
      <c r="CV36" s="563" t="s">
        <v>1584</v>
      </c>
      <c r="CW36" s="563">
        <v>6</v>
      </c>
      <c r="CX36" s="563">
        <v>0</v>
      </c>
      <c r="CY36" s="563">
        <v>0</v>
      </c>
      <c r="CZ36" s="563">
        <v>0</v>
      </c>
      <c r="DA36" s="650">
        <v>3841.0997355519544</v>
      </c>
      <c r="DB36" s="563">
        <v>0</v>
      </c>
      <c r="DC36" s="563">
        <v>0</v>
      </c>
      <c r="DD36" s="563">
        <v>0</v>
      </c>
      <c r="DE36" s="650">
        <v>4093.5264729125138</v>
      </c>
      <c r="DF36" s="564">
        <v>3841.0997355519544</v>
      </c>
      <c r="DG36" s="565">
        <v>197.09712161162335</v>
      </c>
      <c r="DH36" s="649">
        <v>25.313570009999999</v>
      </c>
      <c r="DI36" s="646">
        <v>125.56248988130585</v>
      </c>
      <c r="DJ36" s="646">
        <v>0</v>
      </c>
      <c r="DK36" s="646">
        <v>0</v>
      </c>
      <c r="DL36" s="646">
        <v>57.289529771758858</v>
      </c>
      <c r="DM36" s="646">
        <v>13.606334271347032</v>
      </c>
      <c r="DN36" s="646">
        <v>3400</v>
      </c>
      <c r="DO36" s="563" t="s">
        <v>1588</v>
      </c>
      <c r="DP36" s="563">
        <v>6</v>
      </c>
      <c r="DQ36" s="563">
        <v>0</v>
      </c>
      <c r="DR36" s="563">
        <v>0</v>
      </c>
      <c r="DS36" s="563">
        <v>0</v>
      </c>
      <c r="DT36" s="650">
        <v>3997.9433600284297</v>
      </c>
      <c r="DU36" s="563">
        <v>0</v>
      </c>
      <c r="DV36" s="563">
        <v>0</v>
      </c>
      <c r="DW36" s="563">
        <v>0</v>
      </c>
      <c r="DX36" s="650">
        <v>4260.6774382882495</v>
      </c>
      <c r="DY36" s="564">
        <v>3997.9433600284297</v>
      </c>
      <c r="DZ36" s="565">
        <v>205.145188325779</v>
      </c>
      <c r="EA36" s="649">
        <v>25.313570009999999</v>
      </c>
      <c r="EB36" s="646">
        <v>125.56248988130585</v>
      </c>
      <c r="EC36" s="646">
        <v>0</v>
      </c>
      <c r="ED36" s="646">
        <v>0</v>
      </c>
      <c r="EE36" s="646">
        <v>57.289529771758858</v>
      </c>
      <c r="EF36" s="646">
        <v>13.606334271347032</v>
      </c>
      <c r="EG36" s="646">
        <v>3600</v>
      </c>
      <c r="EH36" s="563" t="s">
        <v>1588</v>
      </c>
      <c r="EI36" s="563">
        <v>6</v>
      </c>
      <c r="EJ36" s="563">
        <v>0</v>
      </c>
      <c r="EK36" s="563">
        <v>0</v>
      </c>
      <c r="EL36" s="563">
        <v>0</v>
      </c>
      <c r="EM36" s="650">
        <v>3997.9433600284297</v>
      </c>
      <c r="EN36" s="563">
        <v>0</v>
      </c>
      <c r="EO36" s="563">
        <v>0</v>
      </c>
      <c r="EP36" s="563">
        <v>0</v>
      </c>
      <c r="EQ36" s="650">
        <v>4260.6774382882495</v>
      </c>
      <c r="ER36" s="564">
        <v>3997.9433600284297</v>
      </c>
      <c r="ES36" s="565">
        <v>205.145188325779</v>
      </c>
      <c r="ET36" s="649">
        <v>25.313570009999999</v>
      </c>
      <c r="EU36" s="646">
        <v>125.56248988130585</v>
      </c>
      <c r="EV36" s="646">
        <v>0</v>
      </c>
      <c r="EW36" s="646">
        <v>0</v>
      </c>
      <c r="EX36" s="646">
        <v>57.289529771758858</v>
      </c>
      <c r="EY36" s="646">
        <v>13.606334271347032</v>
      </c>
      <c r="EZ36" s="646">
        <v>3400</v>
      </c>
      <c r="FA36" s="563" t="s">
        <v>1589</v>
      </c>
      <c r="FB36" s="563">
        <v>6</v>
      </c>
      <c r="FC36" s="563">
        <v>0</v>
      </c>
      <c r="FD36" s="563">
        <v>0</v>
      </c>
      <c r="FE36" s="563">
        <v>0</v>
      </c>
      <c r="FF36" s="650">
        <v>4258.542355100758</v>
      </c>
      <c r="FG36" s="563">
        <v>0</v>
      </c>
      <c r="FH36" s="563">
        <v>0</v>
      </c>
      <c r="FI36" s="563">
        <v>0</v>
      </c>
      <c r="FJ36" s="650">
        <v>4538.402297986453</v>
      </c>
      <c r="FK36" s="564">
        <v>4000</v>
      </c>
      <c r="FL36" s="565">
        <v>205.25072003453315</v>
      </c>
      <c r="FM36" s="649">
        <v>25.313570009999999</v>
      </c>
      <c r="FN36" s="646">
        <v>125.56248988130585</v>
      </c>
      <c r="FO36" s="646">
        <v>0</v>
      </c>
      <c r="FP36" s="646">
        <v>0</v>
      </c>
      <c r="FQ36" s="646">
        <v>57.289529771758858</v>
      </c>
      <c r="FR36" s="646">
        <v>13.606334271347032</v>
      </c>
      <c r="FS36" s="646">
        <v>3600</v>
      </c>
      <c r="FT36" s="563" t="s">
        <v>1589</v>
      </c>
      <c r="FU36" s="563">
        <v>6</v>
      </c>
      <c r="FV36" s="563">
        <v>0</v>
      </c>
      <c r="FW36" s="563">
        <v>0</v>
      </c>
      <c r="FX36" s="563">
        <v>0</v>
      </c>
      <c r="FY36" s="650">
        <v>4258.542355100758</v>
      </c>
      <c r="FZ36" s="563">
        <v>0</v>
      </c>
      <c r="GA36" s="563">
        <v>0</v>
      </c>
      <c r="GB36" s="563">
        <v>0</v>
      </c>
      <c r="GC36" s="650">
        <v>4538.402297986453</v>
      </c>
      <c r="GD36" s="564">
        <v>4000</v>
      </c>
      <c r="GE36" s="565">
        <v>205.25072003453315</v>
      </c>
      <c r="GF36" s="649">
        <v>16.875713340000001</v>
      </c>
      <c r="GG36" s="646">
        <v>117.12463321130585</v>
      </c>
      <c r="GH36" s="646">
        <v>0</v>
      </c>
      <c r="GI36" s="646">
        <v>0</v>
      </c>
      <c r="GJ36" s="646">
        <v>55.833533314450513</v>
      </c>
      <c r="GK36" s="646">
        <v>12.428805004746438</v>
      </c>
      <c r="GL36" s="646">
        <v>3400</v>
      </c>
      <c r="GM36" s="563" t="s">
        <v>1587</v>
      </c>
      <c r="GN36" s="563">
        <v>4</v>
      </c>
      <c r="GO36" s="563">
        <v>0</v>
      </c>
      <c r="GP36" s="563">
        <v>0</v>
      </c>
      <c r="GQ36" s="563">
        <v>0</v>
      </c>
      <c r="GR36" s="650">
        <v>3890.9507588796728</v>
      </c>
      <c r="GS36" s="563">
        <v>0</v>
      </c>
      <c r="GT36" s="563">
        <v>0</v>
      </c>
      <c r="GU36" s="563">
        <v>0</v>
      </c>
      <c r="GV36" s="650">
        <v>3930.9141828696015</v>
      </c>
      <c r="GW36" s="564">
        <v>3890.9507588796728</v>
      </c>
      <c r="GX36" s="565">
        <v>199.65511121974151</v>
      </c>
      <c r="GY36" s="649">
        <v>16.875713340000001</v>
      </c>
      <c r="GZ36" s="646">
        <v>117.12463321130585</v>
      </c>
      <c r="HA36" s="646">
        <v>0</v>
      </c>
      <c r="HB36" s="646">
        <v>0</v>
      </c>
      <c r="HC36" s="646">
        <v>55.833533314450513</v>
      </c>
      <c r="HD36" s="646">
        <v>12.428805004746438</v>
      </c>
      <c r="HE36" s="646">
        <v>3600</v>
      </c>
      <c r="HF36" s="563" t="s">
        <v>1587</v>
      </c>
      <c r="HG36" s="563">
        <v>4</v>
      </c>
      <c r="HH36" s="563">
        <v>0</v>
      </c>
      <c r="HI36" s="563">
        <v>0</v>
      </c>
      <c r="HJ36" s="563">
        <v>0</v>
      </c>
      <c r="HK36" s="650">
        <v>3890.9507588796728</v>
      </c>
      <c r="HL36" s="563">
        <v>0</v>
      </c>
      <c r="HM36" s="563">
        <v>0</v>
      </c>
      <c r="HN36" s="563">
        <v>0</v>
      </c>
      <c r="HO36" s="650">
        <v>3930.9141828696015</v>
      </c>
      <c r="HP36" s="564">
        <v>3890.9507588796728</v>
      </c>
      <c r="HQ36" s="565">
        <v>199.65511121974151</v>
      </c>
      <c r="HR36" s="649">
        <v>21.094641675000002</v>
      </c>
      <c r="HS36" s="646">
        <v>121.34356154630585</v>
      </c>
      <c r="HT36" s="646">
        <v>0</v>
      </c>
      <c r="HU36" s="646">
        <v>0</v>
      </c>
      <c r="HV36" s="646">
        <v>56.58684291781266</v>
      </c>
      <c r="HW36" s="646">
        <v>13.017569638046735</v>
      </c>
      <c r="HX36" s="646">
        <v>3400</v>
      </c>
      <c r="HY36" s="563" t="s">
        <v>68</v>
      </c>
      <c r="HZ36" s="563">
        <v>5</v>
      </c>
      <c r="IA36" s="563">
        <v>0</v>
      </c>
      <c r="IB36" s="563">
        <v>0</v>
      </c>
      <c r="IC36" s="563">
        <v>0</v>
      </c>
      <c r="ID36" s="650">
        <v>3994.644338503575</v>
      </c>
      <c r="IE36" s="563">
        <v>0</v>
      </c>
      <c r="IF36" s="563">
        <v>0</v>
      </c>
      <c r="IG36" s="563">
        <v>0</v>
      </c>
      <c r="IH36" s="650">
        <v>4116.7643784058992</v>
      </c>
      <c r="II36" s="564">
        <v>3994.644338503575</v>
      </c>
      <c r="IJ36" s="565">
        <v>204.97590668993251</v>
      </c>
      <c r="IK36" s="649">
        <v>21.094641675000002</v>
      </c>
      <c r="IL36" s="646">
        <v>121.34356154630585</v>
      </c>
      <c r="IM36" s="646">
        <v>0</v>
      </c>
      <c r="IN36" s="646">
        <v>0</v>
      </c>
      <c r="IO36" s="646">
        <v>56.58684291781266</v>
      </c>
      <c r="IP36" s="646">
        <v>13.017569638046735</v>
      </c>
      <c r="IQ36" s="646">
        <v>3600</v>
      </c>
      <c r="IR36" s="563" t="s">
        <v>68</v>
      </c>
      <c r="IS36" s="563">
        <v>5</v>
      </c>
      <c r="IT36" s="563">
        <v>0</v>
      </c>
      <c r="IU36" s="563">
        <v>0</v>
      </c>
      <c r="IV36" s="563">
        <v>0</v>
      </c>
      <c r="IW36" s="650">
        <v>3994.644338503575</v>
      </c>
      <c r="IX36" s="563">
        <v>0</v>
      </c>
      <c r="IY36" s="563">
        <v>0</v>
      </c>
      <c r="IZ36" s="563">
        <v>0</v>
      </c>
      <c r="JA36" s="650">
        <v>4116.7643784058992</v>
      </c>
      <c r="JB36" s="564">
        <v>3994.644338503575</v>
      </c>
      <c r="JC36" s="565">
        <v>204.97590668993251</v>
      </c>
      <c r="JD36" s="649">
        <v>16.875713340000001</v>
      </c>
      <c r="JE36" s="646">
        <v>117.12463321130585</v>
      </c>
      <c r="JF36" s="646">
        <v>0</v>
      </c>
      <c r="JG36" s="646">
        <v>0</v>
      </c>
      <c r="JH36" s="646">
        <v>55.833533314450513</v>
      </c>
      <c r="JI36" s="646">
        <v>12.428805004746438</v>
      </c>
      <c r="JJ36" s="646">
        <v>3400</v>
      </c>
      <c r="JK36" s="563" t="s">
        <v>67</v>
      </c>
      <c r="JL36" s="563">
        <v>4</v>
      </c>
      <c r="JM36" s="563">
        <v>0</v>
      </c>
      <c r="JN36" s="563">
        <v>0</v>
      </c>
      <c r="JO36" s="563">
        <v>0</v>
      </c>
      <c r="JP36" s="650">
        <v>4676.3408238153925</v>
      </c>
      <c r="JQ36" s="563">
        <v>0</v>
      </c>
      <c r="JR36" s="563">
        <v>0</v>
      </c>
      <c r="JS36" s="563">
        <v>0</v>
      </c>
      <c r="JT36" s="650">
        <v>4724.3708819283256</v>
      </c>
      <c r="JU36" s="564">
        <v>4000</v>
      </c>
      <c r="JV36" s="565">
        <v>205.25072003453315</v>
      </c>
      <c r="JW36" s="649">
        <v>16.875713340000001</v>
      </c>
      <c r="JX36" s="646">
        <v>117.12463321130585</v>
      </c>
      <c r="JY36" s="646">
        <v>0</v>
      </c>
      <c r="JZ36" s="646">
        <v>0</v>
      </c>
      <c r="KA36" s="646">
        <v>55.833533314450513</v>
      </c>
      <c r="KB36" s="646">
        <v>12.428805004746438</v>
      </c>
      <c r="KC36" s="646">
        <v>3600</v>
      </c>
      <c r="KD36" s="563" t="s">
        <v>67</v>
      </c>
      <c r="KE36" s="563">
        <v>4</v>
      </c>
      <c r="KF36" s="563">
        <v>0</v>
      </c>
      <c r="KG36" s="563">
        <v>0</v>
      </c>
      <c r="KH36" s="563">
        <v>0</v>
      </c>
      <c r="KI36" s="650">
        <v>4676.3408238153925</v>
      </c>
      <c r="KJ36" s="563">
        <v>0</v>
      </c>
      <c r="KK36" s="563">
        <v>0</v>
      </c>
      <c r="KL36" s="563">
        <v>0</v>
      </c>
      <c r="KM36" s="650">
        <v>4724.3708819283256</v>
      </c>
      <c r="KN36" s="564">
        <v>4000</v>
      </c>
      <c r="KO36" s="566">
        <v>205.25072003453315</v>
      </c>
    </row>
    <row r="37" spans="1:301" ht="15" customHeight="1">
      <c r="A37" s="663" t="s">
        <v>814</v>
      </c>
      <c r="B37" s="629" t="s">
        <v>386</v>
      </c>
      <c r="C37" s="629">
        <v>437.5</v>
      </c>
      <c r="D37" s="629">
        <v>980</v>
      </c>
      <c r="E37" s="629">
        <v>450</v>
      </c>
      <c r="F37" s="629">
        <v>400</v>
      </c>
      <c r="G37" s="629">
        <v>240</v>
      </c>
      <c r="H37" s="629">
        <v>165</v>
      </c>
      <c r="I37" s="629">
        <v>116</v>
      </c>
      <c r="J37" s="629">
        <v>37.5</v>
      </c>
      <c r="K37" s="629">
        <v>47.5</v>
      </c>
      <c r="L37" s="629">
        <v>9</v>
      </c>
      <c r="M37" s="629">
        <v>421</v>
      </c>
      <c r="N37" s="629">
        <v>6</v>
      </c>
      <c r="O37" s="623">
        <v>28.03642892463342</v>
      </c>
      <c r="P37" s="629">
        <v>6</v>
      </c>
      <c r="Q37" s="623">
        <v>19.106238162057707</v>
      </c>
      <c r="R37" s="629">
        <v>18.000000000000004</v>
      </c>
      <c r="S37" s="629">
        <v>666.26349838247847</v>
      </c>
      <c r="T37" s="645">
        <v>49.26336628655919</v>
      </c>
      <c r="U37" s="645">
        <v>99.939524757371771</v>
      </c>
      <c r="V37" s="645">
        <v>97.5</v>
      </c>
      <c r="W37" s="793">
        <v>4.5029795746307997</v>
      </c>
      <c r="X37" s="646">
        <v>0</v>
      </c>
      <c r="Y37" s="646">
        <v>0</v>
      </c>
      <c r="Z37" s="646">
        <v>0</v>
      </c>
      <c r="AA37" s="646">
        <v>0</v>
      </c>
      <c r="AB37" s="647">
        <v>19.241245473974189</v>
      </c>
      <c r="AC37" s="784">
        <v>4000</v>
      </c>
      <c r="AD37" s="631">
        <v>0.42649282395700994</v>
      </c>
      <c r="AE37" s="631">
        <v>0.76732698797896037</v>
      </c>
      <c r="AF37" s="631">
        <v>-0.28823750656372177</v>
      </c>
      <c r="AG37" s="631">
        <v>0.91332258281528289</v>
      </c>
      <c r="AH37" s="629"/>
      <c r="AI37" s="648">
        <v>3.7812343500820513</v>
      </c>
      <c r="AJ37" s="649">
        <v>20.894914125</v>
      </c>
      <c r="AK37" s="646">
        <v>121.80392707288112</v>
      </c>
      <c r="AL37" s="646">
        <v>0</v>
      </c>
      <c r="AM37" s="646">
        <v>0</v>
      </c>
      <c r="AN37" s="646">
        <v>58.04451977131346</v>
      </c>
      <c r="AO37" s="646">
        <v>13.171229547587028</v>
      </c>
      <c r="AP37" s="801">
        <v>2650</v>
      </c>
      <c r="AQ37" s="563" t="s">
        <v>71</v>
      </c>
      <c r="AR37" s="563">
        <v>5</v>
      </c>
      <c r="AS37" s="563">
        <v>0</v>
      </c>
      <c r="AT37" s="563">
        <v>0</v>
      </c>
      <c r="AU37" s="563">
        <v>0</v>
      </c>
      <c r="AV37" s="650">
        <v>3031.8829772390732</v>
      </c>
      <c r="AW37" s="563">
        <v>0</v>
      </c>
      <c r="AX37" s="563">
        <v>0</v>
      </c>
      <c r="AY37" s="563">
        <v>0</v>
      </c>
      <c r="AZ37" s="650">
        <v>3050.6068504217001</v>
      </c>
      <c r="BA37" s="564">
        <v>3031.8829772390732</v>
      </c>
      <c r="BB37" s="565">
        <v>155.57404103469096</v>
      </c>
      <c r="BC37" s="649">
        <v>33.431862600000002</v>
      </c>
      <c r="BD37" s="646">
        <v>134.34087554788113</v>
      </c>
      <c r="BE37" s="646">
        <v>0</v>
      </c>
      <c r="BF37" s="646">
        <v>0</v>
      </c>
      <c r="BG37" s="646">
        <v>60.32675214703702</v>
      </c>
      <c r="BH37" s="646">
        <v>14.976246498766152</v>
      </c>
      <c r="BI37" s="646">
        <v>3312.5</v>
      </c>
      <c r="BJ37" s="563" t="s">
        <v>71</v>
      </c>
      <c r="BK37" s="563">
        <v>8</v>
      </c>
      <c r="BL37" s="563">
        <v>0</v>
      </c>
      <c r="BM37" s="563">
        <v>0</v>
      </c>
      <c r="BN37" s="563">
        <v>0</v>
      </c>
      <c r="BO37" s="650">
        <v>5041.9721659302786</v>
      </c>
      <c r="BP37" s="563">
        <v>0</v>
      </c>
      <c r="BQ37" s="563">
        <v>0</v>
      </c>
      <c r="BR37" s="563">
        <v>0</v>
      </c>
      <c r="BS37" s="650">
        <v>6168.1623343771307</v>
      </c>
      <c r="BT37" s="564">
        <v>4000</v>
      </c>
      <c r="BU37" s="565">
        <v>205.25072003453315</v>
      </c>
      <c r="BV37" s="649">
        <v>20.894914125</v>
      </c>
      <c r="BW37" s="646">
        <v>121.80392707288112</v>
      </c>
      <c r="BX37" s="646">
        <v>0</v>
      </c>
      <c r="BY37" s="646">
        <v>0</v>
      </c>
      <c r="BZ37" s="646">
        <v>58.04451977131346</v>
      </c>
      <c r="CA37" s="646">
        <v>13.171229547587028</v>
      </c>
      <c r="CB37" s="646">
        <v>2650</v>
      </c>
      <c r="CC37" s="563" t="s">
        <v>1584</v>
      </c>
      <c r="CD37" s="563">
        <v>5</v>
      </c>
      <c r="CE37" s="563">
        <v>0</v>
      </c>
      <c r="CF37" s="563">
        <v>0</v>
      </c>
      <c r="CG37" s="563">
        <v>0</v>
      </c>
      <c r="CH37" s="650">
        <v>2970.6265016264133</v>
      </c>
      <c r="CI37" s="563">
        <v>0</v>
      </c>
      <c r="CJ37" s="563">
        <v>0</v>
      </c>
      <c r="CK37" s="563">
        <v>0</v>
      </c>
      <c r="CL37" s="650">
        <v>2988.9720757488208</v>
      </c>
      <c r="CM37" s="564">
        <v>2970.6265016264133</v>
      </c>
      <c r="CN37" s="565">
        <v>152.43080710312188</v>
      </c>
      <c r="CO37" s="649">
        <v>33.431862600000002</v>
      </c>
      <c r="CP37" s="646">
        <v>134.34087554788113</v>
      </c>
      <c r="CQ37" s="646">
        <v>0</v>
      </c>
      <c r="CR37" s="646">
        <v>0</v>
      </c>
      <c r="CS37" s="646">
        <v>60.32675214703702</v>
      </c>
      <c r="CT37" s="646">
        <v>14.976246498766152</v>
      </c>
      <c r="CU37" s="646">
        <v>3312.5</v>
      </c>
      <c r="CV37" s="563" t="s">
        <v>1584</v>
      </c>
      <c r="CW37" s="563">
        <v>8</v>
      </c>
      <c r="CX37" s="563">
        <v>0</v>
      </c>
      <c r="CY37" s="563">
        <v>0</v>
      </c>
      <c r="CZ37" s="563">
        <v>0</v>
      </c>
      <c r="DA37" s="650">
        <v>4940.1036415378012</v>
      </c>
      <c r="DB37" s="563">
        <v>0</v>
      </c>
      <c r="DC37" s="563">
        <v>0</v>
      </c>
      <c r="DD37" s="563">
        <v>0</v>
      </c>
      <c r="DE37" s="650">
        <v>6043.5401479513284</v>
      </c>
      <c r="DF37" s="564">
        <v>4000</v>
      </c>
      <c r="DG37" s="565">
        <v>205.25072003453315</v>
      </c>
      <c r="DH37" s="649">
        <v>20.894914125</v>
      </c>
      <c r="DI37" s="646">
        <v>121.80392707288112</v>
      </c>
      <c r="DJ37" s="646">
        <v>0</v>
      </c>
      <c r="DK37" s="646">
        <v>0</v>
      </c>
      <c r="DL37" s="646">
        <v>58.04451977131346</v>
      </c>
      <c r="DM37" s="646">
        <v>13.171229547587028</v>
      </c>
      <c r="DN37" s="646">
        <v>2650</v>
      </c>
      <c r="DO37" s="563" t="s">
        <v>1588</v>
      </c>
      <c r="DP37" s="563">
        <v>5</v>
      </c>
      <c r="DQ37" s="563">
        <v>0</v>
      </c>
      <c r="DR37" s="563">
        <v>0</v>
      </c>
      <c r="DS37" s="563">
        <v>0</v>
      </c>
      <c r="DT37" s="650">
        <v>3091.926092774364</v>
      </c>
      <c r="DU37" s="563">
        <v>0</v>
      </c>
      <c r="DV37" s="563">
        <v>0</v>
      </c>
      <c r="DW37" s="563">
        <v>0</v>
      </c>
      <c r="DX37" s="650">
        <v>3111.0207717200151</v>
      </c>
      <c r="DY37" s="564">
        <v>3091.926092774364</v>
      </c>
      <c r="DZ37" s="565">
        <v>158.65501420887475</v>
      </c>
      <c r="EA37" s="649">
        <v>33.431862600000002</v>
      </c>
      <c r="EB37" s="646">
        <v>134.34087554788113</v>
      </c>
      <c r="EC37" s="646">
        <v>0</v>
      </c>
      <c r="ED37" s="646">
        <v>0</v>
      </c>
      <c r="EE37" s="646">
        <v>60.32675214703702</v>
      </c>
      <c r="EF37" s="646">
        <v>14.976246498766152</v>
      </c>
      <c r="EG37" s="646">
        <v>3312.5</v>
      </c>
      <c r="EH37" s="563" t="s">
        <v>1588</v>
      </c>
      <c r="EI37" s="563">
        <v>8</v>
      </c>
      <c r="EJ37" s="563">
        <v>0</v>
      </c>
      <c r="EK37" s="563">
        <v>0</v>
      </c>
      <c r="EL37" s="563">
        <v>0</v>
      </c>
      <c r="EM37" s="650">
        <v>5141.8228922140343</v>
      </c>
      <c r="EN37" s="563">
        <v>0</v>
      </c>
      <c r="EO37" s="563">
        <v>0</v>
      </c>
      <c r="EP37" s="563">
        <v>0</v>
      </c>
      <c r="EQ37" s="650">
        <v>6290.3160211994027</v>
      </c>
      <c r="ER37" s="564">
        <v>4000</v>
      </c>
      <c r="ES37" s="565">
        <v>205.25072003453315</v>
      </c>
      <c r="ET37" s="649">
        <v>20.894914125</v>
      </c>
      <c r="EU37" s="646">
        <v>121.80392707288112</v>
      </c>
      <c r="EV37" s="646">
        <v>0</v>
      </c>
      <c r="EW37" s="646">
        <v>0</v>
      </c>
      <c r="EX37" s="646">
        <v>58.04451977131346</v>
      </c>
      <c r="EY37" s="646">
        <v>13.171229547587028</v>
      </c>
      <c r="EZ37" s="646">
        <v>2650</v>
      </c>
      <c r="FA37" s="563" t="s">
        <v>1589</v>
      </c>
      <c r="FB37" s="563">
        <v>5</v>
      </c>
      <c r="FC37" s="563">
        <v>0</v>
      </c>
      <c r="FD37" s="563">
        <v>0</v>
      </c>
      <c r="FE37" s="563">
        <v>0</v>
      </c>
      <c r="FF37" s="650">
        <v>3293.4679256754621</v>
      </c>
      <c r="FG37" s="563">
        <v>0</v>
      </c>
      <c r="FH37" s="563">
        <v>0</v>
      </c>
      <c r="FI37" s="563">
        <v>0</v>
      </c>
      <c r="FJ37" s="650">
        <v>3313.8072581082583</v>
      </c>
      <c r="FK37" s="564">
        <v>3293.4679256754621</v>
      </c>
      <c r="FL37" s="565">
        <v>168.99666578888221</v>
      </c>
      <c r="FM37" s="649">
        <v>25.073896950000002</v>
      </c>
      <c r="FN37" s="646">
        <v>125.98290989788113</v>
      </c>
      <c r="FO37" s="646">
        <v>0</v>
      </c>
      <c r="FP37" s="646">
        <v>0</v>
      </c>
      <c r="FQ37" s="646">
        <v>58.855733228247004</v>
      </c>
      <c r="FR37" s="646">
        <v>13.772901864646737</v>
      </c>
      <c r="FS37" s="646">
        <v>3312.5</v>
      </c>
      <c r="FT37" s="563" t="s">
        <v>1589</v>
      </c>
      <c r="FU37" s="563">
        <v>6</v>
      </c>
      <c r="FV37" s="563">
        <v>0</v>
      </c>
      <c r="FW37" s="563">
        <v>0</v>
      </c>
      <c r="FX37" s="563">
        <v>0</v>
      </c>
      <c r="FY37" s="650">
        <v>3806.3425399235748</v>
      </c>
      <c r="FZ37" s="563">
        <v>0</v>
      </c>
      <c r="GA37" s="563">
        <v>0</v>
      </c>
      <c r="GB37" s="563">
        <v>0</v>
      </c>
      <c r="GC37" s="650">
        <v>3929.2391039767012</v>
      </c>
      <c r="GD37" s="564">
        <v>3806.3425399235748</v>
      </c>
      <c r="GE37" s="565">
        <v>195.31363675434687</v>
      </c>
      <c r="GF37" s="649">
        <v>16.715931300000001</v>
      </c>
      <c r="GG37" s="646">
        <v>117.62494424788113</v>
      </c>
      <c r="GH37" s="646">
        <v>0</v>
      </c>
      <c r="GI37" s="646">
        <v>0</v>
      </c>
      <c r="GJ37" s="646">
        <v>57.175664678490328</v>
      </c>
      <c r="GK37" s="646">
        <v>12.569557230527323</v>
      </c>
      <c r="GL37" s="646">
        <v>2650</v>
      </c>
      <c r="GM37" s="563" t="s">
        <v>1587</v>
      </c>
      <c r="GN37" s="563">
        <v>4</v>
      </c>
      <c r="GO37" s="563">
        <v>0</v>
      </c>
      <c r="GP37" s="563">
        <v>0</v>
      </c>
      <c r="GQ37" s="563">
        <v>0</v>
      </c>
      <c r="GR37" s="650">
        <v>3504.6840625742939</v>
      </c>
      <c r="GS37" s="563">
        <v>0</v>
      </c>
      <c r="GT37" s="563">
        <v>0</v>
      </c>
      <c r="GU37" s="563">
        <v>0</v>
      </c>
      <c r="GV37" s="650">
        <v>3471.6402042346199</v>
      </c>
      <c r="GW37" s="564">
        <v>3471.6402042346199</v>
      </c>
      <c r="GX37" s="565">
        <v>178.13916290499733</v>
      </c>
      <c r="GY37" s="649">
        <v>20.894914125</v>
      </c>
      <c r="GZ37" s="646">
        <v>121.80392707288112</v>
      </c>
      <c r="HA37" s="646">
        <v>0</v>
      </c>
      <c r="HB37" s="646">
        <v>0</v>
      </c>
      <c r="HC37" s="646">
        <v>58.04451977131346</v>
      </c>
      <c r="HD37" s="646">
        <v>13.171229547587028</v>
      </c>
      <c r="HE37" s="646">
        <v>3312.5</v>
      </c>
      <c r="HF37" s="563" t="s">
        <v>1587</v>
      </c>
      <c r="HG37" s="563">
        <v>5</v>
      </c>
      <c r="HH37" s="563">
        <v>0</v>
      </c>
      <c r="HI37" s="563">
        <v>0</v>
      </c>
      <c r="HJ37" s="563">
        <v>0</v>
      </c>
      <c r="HK37" s="650">
        <v>4067.6978621586086</v>
      </c>
      <c r="HL37" s="563">
        <v>0</v>
      </c>
      <c r="HM37" s="563">
        <v>0</v>
      </c>
      <c r="HN37" s="563">
        <v>0</v>
      </c>
      <c r="HO37" s="650">
        <v>4092.8185741016728</v>
      </c>
      <c r="HP37" s="564">
        <v>4000</v>
      </c>
      <c r="HQ37" s="565">
        <v>205.25072003453315</v>
      </c>
      <c r="HR37" s="649">
        <v>16.715931300000001</v>
      </c>
      <c r="HS37" s="646">
        <v>117.62494424788113</v>
      </c>
      <c r="HT37" s="646">
        <v>0</v>
      </c>
      <c r="HU37" s="646">
        <v>0</v>
      </c>
      <c r="HV37" s="646">
        <v>57.175664678490328</v>
      </c>
      <c r="HW37" s="646">
        <v>12.569557230527323</v>
      </c>
      <c r="HX37" s="646">
        <v>2650</v>
      </c>
      <c r="HY37" s="563" t="s">
        <v>68</v>
      </c>
      <c r="HZ37" s="563">
        <v>4</v>
      </c>
      <c r="IA37" s="563">
        <v>0</v>
      </c>
      <c r="IB37" s="563">
        <v>0</v>
      </c>
      <c r="IC37" s="563">
        <v>0</v>
      </c>
      <c r="ID37" s="650">
        <v>3090.8408178077048</v>
      </c>
      <c r="IE37" s="563">
        <v>0</v>
      </c>
      <c r="IF37" s="563">
        <v>0</v>
      </c>
      <c r="IG37" s="563">
        <v>0</v>
      </c>
      <c r="IH37" s="650">
        <v>3061.6988739660956</v>
      </c>
      <c r="II37" s="564">
        <v>3061.6988739660956</v>
      </c>
      <c r="IJ37" s="565">
        <v>157.1039746026151</v>
      </c>
      <c r="IK37" s="649">
        <v>25.073896950000002</v>
      </c>
      <c r="IL37" s="646">
        <v>125.98290989788113</v>
      </c>
      <c r="IM37" s="646">
        <v>0</v>
      </c>
      <c r="IN37" s="646">
        <v>0</v>
      </c>
      <c r="IO37" s="646">
        <v>58.855733228247004</v>
      </c>
      <c r="IP37" s="646">
        <v>13.772901864646737</v>
      </c>
      <c r="IQ37" s="646">
        <v>3312.5</v>
      </c>
      <c r="IR37" s="563" t="s">
        <v>68</v>
      </c>
      <c r="IS37" s="563">
        <v>6</v>
      </c>
      <c r="IT37" s="563">
        <v>0</v>
      </c>
      <c r="IU37" s="563">
        <v>0</v>
      </c>
      <c r="IV37" s="563">
        <v>0</v>
      </c>
      <c r="IW37" s="650">
        <v>4146.0151323569353</v>
      </c>
      <c r="IX37" s="563">
        <v>0</v>
      </c>
      <c r="IY37" s="563">
        <v>0</v>
      </c>
      <c r="IZ37" s="563">
        <v>0</v>
      </c>
      <c r="JA37" s="650">
        <v>4279.8788109235957</v>
      </c>
      <c r="JB37" s="564">
        <v>4000</v>
      </c>
      <c r="JC37" s="565">
        <v>205.25072003453315</v>
      </c>
      <c r="JD37" s="649">
        <v>16.715931300000001</v>
      </c>
      <c r="JE37" s="646">
        <v>117.62494424788113</v>
      </c>
      <c r="JF37" s="646">
        <v>0</v>
      </c>
      <c r="JG37" s="646">
        <v>0</v>
      </c>
      <c r="JH37" s="646">
        <v>57.175664678490328</v>
      </c>
      <c r="JI37" s="646">
        <v>12.569557230527323</v>
      </c>
      <c r="JJ37" s="646">
        <v>2650</v>
      </c>
      <c r="JK37" s="563" t="s">
        <v>67</v>
      </c>
      <c r="JL37" s="563">
        <v>4</v>
      </c>
      <c r="JM37" s="563">
        <v>0</v>
      </c>
      <c r="JN37" s="563">
        <v>0</v>
      </c>
      <c r="JO37" s="563">
        <v>0</v>
      </c>
      <c r="JP37" s="650">
        <v>4212.1060306376867</v>
      </c>
      <c r="JQ37" s="563">
        <v>0</v>
      </c>
      <c r="JR37" s="563">
        <v>0</v>
      </c>
      <c r="JS37" s="563">
        <v>0</v>
      </c>
      <c r="JT37" s="650">
        <v>4172.3922554434002</v>
      </c>
      <c r="JU37" s="564">
        <v>4000</v>
      </c>
      <c r="JV37" s="565">
        <v>205.25072003453315</v>
      </c>
      <c r="JW37" s="649">
        <v>16.715931300000001</v>
      </c>
      <c r="JX37" s="646">
        <v>117.62494424788113</v>
      </c>
      <c r="JY37" s="646">
        <v>0</v>
      </c>
      <c r="JZ37" s="646">
        <v>0</v>
      </c>
      <c r="KA37" s="646">
        <v>57.175664678490328</v>
      </c>
      <c r="KB37" s="646">
        <v>12.569557230527323</v>
      </c>
      <c r="KC37" s="646">
        <v>3312.5</v>
      </c>
      <c r="KD37" s="563" t="s">
        <v>67</v>
      </c>
      <c r="KE37" s="563">
        <v>4</v>
      </c>
      <c r="KF37" s="563">
        <v>0</v>
      </c>
      <c r="KG37" s="563">
        <v>0</v>
      </c>
      <c r="KH37" s="563">
        <v>0</v>
      </c>
      <c r="KI37" s="650">
        <v>4212.1060306376867</v>
      </c>
      <c r="KJ37" s="563">
        <v>0</v>
      </c>
      <c r="KK37" s="563">
        <v>0</v>
      </c>
      <c r="KL37" s="563">
        <v>0</v>
      </c>
      <c r="KM37" s="650">
        <v>4172.3922554434002</v>
      </c>
      <c r="KN37" s="564">
        <v>4000</v>
      </c>
      <c r="KO37" s="566">
        <v>205.25072003453315</v>
      </c>
    </row>
    <row r="38" spans="1:301" ht="15" customHeight="1">
      <c r="A38" s="663" t="s">
        <v>815</v>
      </c>
      <c r="B38" s="629" t="s">
        <v>382</v>
      </c>
      <c r="C38" s="629">
        <v>487.5</v>
      </c>
      <c r="D38" s="629">
        <v>980</v>
      </c>
      <c r="E38" s="629">
        <v>500</v>
      </c>
      <c r="F38" s="629">
        <v>450</v>
      </c>
      <c r="G38" s="629">
        <v>277</v>
      </c>
      <c r="H38" s="629">
        <v>186</v>
      </c>
      <c r="I38" s="629">
        <v>128</v>
      </c>
      <c r="J38" s="629">
        <v>33.68</v>
      </c>
      <c r="K38" s="629">
        <v>46.9</v>
      </c>
      <c r="L38" s="629">
        <v>10</v>
      </c>
      <c r="M38" s="629">
        <v>384</v>
      </c>
      <c r="N38" s="629">
        <v>6</v>
      </c>
      <c r="O38" s="623">
        <v>26.279296883572478</v>
      </c>
      <c r="P38" s="629">
        <v>6</v>
      </c>
      <c r="Q38" s="623">
        <v>18.13171768047027</v>
      </c>
      <c r="R38" s="629">
        <v>18.000000000000004</v>
      </c>
      <c r="S38" s="629">
        <v>685.7484642071413</v>
      </c>
      <c r="T38" s="645">
        <v>52.186927731321489</v>
      </c>
      <c r="U38" s="645">
        <v>102.86226963107119</v>
      </c>
      <c r="V38" s="645">
        <v>110</v>
      </c>
      <c r="W38" s="793">
        <v>5.3817769222925271</v>
      </c>
      <c r="X38" s="646">
        <v>0</v>
      </c>
      <c r="Y38" s="646">
        <v>0</v>
      </c>
      <c r="Z38" s="646">
        <v>0</v>
      </c>
      <c r="AA38" s="646">
        <v>0</v>
      </c>
      <c r="AB38" s="647">
        <v>31.27788437613841</v>
      </c>
      <c r="AC38" s="784">
        <v>4000</v>
      </c>
      <c r="AD38" s="631">
        <v>0.57568728755403409</v>
      </c>
      <c r="AE38" s="631">
        <v>0.66641289092643863</v>
      </c>
      <c r="AF38" s="631">
        <v>-0.34333097188638956</v>
      </c>
      <c r="AG38" s="631">
        <v>0.86399791650090807</v>
      </c>
      <c r="AH38" s="629"/>
      <c r="AI38" s="648">
        <v>3.8496360199677868</v>
      </c>
      <c r="AJ38" s="649">
        <v>37.860864000000007</v>
      </c>
      <c r="AK38" s="646">
        <v>139.84058321765679</v>
      </c>
      <c r="AL38" s="646">
        <v>0</v>
      </c>
      <c r="AM38" s="646">
        <v>0</v>
      </c>
      <c r="AN38" s="646">
        <v>65.997184746642105</v>
      </c>
      <c r="AO38" s="646">
        <v>15.956127199342919</v>
      </c>
      <c r="AP38" s="801">
        <v>3300</v>
      </c>
      <c r="AQ38" s="563" t="s">
        <v>71</v>
      </c>
      <c r="AR38" s="563">
        <v>8</v>
      </c>
      <c r="AS38" s="563">
        <v>0</v>
      </c>
      <c r="AT38" s="563">
        <v>0</v>
      </c>
      <c r="AU38" s="563">
        <v>0</v>
      </c>
      <c r="AV38" s="650">
        <v>3967.143397862058</v>
      </c>
      <c r="AW38" s="563">
        <v>0</v>
      </c>
      <c r="AX38" s="563">
        <v>0</v>
      </c>
      <c r="AY38" s="563">
        <v>0</v>
      </c>
      <c r="AZ38" s="650">
        <v>4992.893892301764</v>
      </c>
      <c r="BA38" s="564">
        <v>3967.143397862058</v>
      </c>
      <c r="BB38" s="565">
        <v>203.56475972285796</v>
      </c>
      <c r="BC38" s="649">
        <v>37.860864000000007</v>
      </c>
      <c r="BD38" s="646">
        <v>139.84058321765679</v>
      </c>
      <c r="BE38" s="646">
        <v>0</v>
      </c>
      <c r="BF38" s="646">
        <v>0</v>
      </c>
      <c r="BG38" s="646">
        <v>65.997184746642105</v>
      </c>
      <c r="BH38" s="646">
        <v>15.956127199342919</v>
      </c>
      <c r="BI38" s="646">
        <v>3600</v>
      </c>
      <c r="BJ38" s="563" t="s">
        <v>71</v>
      </c>
      <c r="BK38" s="563">
        <v>8</v>
      </c>
      <c r="BL38" s="563">
        <v>0</v>
      </c>
      <c r="BM38" s="563">
        <v>0</v>
      </c>
      <c r="BN38" s="563">
        <v>0</v>
      </c>
      <c r="BO38" s="650">
        <v>3967.143397862058</v>
      </c>
      <c r="BP38" s="563">
        <v>0</v>
      </c>
      <c r="BQ38" s="563">
        <v>0</v>
      </c>
      <c r="BR38" s="563">
        <v>0</v>
      </c>
      <c r="BS38" s="650">
        <v>4992.893892301764</v>
      </c>
      <c r="BT38" s="564">
        <v>3967.143397862058</v>
      </c>
      <c r="BU38" s="565">
        <v>203.56475972285796</v>
      </c>
      <c r="BV38" s="649">
        <v>37.860864000000007</v>
      </c>
      <c r="BW38" s="646">
        <v>139.84058321765679</v>
      </c>
      <c r="BX38" s="646">
        <v>0</v>
      </c>
      <c r="BY38" s="646">
        <v>0</v>
      </c>
      <c r="BZ38" s="646">
        <v>65.997184746642105</v>
      </c>
      <c r="CA38" s="646">
        <v>15.956127199342919</v>
      </c>
      <c r="CB38" s="646">
        <v>3300</v>
      </c>
      <c r="CC38" s="563" t="s">
        <v>1584</v>
      </c>
      <c r="CD38" s="563">
        <v>8</v>
      </c>
      <c r="CE38" s="563">
        <v>0</v>
      </c>
      <c r="CF38" s="563">
        <v>0</v>
      </c>
      <c r="CG38" s="563">
        <v>0</v>
      </c>
      <c r="CH38" s="650">
        <v>3886.9908244852459</v>
      </c>
      <c r="CI38" s="563">
        <v>0</v>
      </c>
      <c r="CJ38" s="563">
        <v>0</v>
      </c>
      <c r="CK38" s="563">
        <v>0</v>
      </c>
      <c r="CL38" s="650">
        <v>4892.0169503991792</v>
      </c>
      <c r="CM38" s="564">
        <v>3886.9908244852459</v>
      </c>
      <c r="CN38" s="565">
        <v>199.4519163733051</v>
      </c>
      <c r="CO38" s="649">
        <v>37.860864000000007</v>
      </c>
      <c r="CP38" s="646">
        <v>139.84058321765679</v>
      </c>
      <c r="CQ38" s="646">
        <v>0</v>
      </c>
      <c r="CR38" s="646">
        <v>0</v>
      </c>
      <c r="CS38" s="646">
        <v>65.997184746642105</v>
      </c>
      <c r="CT38" s="646">
        <v>15.956127199342919</v>
      </c>
      <c r="CU38" s="646">
        <v>3600</v>
      </c>
      <c r="CV38" s="563" t="s">
        <v>1584</v>
      </c>
      <c r="CW38" s="563">
        <v>8</v>
      </c>
      <c r="CX38" s="563">
        <v>0</v>
      </c>
      <c r="CY38" s="563">
        <v>0</v>
      </c>
      <c r="CZ38" s="563">
        <v>0</v>
      </c>
      <c r="DA38" s="650">
        <v>3886.9908244852459</v>
      </c>
      <c r="DB38" s="563">
        <v>0</v>
      </c>
      <c r="DC38" s="563">
        <v>0</v>
      </c>
      <c r="DD38" s="563">
        <v>0</v>
      </c>
      <c r="DE38" s="650">
        <v>4892.0169503991792</v>
      </c>
      <c r="DF38" s="564">
        <v>3886.9908244852459</v>
      </c>
      <c r="DG38" s="565">
        <v>199.4519163733051</v>
      </c>
      <c r="DH38" s="649">
        <v>37.860864000000007</v>
      </c>
      <c r="DI38" s="646">
        <v>139.84058321765679</v>
      </c>
      <c r="DJ38" s="646">
        <v>0</v>
      </c>
      <c r="DK38" s="646">
        <v>0</v>
      </c>
      <c r="DL38" s="646">
        <v>65.997184746642105</v>
      </c>
      <c r="DM38" s="646">
        <v>15.956127199342919</v>
      </c>
      <c r="DN38" s="646">
        <v>3300</v>
      </c>
      <c r="DO38" s="563" t="s">
        <v>1588</v>
      </c>
      <c r="DP38" s="563">
        <v>8</v>
      </c>
      <c r="DQ38" s="563">
        <v>0</v>
      </c>
      <c r="DR38" s="563">
        <v>0</v>
      </c>
      <c r="DS38" s="563">
        <v>0</v>
      </c>
      <c r="DT38" s="650">
        <v>4045.7083197838842</v>
      </c>
      <c r="DU38" s="563">
        <v>0</v>
      </c>
      <c r="DV38" s="563">
        <v>0</v>
      </c>
      <c r="DW38" s="563">
        <v>0</v>
      </c>
      <c r="DX38" s="650">
        <v>5091.7726772289843</v>
      </c>
      <c r="DY38" s="564">
        <v>4000</v>
      </c>
      <c r="DZ38" s="565">
        <v>205.25072003453315</v>
      </c>
      <c r="EA38" s="649">
        <v>37.860864000000007</v>
      </c>
      <c r="EB38" s="646">
        <v>139.84058321765679</v>
      </c>
      <c r="EC38" s="646">
        <v>0</v>
      </c>
      <c r="ED38" s="646">
        <v>0</v>
      </c>
      <c r="EE38" s="646">
        <v>65.997184746642105</v>
      </c>
      <c r="EF38" s="646">
        <v>15.956127199342919</v>
      </c>
      <c r="EG38" s="646">
        <v>3600</v>
      </c>
      <c r="EH38" s="563" t="s">
        <v>1588</v>
      </c>
      <c r="EI38" s="563">
        <v>8</v>
      </c>
      <c r="EJ38" s="563">
        <v>0</v>
      </c>
      <c r="EK38" s="563">
        <v>0</v>
      </c>
      <c r="EL38" s="563">
        <v>0</v>
      </c>
      <c r="EM38" s="650">
        <v>4045.7083197838842</v>
      </c>
      <c r="EN38" s="563">
        <v>0</v>
      </c>
      <c r="EO38" s="563">
        <v>0</v>
      </c>
      <c r="EP38" s="563">
        <v>0</v>
      </c>
      <c r="EQ38" s="650">
        <v>5091.7726772289843</v>
      </c>
      <c r="ER38" s="564">
        <v>4000</v>
      </c>
      <c r="ES38" s="565">
        <v>205.25072003453315</v>
      </c>
      <c r="ET38" s="649">
        <v>37.860864000000007</v>
      </c>
      <c r="EU38" s="646">
        <v>139.84058321765679</v>
      </c>
      <c r="EV38" s="646">
        <v>0</v>
      </c>
      <c r="EW38" s="646">
        <v>0</v>
      </c>
      <c r="EX38" s="646">
        <v>65.997184746642105</v>
      </c>
      <c r="EY38" s="646">
        <v>15.956127199342919</v>
      </c>
      <c r="EZ38" s="646">
        <v>3300</v>
      </c>
      <c r="FA38" s="563" t="s">
        <v>1589</v>
      </c>
      <c r="FB38" s="563">
        <v>8</v>
      </c>
      <c r="FC38" s="563">
        <v>0</v>
      </c>
      <c r="FD38" s="563">
        <v>0</v>
      </c>
      <c r="FE38" s="563">
        <v>0</v>
      </c>
      <c r="FF38" s="650">
        <v>4309.4207908089702</v>
      </c>
      <c r="FG38" s="563">
        <v>0</v>
      </c>
      <c r="FH38" s="563">
        <v>0</v>
      </c>
      <c r="FI38" s="563">
        <v>0</v>
      </c>
      <c r="FJ38" s="650">
        <v>5423.6710368022414</v>
      </c>
      <c r="FK38" s="564">
        <v>4000</v>
      </c>
      <c r="FL38" s="565">
        <v>205.25072003453315</v>
      </c>
      <c r="FM38" s="649">
        <v>37.860864000000007</v>
      </c>
      <c r="FN38" s="646">
        <v>139.84058321765679</v>
      </c>
      <c r="FO38" s="646">
        <v>0</v>
      </c>
      <c r="FP38" s="646">
        <v>0</v>
      </c>
      <c r="FQ38" s="646">
        <v>65.997184746642105</v>
      </c>
      <c r="FR38" s="646">
        <v>15.956127199342919</v>
      </c>
      <c r="FS38" s="646">
        <v>3600</v>
      </c>
      <c r="FT38" s="563" t="s">
        <v>1589</v>
      </c>
      <c r="FU38" s="563">
        <v>8</v>
      </c>
      <c r="FV38" s="563">
        <v>0</v>
      </c>
      <c r="FW38" s="563">
        <v>0</v>
      </c>
      <c r="FX38" s="563">
        <v>0</v>
      </c>
      <c r="FY38" s="650">
        <v>4309.4207908089702</v>
      </c>
      <c r="FZ38" s="563">
        <v>0</v>
      </c>
      <c r="GA38" s="563">
        <v>0</v>
      </c>
      <c r="GB38" s="563">
        <v>0</v>
      </c>
      <c r="GC38" s="650">
        <v>5423.6710368022414</v>
      </c>
      <c r="GD38" s="564">
        <v>4000</v>
      </c>
      <c r="GE38" s="565">
        <v>205.25072003453315</v>
      </c>
      <c r="GF38" s="649">
        <v>28.395648000000005</v>
      </c>
      <c r="GG38" s="646">
        <v>130.37536721765676</v>
      </c>
      <c r="GH38" s="646">
        <v>0</v>
      </c>
      <c r="GI38" s="646">
        <v>0</v>
      </c>
      <c r="GJ38" s="646">
        <v>64.036787745002741</v>
      </c>
      <c r="GK38" s="646">
        <v>14.538644551042918</v>
      </c>
      <c r="GL38" s="646">
        <v>3300</v>
      </c>
      <c r="GM38" s="563" t="s">
        <v>1587</v>
      </c>
      <c r="GN38" s="563">
        <v>6</v>
      </c>
      <c r="GO38" s="563">
        <v>0</v>
      </c>
      <c r="GP38" s="563">
        <v>0</v>
      </c>
      <c r="GQ38" s="563">
        <v>0</v>
      </c>
      <c r="GR38" s="650">
        <v>3833.7401491286164</v>
      </c>
      <c r="GS38" s="563">
        <v>0</v>
      </c>
      <c r="GT38" s="563">
        <v>0</v>
      </c>
      <c r="GU38" s="563">
        <v>0</v>
      </c>
      <c r="GV38" s="650">
        <v>4246.0827025508042</v>
      </c>
      <c r="GW38" s="564">
        <v>3833.7401491286164</v>
      </c>
      <c r="GX38" s="565">
        <v>196.71948150848675</v>
      </c>
      <c r="GY38" s="649">
        <v>28.395648000000005</v>
      </c>
      <c r="GZ38" s="646">
        <v>130.37536721765676</v>
      </c>
      <c r="HA38" s="646">
        <v>0</v>
      </c>
      <c r="HB38" s="646">
        <v>0</v>
      </c>
      <c r="HC38" s="646">
        <v>64.036787745002741</v>
      </c>
      <c r="HD38" s="646">
        <v>14.538644551042918</v>
      </c>
      <c r="HE38" s="646">
        <v>3600</v>
      </c>
      <c r="HF38" s="563" t="s">
        <v>1587</v>
      </c>
      <c r="HG38" s="563">
        <v>6</v>
      </c>
      <c r="HH38" s="563">
        <v>0</v>
      </c>
      <c r="HI38" s="563">
        <v>0</v>
      </c>
      <c r="HJ38" s="563">
        <v>0</v>
      </c>
      <c r="HK38" s="650">
        <v>3833.7401491286164</v>
      </c>
      <c r="HL38" s="563">
        <v>0</v>
      </c>
      <c r="HM38" s="563">
        <v>0</v>
      </c>
      <c r="HN38" s="563">
        <v>0</v>
      </c>
      <c r="HO38" s="650">
        <v>4246.0827025508042</v>
      </c>
      <c r="HP38" s="564">
        <v>3833.7401491286164</v>
      </c>
      <c r="HQ38" s="565">
        <v>196.71948150848675</v>
      </c>
      <c r="HR38" s="649">
        <v>28.395648000000005</v>
      </c>
      <c r="HS38" s="646">
        <v>132.82201612719342</v>
      </c>
      <c r="HT38" s="646">
        <v>2.4466489095366581</v>
      </c>
      <c r="HU38" s="646">
        <v>0</v>
      </c>
      <c r="HV38" s="646">
        <v>64.570304806003435</v>
      </c>
      <c r="HW38" s="646">
        <v>14.71967246819697</v>
      </c>
      <c r="HX38" s="646">
        <v>3300</v>
      </c>
      <c r="HY38" s="563" t="s">
        <v>68</v>
      </c>
      <c r="HZ38" s="563">
        <v>6</v>
      </c>
      <c r="IA38" s="563">
        <v>1</v>
      </c>
      <c r="IB38" s="563">
        <v>8</v>
      </c>
      <c r="IC38" s="563">
        <v>53.850798597178112</v>
      </c>
      <c r="ID38" s="650">
        <v>6894.8991367081953</v>
      </c>
      <c r="IE38" s="563">
        <v>0</v>
      </c>
      <c r="IF38" s="563">
        <v>0</v>
      </c>
      <c r="IG38" s="563">
        <v>0</v>
      </c>
      <c r="IH38" s="650">
        <v>3744.6929590541572</v>
      </c>
      <c r="II38" s="564">
        <v>3744.6929590541572</v>
      </c>
      <c r="IJ38" s="565">
        <v>192.15023153852809</v>
      </c>
      <c r="IK38" s="649">
        <v>28.395648000000005</v>
      </c>
      <c r="IL38" s="646">
        <v>132.82201612719342</v>
      </c>
      <c r="IM38" s="646">
        <v>2.4466489095366581</v>
      </c>
      <c r="IN38" s="646">
        <v>0</v>
      </c>
      <c r="IO38" s="646">
        <v>64.570304806003435</v>
      </c>
      <c r="IP38" s="646">
        <v>14.71967246819697</v>
      </c>
      <c r="IQ38" s="646">
        <v>3600</v>
      </c>
      <c r="IR38" s="563" t="s">
        <v>68</v>
      </c>
      <c r="IS38" s="563">
        <v>6</v>
      </c>
      <c r="IT38" s="563">
        <v>1</v>
      </c>
      <c r="IU38" s="563">
        <v>8</v>
      </c>
      <c r="IV38" s="563">
        <v>53.850798597178112</v>
      </c>
      <c r="IW38" s="650">
        <v>6894.8991367081953</v>
      </c>
      <c r="IX38" s="563">
        <v>0</v>
      </c>
      <c r="IY38" s="563">
        <v>0</v>
      </c>
      <c r="IZ38" s="563">
        <v>0</v>
      </c>
      <c r="JA38" s="650">
        <v>3744.6929590541572</v>
      </c>
      <c r="JB38" s="564">
        <v>3744.6929590541572</v>
      </c>
      <c r="JC38" s="565">
        <v>192.15023153852809</v>
      </c>
      <c r="JD38" s="649">
        <v>23.663040000000002</v>
      </c>
      <c r="JE38" s="646">
        <v>125.64275921765676</v>
      </c>
      <c r="JF38" s="646">
        <v>0</v>
      </c>
      <c r="JG38" s="646">
        <v>0</v>
      </c>
      <c r="JH38" s="646">
        <v>62.945825314081887</v>
      </c>
      <c r="JI38" s="646">
        <v>13.829903226892917</v>
      </c>
      <c r="JJ38" s="646">
        <v>3300</v>
      </c>
      <c r="JK38" s="563" t="s">
        <v>67</v>
      </c>
      <c r="JL38" s="563">
        <v>5</v>
      </c>
      <c r="JM38" s="563">
        <v>0</v>
      </c>
      <c r="JN38" s="563">
        <v>0</v>
      </c>
      <c r="JO38" s="563">
        <v>0</v>
      </c>
      <c r="JP38" s="650">
        <v>4014.0862086822931</v>
      </c>
      <c r="JQ38" s="563">
        <v>0</v>
      </c>
      <c r="JR38" s="563">
        <v>0</v>
      </c>
      <c r="JS38" s="563">
        <v>0</v>
      </c>
      <c r="JT38" s="650">
        <v>4349.2669230899091</v>
      </c>
      <c r="JU38" s="564">
        <v>4000</v>
      </c>
      <c r="JV38" s="565">
        <v>205.25072003453315</v>
      </c>
      <c r="JW38" s="649">
        <v>23.663040000000002</v>
      </c>
      <c r="JX38" s="646">
        <v>125.64275921765676</v>
      </c>
      <c r="JY38" s="646">
        <v>0</v>
      </c>
      <c r="JZ38" s="646">
        <v>0</v>
      </c>
      <c r="KA38" s="646">
        <v>62.945825314081887</v>
      </c>
      <c r="KB38" s="646">
        <v>13.829903226892917</v>
      </c>
      <c r="KC38" s="646">
        <v>3600</v>
      </c>
      <c r="KD38" s="563" t="s">
        <v>67</v>
      </c>
      <c r="KE38" s="563">
        <v>5</v>
      </c>
      <c r="KF38" s="563">
        <v>0</v>
      </c>
      <c r="KG38" s="563">
        <v>0</v>
      </c>
      <c r="KH38" s="563">
        <v>0</v>
      </c>
      <c r="KI38" s="650">
        <v>4014.0862086822931</v>
      </c>
      <c r="KJ38" s="563">
        <v>0</v>
      </c>
      <c r="KK38" s="563">
        <v>0</v>
      </c>
      <c r="KL38" s="563">
        <v>0</v>
      </c>
      <c r="KM38" s="650">
        <v>4349.2669230899091</v>
      </c>
      <c r="KN38" s="564">
        <v>4000</v>
      </c>
      <c r="KO38" s="566">
        <v>205.25072003453315</v>
      </c>
    </row>
    <row r="39" spans="1:301" ht="15" customHeight="1">
      <c r="A39" s="663" t="s">
        <v>816</v>
      </c>
      <c r="B39" s="629" t="s">
        <v>387</v>
      </c>
      <c r="C39" s="629">
        <v>546</v>
      </c>
      <c r="D39" s="629">
        <v>980</v>
      </c>
      <c r="E39" s="629">
        <v>560</v>
      </c>
      <c r="F39" s="629">
        <v>500</v>
      </c>
      <c r="G39" s="629">
        <v>308</v>
      </c>
      <c r="H39" s="629">
        <v>209</v>
      </c>
      <c r="I39" s="629">
        <v>143</v>
      </c>
      <c r="J39" s="629">
        <v>32.619999999999997</v>
      </c>
      <c r="K39" s="629">
        <v>43.74</v>
      </c>
      <c r="L39" s="629">
        <v>1</v>
      </c>
      <c r="M39" s="629">
        <v>365</v>
      </c>
      <c r="N39" s="629">
        <v>6</v>
      </c>
      <c r="O39" s="623">
        <v>23.926589561225615</v>
      </c>
      <c r="P39" s="629">
        <v>6</v>
      </c>
      <c r="Q39" s="623">
        <v>16.981666166032113</v>
      </c>
      <c r="R39" s="629">
        <v>18.000000000000004</v>
      </c>
      <c r="S39" s="629">
        <v>708.05362683173246</v>
      </c>
      <c r="T39" s="645">
        <v>55.637082274635965</v>
      </c>
      <c r="U39" s="645">
        <v>106.20804402475987</v>
      </c>
      <c r="V39" s="645">
        <v>122.5</v>
      </c>
      <c r="W39" s="793">
        <v>6.3895711674777234</v>
      </c>
      <c r="X39" s="646">
        <v>0</v>
      </c>
      <c r="Y39" s="646">
        <v>0</v>
      </c>
      <c r="Z39" s="646">
        <v>0</v>
      </c>
      <c r="AA39" s="646">
        <v>0</v>
      </c>
      <c r="AB39" s="647">
        <v>12.857632931168899</v>
      </c>
      <c r="AC39" s="784">
        <v>3503.100627683677</v>
      </c>
      <c r="AD39" s="631">
        <v>0.54795068328576069</v>
      </c>
      <c r="AE39" s="631">
        <v>0.64001862224193418</v>
      </c>
      <c r="AF39" s="631">
        <v>-0.36846502416512161</v>
      </c>
      <c r="AG39" s="631">
        <v>0.77074075557247423</v>
      </c>
      <c r="AH39" s="629"/>
      <c r="AI39" s="648">
        <v>2.6773860667488498</v>
      </c>
      <c r="AJ39" s="649">
        <v>3.0257040000000002</v>
      </c>
      <c r="AK39" s="646">
        <v>105.96061316937143</v>
      </c>
      <c r="AL39" s="646">
        <v>0</v>
      </c>
      <c r="AM39" s="646">
        <v>0</v>
      </c>
      <c r="AN39" s="646">
        <v>59.077454084452604</v>
      </c>
      <c r="AO39" s="646">
        <v>10.87578038213805</v>
      </c>
      <c r="AP39" s="801">
        <v>2000</v>
      </c>
      <c r="AQ39" s="563" t="s">
        <v>71</v>
      </c>
      <c r="AR39" s="563">
        <v>6</v>
      </c>
      <c r="AS39" s="563">
        <v>0</v>
      </c>
      <c r="AT39" s="563">
        <v>0</v>
      </c>
      <c r="AU39" s="563">
        <v>0</v>
      </c>
      <c r="AV39" s="650">
        <v>2386.2220985478871</v>
      </c>
      <c r="AW39" s="563">
        <v>0</v>
      </c>
      <c r="AX39" s="563">
        <v>0</v>
      </c>
      <c r="AY39" s="563">
        <v>0</v>
      </c>
      <c r="AZ39" s="650">
        <v>2677.672573079124</v>
      </c>
      <c r="BA39" s="564">
        <v>2386.2220985478871</v>
      </c>
      <c r="BB39" s="565">
        <v>122.44345097231714</v>
      </c>
      <c r="BC39" s="649">
        <v>4.0342720000000005</v>
      </c>
      <c r="BD39" s="646">
        <v>106.96918116937142</v>
      </c>
      <c r="BE39" s="646">
        <v>0</v>
      </c>
      <c r="BF39" s="646">
        <v>0</v>
      </c>
      <c r="BG39" s="646">
        <v>59.505724412299791</v>
      </c>
      <c r="BH39" s="646">
        <v>11.034442752774051</v>
      </c>
      <c r="BI39" s="646">
        <v>2500</v>
      </c>
      <c r="BJ39" s="563" t="s">
        <v>71</v>
      </c>
      <c r="BK39" s="563">
        <v>8</v>
      </c>
      <c r="BL39" s="563">
        <v>0</v>
      </c>
      <c r="BM39" s="563">
        <v>0</v>
      </c>
      <c r="BN39" s="563">
        <v>0</v>
      </c>
      <c r="BO39" s="650">
        <v>3224.8655217948567</v>
      </c>
      <c r="BP39" s="563">
        <v>0</v>
      </c>
      <c r="BQ39" s="563">
        <v>0</v>
      </c>
      <c r="BR39" s="563">
        <v>0</v>
      </c>
      <c r="BS39" s="650">
        <v>3971.9385873976662</v>
      </c>
      <c r="BT39" s="564">
        <v>3224.8655217948567</v>
      </c>
      <c r="BU39" s="565">
        <v>165.4764925907337</v>
      </c>
      <c r="BV39" s="649">
        <v>3.0257040000000002</v>
      </c>
      <c r="BW39" s="646">
        <v>105.96061316937143</v>
      </c>
      <c r="BX39" s="646">
        <v>0</v>
      </c>
      <c r="BY39" s="646">
        <v>0</v>
      </c>
      <c r="BZ39" s="646">
        <v>59.077454084452604</v>
      </c>
      <c r="CA39" s="646">
        <v>10.87578038213805</v>
      </c>
      <c r="CB39" s="646">
        <v>2000</v>
      </c>
      <c r="CC39" s="563" t="s">
        <v>1584</v>
      </c>
      <c r="CD39" s="563">
        <v>6</v>
      </c>
      <c r="CE39" s="563">
        <v>0</v>
      </c>
      <c r="CF39" s="563">
        <v>0</v>
      </c>
      <c r="CG39" s="563">
        <v>0</v>
      </c>
      <c r="CH39" s="650">
        <v>2338.0106217582397</v>
      </c>
      <c r="CI39" s="563">
        <v>0</v>
      </c>
      <c r="CJ39" s="563">
        <v>0</v>
      </c>
      <c r="CK39" s="563">
        <v>0</v>
      </c>
      <c r="CL39" s="650">
        <v>2623.572600915661</v>
      </c>
      <c r="CM39" s="564">
        <v>2338.0106217582397</v>
      </c>
      <c r="CN39" s="565">
        <v>119.9695908910663</v>
      </c>
      <c r="CO39" s="649">
        <v>4.0342720000000005</v>
      </c>
      <c r="CP39" s="646">
        <v>106.96918116937142</v>
      </c>
      <c r="CQ39" s="646">
        <v>0</v>
      </c>
      <c r="CR39" s="646">
        <v>0</v>
      </c>
      <c r="CS39" s="646">
        <v>59.505724412299791</v>
      </c>
      <c r="CT39" s="646">
        <v>11.034442752774051</v>
      </c>
      <c r="CU39" s="646">
        <v>2500</v>
      </c>
      <c r="CV39" s="563" t="s">
        <v>1584</v>
      </c>
      <c r="CW39" s="563">
        <v>8</v>
      </c>
      <c r="CX39" s="563">
        <v>0</v>
      </c>
      <c r="CY39" s="563">
        <v>0</v>
      </c>
      <c r="CZ39" s="563">
        <v>0</v>
      </c>
      <c r="DA39" s="650">
        <v>3159.7100069966491</v>
      </c>
      <c r="DB39" s="563">
        <v>0</v>
      </c>
      <c r="DC39" s="563">
        <v>0</v>
      </c>
      <c r="DD39" s="563">
        <v>0</v>
      </c>
      <c r="DE39" s="650">
        <v>3891.689131518116</v>
      </c>
      <c r="DF39" s="564">
        <v>3159.7100069966491</v>
      </c>
      <c r="DG39" s="565">
        <v>162.13318850909548</v>
      </c>
      <c r="DH39" s="649">
        <v>3.0257040000000002</v>
      </c>
      <c r="DI39" s="646">
        <v>105.96061316937143</v>
      </c>
      <c r="DJ39" s="646">
        <v>0</v>
      </c>
      <c r="DK39" s="646">
        <v>0</v>
      </c>
      <c r="DL39" s="646">
        <v>59.077454084452604</v>
      </c>
      <c r="DM39" s="646">
        <v>10.87578038213805</v>
      </c>
      <c r="DN39" s="646">
        <v>2000</v>
      </c>
      <c r="DO39" s="563" t="s">
        <v>1588</v>
      </c>
      <c r="DP39" s="563">
        <v>6</v>
      </c>
      <c r="DQ39" s="563">
        <v>0</v>
      </c>
      <c r="DR39" s="563">
        <v>0</v>
      </c>
      <c r="DS39" s="563">
        <v>0</v>
      </c>
      <c r="DT39" s="650">
        <v>2433.4786088524002</v>
      </c>
      <c r="DU39" s="563">
        <v>0</v>
      </c>
      <c r="DV39" s="563">
        <v>0</v>
      </c>
      <c r="DW39" s="563">
        <v>0</v>
      </c>
      <c r="DX39" s="650">
        <v>2730.7009402285316</v>
      </c>
      <c r="DY39" s="564">
        <v>2433.4786088524002</v>
      </c>
      <c r="DZ39" s="565">
        <v>124.86830916389729</v>
      </c>
      <c r="EA39" s="649">
        <v>4.0342720000000005</v>
      </c>
      <c r="EB39" s="646">
        <v>106.96918116937142</v>
      </c>
      <c r="EC39" s="646">
        <v>0</v>
      </c>
      <c r="ED39" s="646">
        <v>0</v>
      </c>
      <c r="EE39" s="646">
        <v>59.505724412299791</v>
      </c>
      <c r="EF39" s="646">
        <v>11.034442752774051</v>
      </c>
      <c r="EG39" s="646">
        <v>2500</v>
      </c>
      <c r="EH39" s="563" t="s">
        <v>1588</v>
      </c>
      <c r="EI39" s="563">
        <v>8</v>
      </c>
      <c r="EJ39" s="563">
        <v>0</v>
      </c>
      <c r="EK39" s="563">
        <v>0</v>
      </c>
      <c r="EL39" s="563">
        <v>0</v>
      </c>
      <c r="EM39" s="650">
        <v>3288.7304448689106</v>
      </c>
      <c r="EN39" s="563">
        <v>0</v>
      </c>
      <c r="EO39" s="563">
        <v>0</v>
      </c>
      <c r="EP39" s="563">
        <v>0</v>
      </c>
      <c r="EQ39" s="650">
        <v>4050.5984727865707</v>
      </c>
      <c r="ER39" s="564">
        <v>3288.7304448689106</v>
      </c>
      <c r="ES39" s="565">
        <v>168.7535729522086</v>
      </c>
      <c r="ET39" s="649">
        <v>2.5214200000000004</v>
      </c>
      <c r="EU39" s="646">
        <v>105.45632916937143</v>
      </c>
      <c r="EV39" s="646">
        <v>0</v>
      </c>
      <c r="EW39" s="646">
        <v>0</v>
      </c>
      <c r="EX39" s="646">
        <v>58.860246987212506</v>
      </c>
      <c r="EY39" s="646">
        <v>10.796449196820051</v>
      </c>
      <c r="EZ39" s="646">
        <v>2000</v>
      </c>
      <c r="FA39" s="563" t="s">
        <v>1589</v>
      </c>
      <c r="FB39" s="563">
        <v>5</v>
      </c>
      <c r="FC39" s="563">
        <v>0</v>
      </c>
      <c r="FD39" s="563">
        <v>0</v>
      </c>
      <c r="FE39" s="563">
        <v>0</v>
      </c>
      <c r="FF39" s="650">
        <v>2270.7755412574629</v>
      </c>
      <c r="FG39" s="563">
        <v>0</v>
      </c>
      <c r="FH39" s="563">
        <v>0</v>
      </c>
      <c r="FI39" s="563">
        <v>0</v>
      </c>
      <c r="FJ39" s="650">
        <v>2503.3035966504053</v>
      </c>
      <c r="FK39" s="564">
        <v>2270.7755412574629</v>
      </c>
      <c r="FL39" s="565">
        <v>116.51957871997524</v>
      </c>
      <c r="FM39" s="649">
        <v>4.0342720000000005</v>
      </c>
      <c r="FN39" s="646">
        <v>106.96918116937142</v>
      </c>
      <c r="FO39" s="646">
        <v>0</v>
      </c>
      <c r="FP39" s="646">
        <v>0</v>
      </c>
      <c r="FQ39" s="646">
        <v>59.505724412299791</v>
      </c>
      <c r="FR39" s="646">
        <v>11.034442752774051</v>
      </c>
      <c r="FS39" s="646">
        <v>2500</v>
      </c>
      <c r="FT39" s="563" t="s">
        <v>1589</v>
      </c>
      <c r="FU39" s="563">
        <v>8</v>
      </c>
      <c r="FV39" s="563">
        <v>0</v>
      </c>
      <c r="FW39" s="563">
        <v>0</v>
      </c>
      <c r="FX39" s="563">
        <v>0</v>
      </c>
      <c r="FY39" s="650">
        <v>3503.100627683677</v>
      </c>
      <c r="FZ39" s="563">
        <v>0</v>
      </c>
      <c r="GA39" s="563">
        <v>0</v>
      </c>
      <c r="GB39" s="563">
        <v>0</v>
      </c>
      <c r="GC39" s="650">
        <v>4314.6296999428705</v>
      </c>
      <c r="GD39" s="564">
        <v>3503.100627683677</v>
      </c>
      <c r="GE39" s="565">
        <v>179.75348154637493</v>
      </c>
      <c r="GF39" s="649">
        <v>2.0171360000000003</v>
      </c>
      <c r="GG39" s="646">
        <v>104.95204516937142</v>
      </c>
      <c r="GH39" s="646">
        <v>0</v>
      </c>
      <c r="GI39" s="646">
        <v>0</v>
      </c>
      <c r="GJ39" s="646">
        <v>58.640952573548077</v>
      </c>
      <c r="GK39" s="646">
        <v>10.71711801150205</v>
      </c>
      <c r="GL39" s="646">
        <v>2000</v>
      </c>
      <c r="GM39" s="563" t="s">
        <v>1587</v>
      </c>
      <c r="GN39" s="563">
        <v>4</v>
      </c>
      <c r="GO39" s="563">
        <v>0</v>
      </c>
      <c r="GP39" s="563">
        <v>0</v>
      </c>
      <c r="GQ39" s="563">
        <v>0</v>
      </c>
      <c r="GR39" s="650">
        <v>2435.9140208247809</v>
      </c>
      <c r="GS39" s="563">
        <v>0</v>
      </c>
      <c r="GT39" s="563">
        <v>0</v>
      </c>
      <c r="GU39" s="563">
        <v>0</v>
      </c>
      <c r="GV39" s="650">
        <v>2654.8474213218319</v>
      </c>
      <c r="GW39" s="564">
        <v>2435.9140208247809</v>
      </c>
      <c r="GX39" s="565">
        <v>124.99327667912526</v>
      </c>
      <c r="GY39" s="649">
        <v>2.5214200000000004</v>
      </c>
      <c r="GZ39" s="646">
        <v>105.45632916937143</v>
      </c>
      <c r="HA39" s="646">
        <v>0</v>
      </c>
      <c r="HB39" s="646">
        <v>0</v>
      </c>
      <c r="HC39" s="646">
        <v>58.860246987212506</v>
      </c>
      <c r="HD39" s="646">
        <v>10.796449196820051</v>
      </c>
      <c r="HE39" s="646">
        <v>2500</v>
      </c>
      <c r="HF39" s="563" t="s">
        <v>1587</v>
      </c>
      <c r="HG39" s="563">
        <v>5</v>
      </c>
      <c r="HH39" s="563">
        <v>0</v>
      </c>
      <c r="HI39" s="563">
        <v>0</v>
      </c>
      <c r="HJ39" s="563">
        <v>0</v>
      </c>
      <c r="HK39" s="650">
        <v>2804.5904873083223</v>
      </c>
      <c r="HL39" s="563">
        <v>0</v>
      </c>
      <c r="HM39" s="563">
        <v>0</v>
      </c>
      <c r="HN39" s="563">
        <v>0</v>
      </c>
      <c r="HO39" s="650">
        <v>3091.7813436244182</v>
      </c>
      <c r="HP39" s="564">
        <v>2804.5904873083223</v>
      </c>
      <c r="HQ39" s="565">
        <v>143.91105423050882</v>
      </c>
      <c r="HR39" s="649">
        <v>2.5214200000000004</v>
      </c>
      <c r="HS39" s="646">
        <v>105.45632916937143</v>
      </c>
      <c r="HT39" s="646">
        <v>0</v>
      </c>
      <c r="HU39" s="646">
        <v>0</v>
      </c>
      <c r="HV39" s="646">
        <v>58.860246987212506</v>
      </c>
      <c r="HW39" s="646">
        <v>10.796449196820051</v>
      </c>
      <c r="HX39" s="646">
        <v>2000</v>
      </c>
      <c r="HY39" s="563" t="s">
        <v>68</v>
      </c>
      <c r="HZ39" s="563">
        <v>5</v>
      </c>
      <c r="IA39" s="563">
        <v>0</v>
      </c>
      <c r="IB39" s="563">
        <v>0</v>
      </c>
      <c r="IC39" s="563">
        <v>0</v>
      </c>
      <c r="ID39" s="650">
        <v>2473.4163196012532</v>
      </c>
      <c r="IE39" s="563">
        <v>0</v>
      </c>
      <c r="IF39" s="563">
        <v>0</v>
      </c>
      <c r="IG39" s="563">
        <v>0</v>
      </c>
      <c r="IH39" s="650">
        <v>2726.6948478064487</v>
      </c>
      <c r="II39" s="564">
        <v>2473.4163196012532</v>
      </c>
      <c r="IJ39" s="565">
        <v>126.91762013583055</v>
      </c>
      <c r="IK39" s="649">
        <v>3.0257040000000002</v>
      </c>
      <c r="IL39" s="646">
        <v>105.96061316937143</v>
      </c>
      <c r="IM39" s="646">
        <v>0</v>
      </c>
      <c r="IN39" s="646">
        <v>0</v>
      </c>
      <c r="IO39" s="646">
        <v>59.077454084452604</v>
      </c>
      <c r="IP39" s="646">
        <v>10.87578038213805</v>
      </c>
      <c r="IQ39" s="646">
        <v>2500</v>
      </c>
      <c r="IR39" s="563" t="s">
        <v>68</v>
      </c>
      <c r="IS39" s="563">
        <v>6</v>
      </c>
      <c r="IT39" s="563">
        <v>0</v>
      </c>
      <c r="IU39" s="563">
        <v>0</v>
      </c>
      <c r="IV39" s="563">
        <v>0</v>
      </c>
      <c r="IW39" s="650">
        <v>2823.4160630409383</v>
      </c>
      <c r="IX39" s="563">
        <v>0</v>
      </c>
      <c r="IY39" s="563">
        <v>0</v>
      </c>
      <c r="IZ39" s="563">
        <v>0</v>
      </c>
      <c r="JA39" s="650">
        <v>3168.2649150707475</v>
      </c>
      <c r="JB39" s="564">
        <v>2823.4160630409383</v>
      </c>
      <c r="JC39" s="565">
        <v>144.87704497405485</v>
      </c>
      <c r="JD39" s="649">
        <v>2.0171360000000003</v>
      </c>
      <c r="JE39" s="646">
        <v>104.95204516937142</v>
      </c>
      <c r="JF39" s="646">
        <v>0</v>
      </c>
      <c r="JG39" s="646">
        <v>0</v>
      </c>
      <c r="JH39" s="646">
        <v>58.640952573548077</v>
      </c>
      <c r="JI39" s="646">
        <v>10.71711801150205</v>
      </c>
      <c r="JJ39" s="646">
        <v>2000</v>
      </c>
      <c r="JK39" s="563" t="s">
        <v>67</v>
      </c>
      <c r="JL39" s="563">
        <v>4</v>
      </c>
      <c r="JM39" s="563">
        <v>0</v>
      </c>
      <c r="JN39" s="563">
        <v>0</v>
      </c>
      <c r="JO39" s="563">
        <v>0</v>
      </c>
      <c r="JP39" s="650">
        <v>2927.6043015684681</v>
      </c>
      <c r="JQ39" s="563">
        <v>0</v>
      </c>
      <c r="JR39" s="563">
        <v>0</v>
      </c>
      <c r="JS39" s="563">
        <v>0</v>
      </c>
      <c r="JT39" s="650">
        <v>3190.729502036404</v>
      </c>
      <c r="JU39" s="564">
        <v>2927.6043015684681</v>
      </c>
      <c r="JV39" s="565">
        <v>150.22322271828116</v>
      </c>
      <c r="JW39" s="649">
        <v>2.0171360000000003</v>
      </c>
      <c r="JX39" s="646">
        <v>104.95204516937142</v>
      </c>
      <c r="JY39" s="646">
        <v>0</v>
      </c>
      <c r="JZ39" s="646">
        <v>0</v>
      </c>
      <c r="KA39" s="646">
        <v>58.640952573548077</v>
      </c>
      <c r="KB39" s="646">
        <v>10.71711801150205</v>
      </c>
      <c r="KC39" s="646">
        <v>2500</v>
      </c>
      <c r="KD39" s="563" t="s">
        <v>67</v>
      </c>
      <c r="KE39" s="563">
        <v>4</v>
      </c>
      <c r="KF39" s="563">
        <v>0</v>
      </c>
      <c r="KG39" s="563">
        <v>0</v>
      </c>
      <c r="KH39" s="563">
        <v>0</v>
      </c>
      <c r="KI39" s="650">
        <v>2927.6043015684681</v>
      </c>
      <c r="KJ39" s="563">
        <v>0</v>
      </c>
      <c r="KK39" s="563">
        <v>0</v>
      </c>
      <c r="KL39" s="563">
        <v>0</v>
      </c>
      <c r="KM39" s="650">
        <v>3190.729502036404</v>
      </c>
      <c r="KN39" s="564">
        <v>2927.6043015684681</v>
      </c>
      <c r="KO39" s="566">
        <v>150.22322271828116</v>
      </c>
    </row>
    <row r="40" spans="1:301" ht="15" customHeight="1">
      <c r="A40" s="663" t="s">
        <v>817</v>
      </c>
      <c r="B40" s="629" t="s">
        <v>388</v>
      </c>
      <c r="C40" s="629">
        <v>642.5</v>
      </c>
      <c r="D40" s="629">
        <v>980</v>
      </c>
      <c r="E40" s="629">
        <v>630</v>
      </c>
      <c r="F40" s="629">
        <v>630</v>
      </c>
      <c r="G40" s="629">
        <v>370</v>
      </c>
      <c r="H40" s="629">
        <v>257</v>
      </c>
      <c r="I40" s="629">
        <v>195</v>
      </c>
      <c r="J40" s="629">
        <v>19.100000000000001</v>
      </c>
      <c r="K40" s="629">
        <v>29.88</v>
      </c>
      <c r="L40" s="629">
        <v>8</v>
      </c>
      <c r="M40" s="629">
        <v>369</v>
      </c>
      <c r="N40" s="629">
        <v>6</v>
      </c>
      <c r="O40" s="623">
        <v>20.845134845007166</v>
      </c>
      <c r="P40" s="629">
        <v>6</v>
      </c>
      <c r="Q40" s="623">
        <v>14.436213769945626</v>
      </c>
      <c r="R40" s="629">
        <v>18.000000000000004</v>
      </c>
      <c r="S40" s="629">
        <v>755.08301243354038</v>
      </c>
      <c r="T40" s="645">
        <v>63.273439462895418</v>
      </c>
      <c r="U40" s="645">
        <v>113.26245186503105</v>
      </c>
      <c r="V40" s="645">
        <v>147.5</v>
      </c>
      <c r="W40" s="793">
        <v>8.749530300728507</v>
      </c>
      <c r="X40" s="646">
        <v>0</v>
      </c>
      <c r="Y40" s="646">
        <v>0</v>
      </c>
      <c r="Z40" s="646">
        <v>0</v>
      </c>
      <c r="AA40" s="646">
        <v>0</v>
      </c>
      <c r="AB40" s="647">
        <v>28.70135095220601</v>
      </c>
      <c r="AC40" s="784">
        <v>4000</v>
      </c>
      <c r="AD40" s="631">
        <v>0.51516904619891568</v>
      </c>
      <c r="AE40" s="631">
        <v>0.34628104733407428</v>
      </c>
      <c r="AF40" s="631">
        <v>-0.60557522371475814</v>
      </c>
      <c r="AG40" s="631">
        <v>0.97453909027120356</v>
      </c>
      <c r="AH40" s="629"/>
      <c r="AI40" s="648">
        <v>3.7030550433296616</v>
      </c>
      <c r="AJ40" s="649">
        <v>26.185716000000006</v>
      </c>
      <c r="AK40" s="646">
        <v>140.68639789939559</v>
      </c>
      <c r="AL40" s="646">
        <v>2.1660412776861322</v>
      </c>
      <c r="AM40" s="646">
        <v>5.0303222431327397</v>
      </c>
      <c r="AN40" s="646">
        <v>76.403294850836147</v>
      </c>
      <c r="AO40" s="646">
        <v>16.63522396258336</v>
      </c>
      <c r="AP40" s="801">
        <v>2600</v>
      </c>
      <c r="AQ40" s="563" t="s">
        <v>71</v>
      </c>
      <c r="AR40" s="563">
        <v>5</v>
      </c>
      <c r="AS40" s="563">
        <v>1</v>
      </c>
      <c r="AT40" s="563">
        <v>8</v>
      </c>
      <c r="AU40" s="563">
        <v>35.136176965902443</v>
      </c>
      <c r="AV40" s="650">
        <v>3137.3914933167212</v>
      </c>
      <c r="AW40" s="563">
        <v>1</v>
      </c>
      <c r="AX40" s="563">
        <v>8</v>
      </c>
      <c r="AY40" s="563">
        <v>53.494384254642874</v>
      </c>
      <c r="AZ40" s="650">
        <v>3335.594029341285</v>
      </c>
      <c r="BA40" s="564">
        <v>3137.3914933167212</v>
      </c>
      <c r="BB40" s="565">
        <v>160.98796575836906</v>
      </c>
      <c r="BC40" s="649">
        <v>31.422859200000005</v>
      </c>
      <c r="BD40" s="646">
        <v>149.69628278174514</v>
      </c>
      <c r="BE40" s="646">
        <v>2.1660412776861322</v>
      </c>
      <c r="BF40" s="646">
        <v>8.8030639254822951</v>
      </c>
      <c r="BG40" s="646">
        <v>78.757597292030866</v>
      </c>
      <c r="BH40" s="646">
        <v>18.346525052129714</v>
      </c>
      <c r="BI40" s="646">
        <v>3250</v>
      </c>
      <c r="BJ40" s="563" t="s">
        <v>71</v>
      </c>
      <c r="BK40" s="563">
        <v>6</v>
      </c>
      <c r="BL40" s="563">
        <v>1</v>
      </c>
      <c r="BM40" s="563">
        <v>8</v>
      </c>
      <c r="BN40" s="563">
        <v>35.136176965902443</v>
      </c>
      <c r="BO40" s="650">
        <v>3714.6114830857759</v>
      </c>
      <c r="BP40" s="563">
        <v>1</v>
      </c>
      <c r="BQ40" s="563">
        <v>14</v>
      </c>
      <c r="BR40" s="563">
        <v>53.494384254642874</v>
      </c>
      <c r="BS40" s="650">
        <v>3594.2593633627985</v>
      </c>
      <c r="BT40" s="564">
        <v>3594.2593633627985</v>
      </c>
      <c r="BU40" s="565">
        <v>184.43108058026928</v>
      </c>
      <c r="BV40" s="649">
        <v>26.185716000000006</v>
      </c>
      <c r="BW40" s="646">
        <v>140.68639789939559</v>
      </c>
      <c r="BX40" s="646">
        <v>2.1660412776861322</v>
      </c>
      <c r="BY40" s="646">
        <v>5.0303222431327397</v>
      </c>
      <c r="BZ40" s="646">
        <v>76.403294850836147</v>
      </c>
      <c r="CA40" s="646">
        <v>16.63522396258336</v>
      </c>
      <c r="CB40" s="646">
        <v>2600</v>
      </c>
      <c r="CC40" s="563" t="s">
        <v>1584</v>
      </c>
      <c r="CD40" s="563">
        <v>5</v>
      </c>
      <c r="CE40" s="563">
        <v>1</v>
      </c>
      <c r="CF40" s="563">
        <v>8</v>
      </c>
      <c r="CG40" s="563">
        <v>35.136176965902443</v>
      </c>
      <c r="CH40" s="650">
        <v>3074.0033127898032</v>
      </c>
      <c r="CI40" s="563">
        <v>1</v>
      </c>
      <c r="CJ40" s="563">
        <v>8</v>
      </c>
      <c r="CK40" s="563">
        <v>53.494384254642874</v>
      </c>
      <c r="CL40" s="650">
        <v>3268.2013443841151</v>
      </c>
      <c r="CM40" s="564">
        <v>3074.0033127898032</v>
      </c>
      <c r="CN40" s="565">
        <v>157.73534833466184</v>
      </c>
      <c r="CO40" s="649">
        <v>31.422859200000005</v>
      </c>
      <c r="CP40" s="646">
        <v>152.2114439033115</v>
      </c>
      <c r="CQ40" s="646">
        <v>2.1660412776861322</v>
      </c>
      <c r="CR40" s="646">
        <v>11.318225047048667</v>
      </c>
      <c r="CS40" s="646">
        <v>79.067299121321497</v>
      </c>
      <c r="CT40" s="646">
        <v>18.888085963961867</v>
      </c>
      <c r="CU40" s="646">
        <v>3250</v>
      </c>
      <c r="CV40" s="563" t="s">
        <v>1584</v>
      </c>
      <c r="CW40" s="563">
        <v>6</v>
      </c>
      <c r="CX40" s="563">
        <v>1</v>
      </c>
      <c r="CY40" s="563">
        <v>8</v>
      </c>
      <c r="CZ40" s="563">
        <v>35.136176965902443</v>
      </c>
      <c r="DA40" s="650">
        <v>3639.5610904972868</v>
      </c>
      <c r="DB40" s="563">
        <v>1</v>
      </c>
      <c r="DC40" s="563">
        <v>18.000000000000004</v>
      </c>
      <c r="DD40" s="563">
        <v>53.494384254642874</v>
      </c>
      <c r="DE40" s="650">
        <v>3582.8369039279601</v>
      </c>
      <c r="DF40" s="564">
        <v>3582.8369039279601</v>
      </c>
      <c r="DG40" s="565">
        <v>183.8449635743778</v>
      </c>
      <c r="DH40" s="649">
        <v>26.185716000000006</v>
      </c>
      <c r="DI40" s="646">
        <v>140.68639789939559</v>
      </c>
      <c r="DJ40" s="646">
        <v>2.1660412776861322</v>
      </c>
      <c r="DK40" s="646">
        <v>5.0303222431327397</v>
      </c>
      <c r="DL40" s="646">
        <v>76.403294850836147</v>
      </c>
      <c r="DM40" s="646">
        <v>16.63522396258336</v>
      </c>
      <c r="DN40" s="646">
        <v>2600</v>
      </c>
      <c r="DO40" s="563" t="s">
        <v>1588</v>
      </c>
      <c r="DP40" s="563">
        <v>5</v>
      </c>
      <c r="DQ40" s="563">
        <v>1</v>
      </c>
      <c r="DR40" s="563">
        <v>8</v>
      </c>
      <c r="DS40" s="563">
        <v>35.136176965902443</v>
      </c>
      <c r="DT40" s="650">
        <v>3199.524089240394</v>
      </c>
      <c r="DU40" s="563">
        <v>1</v>
      </c>
      <c r="DV40" s="563">
        <v>8</v>
      </c>
      <c r="DW40" s="563">
        <v>53.494384254642874</v>
      </c>
      <c r="DX40" s="650">
        <v>3401.651809006959</v>
      </c>
      <c r="DY40" s="564">
        <v>3199.524089240394</v>
      </c>
      <c r="DZ40" s="565">
        <v>164.17615577110618</v>
      </c>
      <c r="EA40" s="649">
        <v>31.422859200000005</v>
      </c>
      <c r="EB40" s="646">
        <v>148.43870222096194</v>
      </c>
      <c r="EC40" s="646">
        <v>2.1660412776861322</v>
      </c>
      <c r="ED40" s="646">
        <v>7.5454833646991082</v>
      </c>
      <c r="EE40" s="646">
        <v>78.598810661891605</v>
      </c>
      <c r="EF40" s="646">
        <v>18.075744596213639</v>
      </c>
      <c r="EG40" s="646">
        <v>3250</v>
      </c>
      <c r="EH40" s="563" t="s">
        <v>1588</v>
      </c>
      <c r="EI40" s="563">
        <v>6</v>
      </c>
      <c r="EJ40" s="563">
        <v>1</v>
      </c>
      <c r="EK40" s="563">
        <v>8</v>
      </c>
      <c r="EL40" s="563">
        <v>35.136176965902443</v>
      </c>
      <c r="EM40" s="650">
        <v>3788.1752875340412</v>
      </c>
      <c r="EN40" s="563">
        <v>1</v>
      </c>
      <c r="EO40" s="563">
        <v>12</v>
      </c>
      <c r="EP40" s="563">
        <v>53.494384254642874</v>
      </c>
      <c r="EQ40" s="650">
        <v>3619.7538805114405</v>
      </c>
      <c r="ER40" s="564">
        <v>3619.7538805114405</v>
      </c>
      <c r="ES40" s="565">
        <v>185.73927258069216</v>
      </c>
      <c r="ET40" s="649">
        <v>41.897145600000009</v>
      </c>
      <c r="EU40" s="646">
        <v>151.90901557568438</v>
      </c>
      <c r="EV40" s="646">
        <v>2.7075515971076651</v>
      </c>
      <c r="EW40" s="646">
        <v>0</v>
      </c>
      <c r="EX40" s="646">
        <v>81.278590703514112</v>
      </c>
      <c r="EY40" s="646">
        <v>18.311312572447189</v>
      </c>
      <c r="EZ40" s="646">
        <v>2600</v>
      </c>
      <c r="FA40" s="563" t="s">
        <v>1587</v>
      </c>
      <c r="FB40" s="563">
        <v>8</v>
      </c>
      <c r="FC40" s="563">
        <v>1</v>
      </c>
      <c r="FD40" s="563">
        <v>10</v>
      </c>
      <c r="FE40" s="563">
        <v>35.136176965902443</v>
      </c>
      <c r="FF40" s="650">
        <v>5467.5676123745197</v>
      </c>
      <c r="FG40" s="563">
        <v>0</v>
      </c>
      <c r="FH40" s="563">
        <v>0</v>
      </c>
      <c r="FI40" s="563">
        <v>0</v>
      </c>
      <c r="FJ40" s="650">
        <v>3036.8714750830522</v>
      </c>
      <c r="FK40" s="564">
        <v>3036.8714750830522</v>
      </c>
      <c r="FL40" s="565">
        <v>155.83001422828281</v>
      </c>
      <c r="FM40" s="649">
        <v>31.422859200000005</v>
      </c>
      <c r="FN40" s="646">
        <v>145.92354109939558</v>
      </c>
      <c r="FO40" s="646">
        <v>2.1660412776861322</v>
      </c>
      <c r="FP40" s="646">
        <v>5.0303222431327397</v>
      </c>
      <c r="FQ40" s="646">
        <v>78.273026787566678</v>
      </c>
      <c r="FR40" s="646">
        <v>17.534183684381489</v>
      </c>
      <c r="FS40" s="646">
        <v>3250</v>
      </c>
      <c r="FT40" s="563" t="s">
        <v>1589</v>
      </c>
      <c r="FU40" s="563">
        <v>6</v>
      </c>
      <c r="FV40" s="563">
        <v>1</v>
      </c>
      <c r="FW40" s="563">
        <v>8</v>
      </c>
      <c r="FX40" s="563">
        <v>35.136176965902443</v>
      </c>
      <c r="FY40" s="650">
        <v>4035.1009150852474</v>
      </c>
      <c r="FZ40" s="563">
        <v>1</v>
      </c>
      <c r="GA40" s="563">
        <v>8</v>
      </c>
      <c r="GB40" s="563">
        <v>53.494384254642874</v>
      </c>
      <c r="GC40" s="650">
        <v>3698.6885514748601</v>
      </c>
      <c r="GD40" s="564">
        <v>3698.6885514748601</v>
      </c>
      <c r="GE40" s="565">
        <v>189.78962209342487</v>
      </c>
      <c r="GF40" s="649">
        <v>41.897145600000009</v>
      </c>
      <c r="GG40" s="646">
        <v>151.90901557568438</v>
      </c>
      <c r="GH40" s="646">
        <v>2.7075515971076651</v>
      </c>
      <c r="GI40" s="646">
        <v>0</v>
      </c>
      <c r="GJ40" s="646">
        <v>81.278590703514112</v>
      </c>
      <c r="GK40" s="646">
        <v>18.311312572447189</v>
      </c>
      <c r="GL40" s="646">
        <v>2600</v>
      </c>
      <c r="GM40" s="563" t="s">
        <v>1587</v>
      </c>
      <c r="GN40" s="563">
        <v>8</v>
      </c>
      <c r="GO40" s="563">
        <v>1</v>
      </c>
      <c r="GP40" s="563">
        <v>10</v>
      </c>
      <c r="GQ40" s="563">
        <v>35.136176965902443</v>
      </c>
      <c r="GR40" s="650">
        <v>5467.5676123745197</v>
      </c>
      <c r="GS40" s="563">
        <v>0</v>
      </c>
      <c r="GT40" s="563">
        <v>0</v>
      </c>
      <c r="GU40" s="563">
        <v>0</v>
      </c>
      <c r="GV40" s="650">
        <v>3036.8714750830522</v>
      </c>
      <c r="GW40" s="564">
        <v>3036.8714750830522</v>
      </c>
      <c r="GX40" s="565">
        <v>155.83001422828281</v>
      </c>
      <c r="GY40" s="649">
        <v>26.185716000000006</v>
      </c>
      <c r="GZ40" s="646">
        <v>140.68639789939559</v>
      </c>
      <c r="HA40" s="646">
        <v>2.1660412776861322</v>
      </c>
      <c r="HB40" s="646">
        <v>5.0303222431327397</v>
      </c>
      <c r="HC40" s="646">
        <v>76.403294850836147</v>
      </c>
      <c r="HD40" s="646">
        <v>16.63522396258336</v>
      </c>
      <c r="HE40" s="646">
        <v>3250</v>
      </c>
      <c r="HF40" s="563" t="s">
        <v>1587</v>
      </c>
      <c r="HG40" s="563">
        <v>5</v>
      </c>
      <c r="HH40" s="563">
        <v>1</v>
      </c>
      <c r="HI40" s="563">
        <v>8</v>
      </c>
      <c r="HJ40" s="563">
        <v>35.136176965902443</v>
      </c>
      <c r="HK40" s="650">
        <v>4209.2523906514607</v>
      </c>
      <c r="HL40" s="563">
        <v>1</v>
      </c>
      <c r="HM40" s="563">
        <v>8</v>
      </c>
      <c r="HN40" s="563">
        <v>53.494384254642874</v>
      </c>
      <c r="HO40" s="650">
        <v>4475.1689969697254</v>
      </c>
      <c r="HP40" s="564">
        <v>4000</v>
      </c>
      <c r="HQ40" s="565">
        <v>205.25072003453315</v>
      </c>
      <c r="HR40" s="649">
        <v>20.948572800000004</v>
      </c>
      <c r="HS40" s="646">
        <v>133.65016381919085</v>
      </c>
      <c r="HT40" s="646">
        <v>1.624530958264599</v>
      </c>
      <c r="HU40" s="646">
        <v>3.7727416823495541</v>
      </c>
      <c r="HV40" s="646">
        <v>73.952271930311994</v>
      </c>
      <c r="HW40" s="646">
        <v>15.403152516735405</v>
      </c>
      <c r="HX40" s="646">
        <v>2600</v>
      </c>
      <c r="HY40" s="563" t="s">
        <v>68</v>
      </c>
      <c r="HZ40" s="563">
        <v>4</v>
      </c>
      <c r="IA40" s="563">
        <v>1</v>
      </c>
      <c r="IB40" s="563">
        <v>6</v>
      </c>
      <c r="IC40" s="563">
        <v>35.136176965902443</v>
      </c>
      <c r="ID40" s="650">
        <v>3151.5064030105318</v>
      </c>
      <c r="IE40" s="563">
        <v>1</v>
      </c>
      <c r="IF40" s="563">
        <v>6</v>
      </c>
      <c r="IG40" s="563">
        <v>53.494384254642874</v>
      </c>
      <c r="IH40" s="650">
        <v>3301.9845522755431</v>
      </c>
      <c r="II40" s="564">
        <v>3151.5064030105318</v>
      </c>
      <c r="IJ40" s="565">
        <v>161.71223960283834</v>
      </c>
      <c r="IK40" s="649">
        <v>26.185716000000006</v>
      </c>
      <c r="IL40" s="646">
        <v>140.68639789939559</v>
      </c>
      <c r="IM40" s="646">
        <v>2.1660412776861322</v>
      </c>
      <c r="IN40" s="646">
        <v>5.0303222431327397</v>
      </c>
      <c r="IO40" s="646">
        <v>76.403294850836147</v>
      </c>
      <c r="IP40" s="646">
        <v>16.63522396258336</v>
      </c>
      <c r="IQ40" s="646">
        <v>3250</v>
      </c>
      <c r="IR40" s="563" t="s">
        <v>68</v>
      </c>
      <c r="IS40" s="563">
        <v>5</v>
      </c>
      <c r="IT40" s="563">
        <v>1</v>
      </c>
      <c r="IU40" s="563">
        <v>8</v>
      </c>
      <c r="IV40" s="563">
        <v>35.136176965902443</v>
      </c>
      <c r="IW40" s="650">
        <v>3712.2116770559542</v>
      </c>
      <c r="IX40" s="563">
        <v>1</v>
      </c>
      <c r="IY40" s="563">
        <v>8</v>
      </c>
      <c r="IZ40" s="563">
        <v>53.494384254642874</v>
      </c>
      <c r="JA40" s="650">
        <v>3946.7280803227527</v>
      </c>
      <c r="JB40" s="564">
        <v>3712.2116770559542</v>
      </c>
      <c r="JC40" s="565">
        <v>190.4835299090841</v>
      </c>
      <c r="JD40" s="649">
        <v>20.948572800000004</v>
      </c>
      <c r="JE40" s="646">
        <v>133.65016381919085</v>
      </c>
      <c r="JF40" s="646">
        <v>1.624530958264599</v>
      </c>
      <c r="JG40" s="646">
        <v>3.7727416823495541</v>
      </c>
      <c r="JH40" s="646">
        <v>73.952271930311994</v>
      </c>
      <c r="JI40" s="646">
        <v>15.403152516735405</v>
      </c>
      <c r="JJ40" s="646">
        <v>2600</v>
      </c>
      <c r="JK40" s="563" t="s">
        <v>67</v>
      </c>
      <c r="JL40" s="563">
        <v>4</v>
      </c>
      <c r="JM40" s="563">
        <v>1</v>
      </c>
      <c r="JN40" s="563">
        <v>6</v>
      </c>
      <c r="JO40" s="563">
        <v>35.136176965902443</v>
      </c>
      <c r="JP40" s="650">
        <v>4294.7792876403673</v>
      </c>
      <c r="JQ40" s="563">
        <v>1</v>
      </c>
      <c r="JR40" s="563">
        <v>6</v>
      </c>
      <c r="JS40" s="563">
        <v>53.494384254642874</v>
      </c>
      <c r="JT40" s="650">
        <v>4499.8464384126037</v>
      </c>
      <c r="JU40" s="564">
        <v>4000</v>
      </c>
      <c r="JV40" s="565">
        <v>205.25072003453315</v>
      </c>
      <c r="JW40" s="649">
        <v>20.948572800000004</v>
      </c>
      <c r="JX40" s="646">
        <v>133.65016381919085</v>
      </c>
      <c r="JY40" s="646">
        <v>1.624530958264599</v>
      </c>
      <c r="JZ40" s="646">
        <v>3.7727416823495541</v>
      </c>
      <c r="KA40" s="646">
        <v>73.952271930311994</v>
      </c>
      <c r="KB40" s="646">
        <v>15.403152516735405</v>
      </c>
      <c r="KC40" s="646">
        <v>3250</v>
      </c>
      <c r="KD40" s="563" t="s">
        <v>67</v>
      </c>
      <c r="KE40" s="563">
        <v>4</v>
      </c>
      <c r="KF40" s="563">
        <v>1</v>
      </c>
      <c r="KG40" s="563">
        <v>6</v>
      </c>
      <c r="KH40" s="563">
        <v>35.136176965902443</v>
      </c>
      <c r="KI40" s="650">
        <v>4294.7792876403673</v>
      </c>
      <c r="KJ40" s="563">
        <v>1</v>
      </c>
      <c r="KK40" s="563">
        <v>6</v>
      </c>
      <c r="KL40" s="563">
        <v>53.494384254642874</v>
      </c>
      <c r="KM40" s="650">
        <v>4499.8464384126037</v>
      </c>
      <c r="KN40" s="564">
        <v>4000</v>
      </c>
      <c r="KO40" s="566">
        <v>205.25072003453315</v>
      </c>
    </row>
    <row r="41" spans="1:301" ht="15" customHeight="1">
      <c r="A41" s="663" t="s">
        <v>818</v>
      </c>
      <c r="B41" s="629" t="s">
        <v>383</v>
      </c>
      <c r="C41" s="629">
        <v>322.5</v>
      </c>
      <c r="D41" s="629">
        <v>1120</v>
      </c>
      <c r="E41" s="629">
        <v>315</v>
      </c>
      <c r="F41" s="629">
        <v>315</v>
      </c>
      <c r="G41" s="629">
        <v>184</v>
      </c>
      <c r="H41" s="629">
        <v>119</v>
      </c>
      <c r="I41" s="629">
        <v>78.2</v>
      </c>
      <c r="J41" s="629">
        <v>34.840000000000003</v>
      </c>
      <c r="K41" s="629">
        <v>52.1</v>
      </c>
      <c r="L41" s="629">
        <v>10</v>
      </c>
      <c r="M41" s="629">
        <v>515</v>
      </c>
      <c r="N41" s="629">
        <v>6</v>
      </c>
      <c r="O41" s="623">
        <v>42.732526432264692</v>
      </c>
      <c r="P41" s="629">
        <v>6</v>
      </c>
      <c r="Q41" s="623">
        <v>28.413612598482331</v>
      </c>
      <c r="R41" s="629">
        <v>18.000000000000004</v>
      </c>
      <c r="S41" s="629">
        <v>697.35479628891665</v>
      </c>
      <c r="T41" s="645">
        <v>53.968410560774778</v>
      </c>
      <c r="U41" s="645">
        <v>104.60321944333749</v>
      </c>
      <c r="V41" s="645">
        <v>85</v>
      </c>
      <c r="W41" s="793">
        <v>4.3006077165617391</v>
      </c>
      <c r="X41" s="646">
        <v>0</v>
      </c>
      <c r="Y41" s="646">
        <v>0</v>
      </c>
      <c r="Z41" s="646">
        <v>0</v>
      </c>
      <c r="AA41" s="646">
        <v>0</v>
      </c>
      <c r="AB41" s="647">
        <v>25.094814339778992</v>
      </c>
      <c r="AC41" s="784">
        <v>4000</v>
      </c>
      <c r="AD41" s="631">
        <v>0.40825063871163014</v>
      </c>
      <c r="AE41" s="631">
        <v>0.69605397264490643</v>
      </c>
      <c r="AF41" s="631">
        <v>-0.23370088576735551</v>
      </c>
      <c r="AG41" s="631">
        <v>1.4496008023740272</v>
      </c>
      <c r="AH41" s="629"/>
      <c r="AI41" s="648">
        <v>4.793021189199326</v>
      </c>
      <c r="AJ41" s="649">
        <v>15.944606</v>
      </c>
      <c r="AK41" s="646">
        <v>145.35976330808353</v>
      </c>
      <c r="AL41" s="646">
        <v>0</v>
      </c>
      <c r="AM41" s="646">
        <v>0</v>
      </c>
      <c r="AN41" s="646">
        <v>46.69522644206404</v>
      </c>
      <c r="AO41" s="646">
        <v>19.400973479545762</v>
      </c>
      <c r="AP41" s="801">
        <v>3600</v>
      </c>
      <c r="AQ41" s="563" t="s">
        <v>71</v>
      </c>
      <c r="AR41" s="563">
        <v>4</v>
      </c>
      <c r="AS41" s="563">
        <v>0</v>
      </c>
      <c r="AT41" s="563">
        <v>0</v>
      </c>
      <c r="AU41" s="563">
        <v>0</v>
      </c>
      <c r="AV41" s="650">
        <v>4219.7208109473941</v>
      </c>
      <c r="AW41" s="563">
        <v>0</v>
      </c>
      <c r="AX41" s="563">
        <v>0</v>
      </c>
      <c r="AY41" s="563">
        <v>0</v>
      </c>
      <c r="AZ41" s="650">
        <v>4038.3258254670245</v>
      </c>
      <c r="BA41" s="564">
        <v>4000</v>
      </c>
      <c r="BB41" s="565">
        <v>234.57225146803788</v>
      </c>
      <c r="BC41" s="649">
        <v>15.944606</v>
      </c>
      <c r="BD41" s="646">
        <v>145.35976330808353</v>
      </c>
      <c r="BE41" s="646">
        <v>0</v>
      </c>
      <c r="BF41" s="646">
        <v>0</v>
      </c>
      <c r="BG41" s="646">
        <v>46.69522644206404</v>
      </c>
      <c r="BH41" s="646">
        <v>19.400973479545762</v>
      </c>
      <c r="BI41" s="646">
        <v>3600</v>
      </c>
      <c r="BJ41" s="563" t="s">
        <v>71</v>
      </c>
      <c r="BK41" s="563">
        <v>4</v>
      </c>
      <c r="BL41" s="563">
        <v>0</v>
      </c>
      <c r="BM41" s="563">
        <v>0</v>
      </c>
      <c r="BN41" s="563">
        <v>0</v>
      </c>
      <c r="BO41" s="650">
        <v>4219.7208109473941</v>
      </c>
      <c r="BP41" s="563">
        <v>0</v>
      </c>
      <c r="BQ41" s="563">
        <v>0</v>
      </c>
      <c r="BR41" s="563">
        <v>0</v>
      </c>
      <c r="BS41" s="650">
        <v>4038.3258254670245</v>
      </c>
      <c r="BT41" s="564">
        <v>4000</v>
      </c>
      <c r="BU41" s="565">
        <v>234.57225146803788</v>
      </c>
      <c r="BV41" s="649">
        <v>19.930757499999999</v>
      </c>
      <c r="BW41" s="646">
        <v>149.34591480808353</v>
      </c>
      <c r="BX41" s="646">
        <v>0</v>
      </c>
      <c r="BY41" s="646">
        <v>0</v>
      </c>
      <c r="BZ41" s="646">
        <v>47.036995196774988</v>
      </c>
      <c r="CA41" s="646">
        <v>20.07782511842662</v>
      </c>
      <c r="CB41" s="646">
        <v>3600</v>
      </c>
      <c r="CC41" s="563" t="s">
        <v>1584</v>
      </c>
      <c r="CD41" s="563">
        <v>5</v>
      </c>
      <c r="CE41" s="563">
        <v>0</v>
      </c>
      <c r="CF41" s="563">
        <v>0</v>
      </c>
      <c r="CG41" s="563">
        <v>0</v>
      </c>
      <c r="CH41" s="650">
        <v>4883.412805332292</v>
      </c>
      <c r="CI41" s="563">
        <v>0</v>
      </c>
      <c r="CJ41" s="563">
        <v>0</v>
      </c>
      <c r="CK41" s="563">
        <v>0</v>
      </c>
      <c r="CL41" s="650">
        <v>4848.3027768878428</v>
      </c>
      <c r="CM41" s="564">
        <v>4000</v>
      </c>
      <c r="CN41" s="565">
        <v>234.57225146803788</v>
      </c>
      <c r="CO41" s="649">
        <v>19.930757499999999</v>
      </c>
      <c r="CP41" s="646">
        <v>149.34591480808353</v>
      </c>
      <c r="CQ41" s="646">
        <v>0</v>
      </c>
      <c r="CR41" s="646">
        <v>0</v>
      </c>
      <c r="CS41" s="646">
        <v>47.036995196774988</v>
      </c>
      <c r="CT41" s="646">
        <v>20.07782511842662</v>
      </c>
      <c r="CU41" s="646">
        <v>3600</v>
      </c>
      <c r="CV41" s="563" t="s">
        <v>1584</v>
      </c>
      <c r="CW41" s="563">
        <v>5</v>
      </c>
      <c r="CX41" s="563">
        <v>0</v>
      </c>
      <c r="CY41" s="563">
        <v>0</v>
      </c>
      <c r="CZ41" s="563">
        <v>0</v>
      </c>
      <c r="DA41" s="650">
        <v>4883.412805332292</v>
      </c>
      <c r="DB41" s="563">
        <v>0</v>
      </c>
      <c r="DC41" s="563">
        <v>0</v>
      </c>
      <c r="DD41" s="563">
        <v>0</v>
      </c>
      <c r="DE41" s="650">
        <v>4848.3027768878428</v>
      </c>
      <c r="DF41" s="564">
        <v>4000</v>
      </c>
      <c r="DG41" s="565">
        <v>234.57225146803788</v>
      </c>
      <c r="DH41" s="649">
        <v>15.944606</v>
      </c>
      <c r="DI41" s="646">
        <v>145.35976330808353</v>
      </c>
      <c r="DJ41" s="646">
        <v>0</v>
      </c>
      <c r="DK41" s="646">
        <v>0</v>
      </c>
      <c r="DL41" s="646">
        <v>46.69522644206404</v>
      </c>
      <c r="DM41" s="646">
        <v>19.400973479545762</v>
      </c>
      <c r="DN41" s="646">
        <v>3600</v>
      </c>
      <c r="DO41" s="563" t="s">
        <v>1588</v>
      </c>
      <c r="DP41" s="563">
        <v>4</v>
      </c>
      <c r="DQ41" s="563">
        <v>0</v>
      </c>
      <c r="DR41" s="563">
        <v>0</v>
      </c>
      <c r="DS41" s="563">
        <v>0</v>
      </c>
      <c r="DT41" s="650">
        <v>4303.2877513868661</v>
      </c>
      <c r="DU41" s="563">
        <v>0</v>
      </c>
      <c r="DV41" s="563">
        <v>0</v>
      </c>
      <c r="DW41" s="563">
        <v>0</v>
      </c>
      <c r="DX41" s="650">
        <v>4118.30043726041</v>
      </c>
      <c r="DY41" s="564">
        <v>4000</v>
      </c>
      <c r="DZ41" s="565">
        <v>234.57225146803788</v>
      </c>
      <c r="EA41" s="649">
        <v>15.944606</v>
      </c>
      <c r="EB41" s="646">
        <v>145.35976330808353</v>
      </c>
      <c r="EC41" s="646">
        <v>0</v>
      </c>
      <c r="ED41" s="646">
        <v>0</v>
      </c>
      <c r="EE41" s="646">
        <v>46.69522644206404</v>
      </c>
      <c r="EF41" s="646">
        <v>19.400973479545762</v>
      </c>
      <c r="EG41" s="646">
        <v>3600</v>
      </c>
      <c r="EH41" s="563" t="s">
        <v>1588</v>
      </c>
      <c r="EI41" s="563">
        <v>4</v>
      </c>
      <c r="EJ41" s="563">
        <v>0</v>
      </c>
      <c r="EK41" s="563">
        <v>0</v>
      </c>
      <c r="EL41" s="563">
        <v>0</v>
      </c>
      <c r="EM41" s="650">
        <v>4303.2877513868661</v>
      </c>
      <c r="EN41" s="563">
        <v>0</v>
      </c>
      <c r="EO41" s="563">
        <v>0</v>
      </c>
      <c r="EP41" s="563">
        <v>0</v>
      </c>
      <c r="EQ41" s="650">
        <v>4118.30043726041</v>
      </c>
      <c r="ER41" s="564">
        <v>4000</v>
      </c>
      <c r="ES41" s="565">
        <v>234.57225146803788</v>
      </c>
      <c r="ET41" s="649">
        <v>15.944606</v>
      </c>
      <c r="EU41" s="646">
        <v>145.35976330808353</v>
      </c>
      <c r="EV41" s="646">
        <v>0</v>
      </c>
      <c r="EW41" s="646">
        <v>0</v>
      </c>
      <c r="EX41" s="646">
        <v>46.69522644206404</v>
      </c>
      <c r="EY41" s="646">
        <v>19.400973479545762</v>
      </c>
      <c r="EZ41" s="646">
        <v>3600</v>
      </c>
      <c r="FA41" s="563" t="s">
        <v>1589</v>
      </c>
      <c r="FB41" s="563">
        <v>4</v>
      </c>
      <c r="FC41" s="563">
        <v>0</v>
      </c>
      <c r="FD41" s="563">
        <v>0</v>
      </c>
      <c r="FE41" s="563">
        <v>0</v>
      </c>
      <c r="FF41" s="650">
        <v>4583.79009034709</v>
      </c>
      <c r="FG41" s="563">
        <v>0</v>
      </c>
      <c r="FH41" s="563">
        <v>0</v>
      </c>
      <c r="FI41" s="563">
        <v>0</v>
      </c>
      <c r="FJ41" s="650">
        <v>4386.7446993993208</v>
      </c>
      <c r="FK41" s="564">
        <v>4000</v>
      </c>
      <c r="FL41" s="565">
        <v>234.57225146803788</v>
      </c>
      <c r="FM41" s="649">
        <v>15.944606</v>
      </c>
      <c r="FN41" s="646">
        <v>145.35976330808353</v>
      </c>
      <c r="FO41" s="646">
        <v>0</v>
      </c>
      <c r="FP41" s="646">
        <v>0</v>
      </c>
      <c r="FQ41" s="646">
        <v>46.69522644206404</v>
      </c>
      <c r="FR41" s="646">
        <v>19.400973479545762</v>
      </c>
      <c r="FS41" s="646">
        <v>3600</v>
      </c>
      <c r="FT41" s="563" t="s">
        <v>1589</v>
      </c>
      <c r="FU41" s="563">
        <v>4</v>
      </c>
      <c r="FV41" s="563">
        <v>0</v>
      </c>
      <c r="FW41" s="563">
        <v>0</v>
      </c>
      <c r="FX41" s="563">
        <v>0</v>
      </c>
      <c r="FY41" s="650">
        <v>4583.79009034709</v>
      </c>
      <c r="FZ41" s="563">
        <v>0</v>
      </c>
      <c r="GA41" s="563">
        <v>0</v>
      </c>
      <c r="GB41" s="563">
        <v>0</v>
      </c>
      <c r="GC41" s="650">
        <v>4386.7446993993208</v>
      </c>
      <c r="GD41" s="564">
        <v>4000</v>
      </c>
      <c r="GE41" s="565">
        <v>234.57225146803788</v>
      </c>
      <c r="GF41" s="649">
        <v>15.944606</v>
      </c>
      <c r="GG41" s="646">
        <v>145.35976330808353</v>
      </c>
      <c r="GH41" s="646">
        <v>0</v>
      </c>
      <c r="GI41" s="646">
        <v>0</v>
      </c>
      <c r="GJ41" s="646">
        <v>46.69522644206404</v>
      </c>
      <c r="GK41" s="646">
        <v>19.400973479545762</v>
      </c>
      <c r="GL41" s="646">
        <v>3600</v>
      </c>
      <c r="GM41" s="563" t="s">
        <v>1587</v>
      </c>
      <c r="GN41" s="563">
        <v>4</v>
      </c>
      <c r="GO41" s="563">
        <v>0</v>
      </c>
      <c r="GP41" s="563">
        <v>0</v>
      </c>
      <c r="GQ41" s="563">
        <v>0</v>
      </c>
      <c r="GR41" s="650">
        <v>5661.3495476093458</v>
      </c>
      <c r="GS41" s="563">
        <v>0</v>
      </c>
      <c r="GT41" s="563">
        <v>0</v>
      </c>
      <c r="GU41" s="563">
        <v>0</v>
      </c>
      <c r="GV41" s="650">
        <v>5417.9826366223306</v>
      </c>
      <c r="GW41" s="564">
        <v>4000</v>
      </c>
      <c r="GX41" s="565">
        <v>234.57225146803788</v>
      </c>
      <c r="GY41" s="649">
        <v>15.944606</v>
      </c>
      <c r="GZ41" s="646">
        <v>145.35976330808353</v>
      </c>
      <c r="HA41" s="646">
        <v>0</v>
      </c>
      <c r="HB41" s="646">
        <v>0</v>
      </c>
      <c r="HC41" s="646">
        <v>46.69522644206404</v>
      </c>
      <c r="HD41" s="646">
        <v>19.400973479545762</v>
      </c>
      <c r="HE41" s="646">
        <v>3600</v>
      </c>
      <c r="HF41" s="563" t="s">
        <v>1587</v>
      </c>
      <c r="HG41" s="563">
        <v>4</v>
      </c>
      <c r="HH41" s="563">
        <v>0</v>
      </c>
      <c r="HI41" s="563">
        <v>0</v>
      </c>
      <c r="HJ41" s="563">
        <v>0</v>
      </c>
      <c r="HK41" s="650">
        <v>5661.3495476093458</v>
      </c>
      <c r="HL41" s="563">
        <v>0</v>
      </c>
      <c r="HM41" s="563">
        <v>0</v>
      </c>
      <c r="HN41" s="563">
        <v>0</v>
      </c>
      <c r="HO41" s="650">
        <v>5417.9826366223306</v>
      </c>
      <c r="HP41" s="564">
        <v>4000</v>
      </c>
      <c r="HQ41" s="565">
        <v>234.57225146803788</v>
      </c>
      <c r="HR41" s="649">
        <v>15.944606</v>
      </c>
      <c r="HS41" s="646">
        <v>145.35976330808353</v>
      </c>
      <c r="HT41" s="646">
        <v>0</v>
      </c>
      <c r="HU41" s="646">
        <v>0</v>
      </c>
      <c r="HV41" s="646">
        <v>46.69522644206404</v>
      </c>
      <c r="HW41" s="646">
        <v>19.400973479545762</v>
      </c>
      <c r="HX41" s="646">
        <v>3600</v>
      </c>
      <c r="HY41" s="563" t="s">
        <v>68</v>
      </c>
      <c r="HZ41" s="563">
        <v>4</v>
      </c>
      <c r="IA41" s="563">
        <v>0</v>
      </c>
      <c r="IB41" s="563">
        <v>0</v>
      </c>
      <c r="IC41" s="563">
        <v>0</v>
      </c>
      <c r="ID41" s="650">
        <v>4992.8409959941164</v>
      </c>
      <c r="IE41" s="563">
        <v>0</v>
      </c>
      <c r="IF41" s="563">
        <v>0</v>
      </c>
      <c r="IG41" s="563">
        <v>0</v>
      </c>
      <c r="IH41" s="650">
        <v>4778.2115547229077</v>
      </c>
      <c r="II41" s="564">
        <v>4000</v>
      </c>
      <c r="IJ41" s="565">
        <v>234.57225146803788</v>
      </c>
      <c r="IK41" s="649">
        <v>15.944606</v>
      </c>
      <c r="IL41" s="646">
        <v>145.35976330808353</v>
      </c>
      <c r="IM41" s="646">
        <v>0</v>
      </c>
      <c r="IN41" s="646">
        <v>0</v>
      </c>
      <c r="IO41" s="646">
        <v>46.69522644206404</v>
      </c>
      <c r="IP41" s="646">
        <v>19.400973479545762</v>
      </c>
      <c r="IQ41" s="646">
        <v>3600</v>
      </c>
      <c r="IR41" s="563" t="s">
        <v>68</v>
      </c>
      <c r="IS41" s="563">
        <v>4</v>
      </c>
      <c r="IT41" s="563">
        <v>0</v>
      </c>
      <c r="IU41" s="563">
        <v>0</v>
      </c>
      <c r="IV41" s="563">
        <v>0</v>
      </c>
      <c r="IW41" s="650">
        <v>4992.8409959941164</v>
      </c>
      <c r="IX41" s="563">
        <v>0</v>
      </c>
      <c r="IY41" s="563">
        <v>0</v>
      </c>
      <c r="IZ41" s="563">
        <v>0</v>
      </c>
      <c r="JA41" s="650">
        <v>4778.2115547229077</v>
      </c>
      <c r="JB41" s="564">
        <v>4000</v>
      </c>
      <c r="JC41" s="565">
        <v>234.57225146803788</v>
      </c>
      <c r="JD41" s="649">
        <v>15.944606</v>
      </c>
      <c r="JE41" s="646">
        <v>145.35976330808353</v>
      </c>
      <c r="JF41" s="646">
        <v>0</v>
      </c>
      <c r="JG41" s="646">
        <v>0</v>
      </c>
      <c r="JH41" s="646">
        <v>46.69522644206404</v>
      </c>
      <c r="JI41" s="646">
        <v>19.400973479545762</v>
      </c>
      <c r="JJ41" s="646">
        <v>3600</v>
      </c>
      <c r="JK41" s="563" t="s">
        <v>67</v>
      </c>
      <c r="JL41" s="563">
        <v>4</v>
      </c>
      <c r="JM41" s="563">
        <v>0</v>
      </c>
      <c r="JN41" s="563">
        <v>0</v>
      </c>
      <c r="JO41" s="563">
        <v>0</v>
      </c>
      <c r="JP41" s="650">
        <v>6804.0953607434521</v>
      </c>
      <c r="JQ41" s="563">
        <v>0</v>
      </c>
      <c r="JR41" s="563">
        <v>0</v>
      </c>
      <c r="JS41" s="563">
        <v>0</v>
      </c>
      <c r="JT41" s="650">
        <v>6511.6047353051308</v>
      </c>
      <c r="JU41" s="564">
        <v>4000</v>
      </c>
      <c r="JV41" s="565">
        <v>234.57225146803788</v>
      </c>
      <c r="JW41" s="649">
        <v>15.944606</v>
      </c>
      <c r="JX41" s="646">
        <v>145.35976330808353</v>
      </c>
      <c r="JY41" s="646">
        <v>0</v>
      </c>
      <c r="JZ41" s="646">
        <v>0</v>
      </c>
      <c r="KA41" s="646">
        <v>46.69522644206404</v>
      </c>
      <c r="KB41" s="646">
        <v>19.400973479545762</v>
      </c>
      <c r="KC41" s="646">
        <v>3600</v>
      </c>
      <c r="KD41" s="563" t="s">
        <v>67</v>
      </c>
      <c r="KE41" s="563">
        <v>4</v>
      </c>
      <c r="KF41" s="563">
        <v>0</v>
      </c>
      <c r="KG41" s="563">
        <v>0</v>
      </c>
      <c r="KH41" s="563">
        <v>0</v>
      </c>
      <c r="KI41" s="650">
        <v>6804.0953607434521</v>
      </c>
      <c r="KJ41" s="563">
        <v>0</v>
      </c>
      <c r="KK41" s="563">
        <v>0</v>
      </c>
      <c r="KL41" s="563">
        <v>0</v>
      </c>
      <c r="KM41" s="650">
        <v>6511.6047353051308</v>
      </c>
      <c r="KN41" s="564">
        <v>4000</v>
      </c>
      <c r="KO41" s="566">
        <v>234.57225146803788</v>
      </c>
    </row>
    <row r="42" spans="1:301" ht="15" customHeight="1">
      <c r="A42" s="663" t="s">
        <v>819</v>
      </c>
      <c r="B42" s="629" t="s">
        <v>385</v>
      </c>
      <c r="C42" s="629">
        <v>402.5</v>
      </c>
      <c r="D42" s="629">
        <v>1120</v>
      </c>
      <c r="E42" s="629">
        <v>400</v>
      </c>
      <c r="F42" s="629">
        <v>400</v>
      </c>
      <c r="G42" s="629">
        <v>233</v>
      </c>
      <c r="H42" s="629">
        <v>154</v>
      </c>
      <c r="I42" s="629">
        <v>105</v>
      </c>
      <c r="J42" s="629">
        <v>39</v>
      </c>
      <c r="K42" s="629">
        <v>50.2</v>
      </c>
      <c r="L42" s="629">
        <v>12</v>
      </c>
      <c r="M42" s="629">
        <v>478</v>
      </c>
      <c r="N42" s="629">
        <v>6</v>
      </c>
      <c r="O42" s="623">
        <v>40.484322226044085</v>
      </c>
      <c r="P42" s="629">
        <v>6</v>
      </c>
      <c r="Q42" s="623">
        <v>26.797325548379447</v>
      </c>
      <c r="R42" s="629">
        <v>18.000000000000004</v>
      </c>
      <c r="S42" s="629">
        <v>728.00844321329055</v>
      </c>
      <c r="T42" s="645">
        <v>58.817271711083443</v>
      </c>
      <c r="U42" s="645">
        <v>109.20126648199358</v>
      </c>
      <c r="V42" s="645">
        <v>97.5</v>
      </c>
      <c r="W42" s="793">
        <v>5.3762662423412211</v>
      </c>
      <c r="X42" s="646">
        <v>0</v>
      </c>
      <c r="Y42" s="646">
        <v>0</v>
      </c>
      <c r="Z42" s="646">
        <v>0</v>
      </c>
      <c r="AA42" s="646">
        <v>0</v>
      </c>
      <c r="AB42" s="647">
        <v>34.723772791095328</v>
      </c>
      <c r="AC42" s="784">
        <v>4000</v>
      </c>
      <c r="AD42" s="631">
        <v>0.35754933801154493</v>
      </c>
      <c r="AE42" s="631">
        <v>0.80978403319500702</v>
      </c>
      <c r="AF42" s="631">
        <v>-0.22626145137707462</v>
      </c>
      <c r="AG42" s="631">
        <v>1.0909691032217592</v>
      </c>
      <c r="AH42" s="629"/>
      <c r="AI42" s="648">
        <v>5.171959002245222</v>
      </c>
      <c r="AJ42" s="649">
        <v>34.986445200000006</v>
      </c>
      <c r="AK42" s="646">
        <v>166.4616309278482</v>
      </c>
      <c r="AL42" s="646">
        <v>0</v>
      </c>
      <c r="AM42" s="646">
        <v>0</v>
      </c>
      <c r="AN42" s="646">
        <v>58.874722360600515</v>
      </c>
      <c r="AO42" s="646">
        <v>23.225753672318202</v>
      </c>
      <c r="AP42" s="801">
        <v>3450</v>
      </c>
      <c r="AQ42" s="563" t="s">
        <v>71</v>
      </c>
      <c r="AR42" s="563">
        <v>6</v>
      </c>
      <c r="AS42" s="563">
        <v>0</v>
      </c>
      <c r="AT42" s="563">
        <v>0</v>
      </c>
      <c r="AU42" s="563">
        <v>0</v>
      </c>
      <c r="AV42" s="650">
        <v>3953.511148831918</v>
      </c>
      <c r="AW42" s="563">
        <v>0</v>
      </c>
      <c r="AX42" s="563">
        <v>0</v>
      </c>
      <c r="AY42" s="563">
        <v>0</v>
      </c>
      <c r="AZ42" s="650">
        <v>3976.4119914121288</v>
      </c>
      <c r="BA42" s="564">
        <v>3953.511148831918</v>
      </c>
      <c r="BB42" s="565">
        <v>231.84600284637301</v>
      </c>
      <c r="BC42" s="649">
        <v>34.986445200000006</v>
      </c>
      <c r="BD42" s="646">
        <v>166.4616309278482</v>
      </c>
      <c r="BE42" s="646">
        <v>0</v>
      </c>
      <c r="BF42" s="646">
        <v>0</v>
      </c>
      <c r="BG42" s="646">
        <v>58.874722360600515</v>
      </c>
      <c r="BH42" s="646">
        <v>23.225753672318202</v>
      </c>
      <c r="BI42" s="646">
        <v>3600</v>
      </c>
      <c r="BJ42" s="563" t="s">
        <v>71</v>
      </c>
      <c r="BK42" s="563">
        <v>6</v>
      </c>
      <c r="BL42" s="563">
        <v>0</v>
      </c>
      <c r="BM42" s="563">
        <v>0</v>
      </c>
      <c r="BN42" s="563">
        <v>0</v>
      </c>
      <c r="BO42" s="650">
        <v>3953.511148831918</v>
      </c>
      <c r="BP42" s="563">
        <v>0</v>
      </c>
      <c r="BQ42" s="563">
        <v>0</v>
      </c>
      <c r="BR42" s="563">
        <v>0</v>
      </c>
      <c r="BS42" s="650">
        <v>3976.4119914121288</v>
      </c>
      <c r="BT42" s="564">
        <v>3953.511148831918</v>
      </c>
      <c r="BU42" s="565">
        <v>231.84600284637301</v>
      </c>
      <c r="BV42" s="649">
        <v>34.986445200000006</v>
      </c>
      <c r="BW42" s="646">
        <v>166.4616309278482</v>
      </c>
      <c r="BX42" s="646">
        <v>0</v>
      </c>
      <c r="BY42" s="646">
        <v>0</v>
      </c>
      <c r="BZ42" s="646">
        <v>58.874722360600515</v>
      </c>
      <c r="CA42" s="646">
        <v>23.225753672318202</v>
      </c>
      <c r="CB42" s="646">
        <v>3450</v>
      </c>
      <c r="CC42" s="563" t="s">
        <v>1584</v>
      </c>
      <c r="CD42" s="563">
        <v>6</v>
      </c>
      <c r="CE42" s="563">
        <v>0</v>
      </c>
      <c r="CF42" s="563">
        <v>0</v>
      </c>
      <c r="CG42" s="563">
        <v>0</v>
      </c>
      <c r="CH42" s="650">
        <v>3873.6340028170889</v>
      </c>
      <c r="CI42" s="563">
        <v>0</v>
      </c>
      <c r="CJ42" s="563">
        <v>0</v>
      </c>
      <c r="CK42" s="563">
        <v>0</v>
      </c>
      <c r="CL42" s="650">
        <v>3896.0721544176167</v>
      </c>
      <c r="CM42" s="564">
        <v>3873.6340028170889</v>
      </c>
      <c r="CN42" s="565">
        <v>227.16176235098811</v>
      </c>
      <c r="CO42" s="649">
        <v>34.986445200000006</v>
      </c>
      <c r="CP42" s="646">
        <v>166.4616309278482</v>
      </c>
      <c r="CQ42" s="646">
        <v>0</v>
      </c>
      <c r="CR42" s="646">
        <v>0</v>
      </c>
      <c r="CS42" s="646">
        <v>58.874722360600515</v>
      </c>
      <c r="CT42" s="646">
        <v>23.225753672318202</v>
      </c>
      <c r="CU42" s="646">
        <v>3600</v>
      </c>
      <c r="CV42" s="563" t="s">
        <v>1584</v>
      </c>
      <c r="CW42" s="563">
        <v>6</v>
      </c>
      <c r="CX42" s="563">
        <v>0</v>
      </c>
      <c r="CY42" s="563">
        <v>0</v>
      </c>
      <c r="CZ42" s="563">
        <v>0</v>
      </c>
      <c r="DA42" s="650">
        <v>3873.6340028170889</v>
      </c>
      <c r="DB42" s="563">
        <v>0</v>
      </c>
      <c r="DC42" s="563">
        <v>0</v>
      </c>
      <c r="DD42" s="563">
        <v>0</v>
      </c>
      <c r="DE42" s="650">
        <v>3896.0721544176167</v>
      </c>
      <c r="DF42" s="564">
        <v>3873.6340028170889</v>
      </c>
      <c r="DG42" s="565">
        <v>227.16176235098811</v>
      </c>
      <c r="DH42" s="649">
        <v>34.986445200000006</v>
      </c>
      <c r="DI42" s="646">
        <v>166.4616309278482</v>
      </c>
      <c r="DJ42" s="646">
        <v>0</v>
      </c>
      <c r="DK42" s="646">
        <v>0</v>
      </c>
      <c r="DL42" s="646">
        <v>58.874722360600515</v>
      </c>
      <c r="DM42" s="646">
        <v>23.225753672318202</v>
      </c>
      <c r="DN42" s="646">
        <v>3450</v>
      </c>
      <c r="DO42" s="563" t="s">
        <v>1588</v>
      </c>
      <c r="DP42" s="563">
        <v>6</v>
      </c>
      <c r="DQ42" s="563">
        <v>0</v>
      </c>
      <c r="DR42" s="563">
        <v>0</v>
      </c>
      <c r="DS42" s="563">
        <v>0</v>
      </c>
      <c r="DT42" s="650">
        <v>4031.8060990201147</v>
      </c>
      <c r="DU42" s="563">
        <v>0</v>
      </c>
      <c r="DV42" s="563">
        <v>0</v>
      </c>
      <c r="DW42" s="563">
        <v>0</v>
      </c>
      <c r="DX42" s="650">
        <v>4055.1604676589595</v>
      </c>
      <c r="DY42" s="564">
        <v>4000</v>
      </c>
      <c r="DZ42" s="565">
        <v>234.57225146803788</v>
      </c>
      <c r="EA42" s="649">
        <v>34.986445200000006</v>
      </c>
      <c r="EB42" s="646">
        <v>166.4616309278482</v>
      </c>
      <c r="EC42" s="646">
        <v>0</v>
      </c>
      <c r="ED42" s="646">
        <v>0</v>
      </c>
      <c r="EE42" s="646">
        <v>58.874722360600515</v>
      </c>
      <c r="EF42" s="646">
        <v>23.225753672318202</v>
      </c>
      <c r="EG42" s="646">
        <v>3600</v>
      </c>
      <c r="EH42" s="563" t="s">
        <v>1588</v>
      </c>
      <c r="EI42" s="563">
        <v>6</v>
      </c>
      <c r="EJ42" s="563">
        <v>0</v>
      </c>
      <c r="EK42" s="563">
        <v>0</v>
      </c>
      <c r="EL42" s="563">
        <v>0</v>
      </c>
      <c r="EM42" s="650">
        <v>4031.8060990201147</v>
      </c>
      <c r="EN42" s="563">
        <v>0</v>
      </c>
      <c r="EO42" s="563">
        <v>0</v>
      </c>
      <c r="EP42" s="563">
        <v>0</v>
      </c>
      <c r="EQ42" s="650">
        <v>4055.1604676589595</v>
      </c>
      <c r="ER42" s="564">
        <v>4000</v>
      </c>
      <c r="ES42" s="565">
        <v>234.57225146803788</v>
      </c>
      <c r="ET42" s="649">
        <v>34.986445200000006</v>
      </c>
      <c r="EU42" s="646">
        <v>166.4616309278482</v>
      </c>
      <c r="EV42" s="646">
        <v>0</v>
      </c>
      <c r="EW42" s="646">
        <v>0</v>
      </c>
      <c r="EX42" s="646">
        <v>58.874722360600515</v>
      </c>
      <c r="EY42" s="646">
        <v>23.225753672318202</v>
      </c>
      <c r="EZ42" s="646">
        <v>3450</v>
      </c>
      <c r="FA42" s="563" t="s">
        <v>1589</v>
      </c>
      <c r="FB42" s="563">
        <v>6</v>
      </c>
      <c r="FC42" s="563">
        <v>0</v>
      </c>
      <c r="FD42" s="563">
        <v>0</v>
      </c>
      <c r="FE42" s="563">
        <v>0</v>
      </c>
      <c r="FF42" s="650">
        <v>4294.6123779273903</v>
      </c>
      <c r="FG42" s="563">
        <v>0</v>
      </c>
      <c r="FH42" s="563">
        <v>0</v>
      </c>
      <c r="FI42" s="563">
        <v>0</v>
      </c>
      <c r="FJ42" s="650">
        <v>4319.4890605286282</v>
      </c>
      <c r="FK42" s="564">
        <v>4000</v>
      </c>
      <c r="FL42" s="565">
        <v>234.57225146803788</v>
      </c>
      <c r="FM42" s="649">
        <v>34.986445200000006</v>
      </c>
      <c r="FN42" s="646">
        <v>166.4616309278482</v>
      </c>
      <c r="FO42" s="646">
        <v>0</v>
      </c>
      <c r="FP42" s="646">
        <v>0</v>
      </c>
      <c r="FQ42" s="646">
        <v>58.874722360600515</v>
      </c>
      <c r="FR42" s="646">
        <v>23.225753672318202</v>
      </c>
      <c r="FS42" s="646">
        <v>3600</v>
      </c>
      <c r="FT42" s="563" t="s">
        <v>1589</v>
      </c>
      <c r="FU42" s="563">
        <v>6</v>
      </c>
      <c r="FV42" s="563">
        <v>0</v>
      </c>
      <c r="FW42" s="563">
        <v>0</v>
      </c>
      <c r="FX42" s="563">
        <v>0</v>
      </c>
      <c r="FY42" s="650">
        <v>4294.6123779273903</v>
      </c>
      <c r="FZ42" s="563">
        <v>0</v>
      </c>
      <c r="GA42" s="563">
        <v>0</v>
      </c>
      <c r="GB42" s="563">
        <v>0</v>
      </c>
      <c r="GC42" s="650">
        <v>4319.4890605286282</v>
      </c>
      <c r="GD42" s="564">
        <v>4000</v>
      </c>
      <c r="GE42" s="565">
        <v>234.57225146803788</v>
      </c>
      <c r="GF42" s="649">
        <v>29.155371000000002</v>
      </c>
      <c r="GG42" s="646">
        <v>160.63055672784819</v>
      </c>
      <c r="GH42" s="646">
        <v>0</v>
      </c>
      <c r="GI42" s="646">
        <v>0</v>
      </c>
      <c r="GJ42" s="646">
        <v>58.216753908246794</v>
      </c>
      <c r="GK42" s="646">
        <v>22.193357429681484</v>
      </c>
      <c r="GL42" s="646">
        <v>3450</v>
      </c>
      <c r="GM42" s="563" t="s">
        <v>1587</v>
      </c>
      <c r="GN42" s="563">
        <v>5</v>
      </c>
      <c r="GO42" s="563">
        <v>0</v>
      </c>
      <c r="GP42" s="563">
        <v>0</v>
      </c>
      <c r="GQ42" s="563">
        <v>0</v>
      </c>
      <c r="GR42" s="650">
        <v>4570.4128707568079</v>
      </c>
      <c r="GS42" s="563">
        <v>0</v>
      </c>
      <c r="GT42" s="563">
        <v>0</v>
      </c>
      <c r="GU42" s="563">
        <v>0</v>
      </c>
      <c r="GV42" s="650">
        <v>4441.5990946433776</v>
      </c>
      <c r="GW42" s="564">
        <v>4000</v>
      </c>
      <c r="GX42" s="565">
        <v>234.57225146803788</v>
      </c>
      <c r="GY42" s="649">
        <v>29.155371000000002</v>
      </c>
      <c r="GZ42" s="646">
        <v>160.63055672784819</v>
      </c>
      <c r="HA42" s="646">
        <v>0</v>
      </c>
      <c r="HB42" s="646">
        <v>0</v>
      </c>
      <c r="HC42" s="646">
        <v>58.216753908246794</v>
      </c>
      <c r="HD42" s="646">
        <v>22.193357429681484</v>
      </c>
      <c r="HE42" s="646">
        <v>3600</v>
      </c>
      <c r="HF42" s="563" t="s">
        <v>1587</v>
      </c>
      <c r="HG42" s="563">
        <v>5</v>
      </c>
      <c r="HH42" s="563">
        <v>0</v>
      </c>
      <c r="HI42" s="563">
        <v>0</v>
      </c>
      <c r="HJ42" s="563">
        <v>0</v>
      </c>
      <c r="HK42" s="650">
        <v>4570.4128707568079</v>
      </c>
      <c r="HL42" s="563">
        <v>0</v>
      </c>
      <c r="HM42" s="563">
        <v>0</v>
      </c>
      <c r="HN42" s="563">
        <v>0</v>
      </c>
      <c r="HO42" s="650">
        <v>4441.5990946433776</v>
      </c>
      <c r="HP42" s="564">
        <v>4000</v>
      </c>
      <c r="HQ42" s="565">
        <v>234.57225146803788</v>
      </c>
      <c r="HR42" s="649">
        <v>29.155371000000002</v>
      </c>
      <c r="HS42" s="646">
        <v>160.63055672784819</v>
      </c>
      <c r="HT42" s="646">
        <v>0</v>
      </c>
      <c r="HU42" s="646">
        <v>0</v>
      </c>
      <c r="HV42" s="646">
        <v>58.216753908246794</v>
      </c>
      <c r="HW42" s="646">
        <v>22.193357429681484</v>
      </c>
      <c r="HX42" s="646">
        <v>3450</v>
      </c>
      <c r="HY42" s="563" t="s">
        <v>68</v>
      </c>
      <c r="HZ42" s="563">
        <v>5</v>
      </c>
      <c r="IA42" s="563">
        <v>0</v>
      </c>
      <c r="IB42" s="563">
        <v>0</v>
      </c>
      <c r="IC42" s="563">
        <v>0</v>
      </c>
      <c r="ID42" s="650">
        <v>4030.7252816371006</v>
      </c>
      <c r="IE42" s="563">
        <v>0</v>
      </c>
      <c r="IF42" s="563">
        <v>0</v>
      </c>
      <c r="IG42" s="563">
        <v>0</v>
      </c>
      <c r="IH42" s="650">
        <v>3917.1222092920038</v>
      </c>
      <c r="II42" s="564">
        <v>3917.1222092920038</v>
      </c>
      <c r="IJ42" s="565">
        <v>229.71204397727004</v>
      </c>
      <c r="IK42" s="649">
        <v>29.155371000000002</v>
      </c>
      <c r="IL42" s="646">
        <v>160.63055672784819</v>
      </c>
      <c r="IM42" s="646">
        <v>0</v>
      </c>
      <c r="IN42" s="646">
        <v>0</v>
      </c>
      <c r="IO42" s="646">
        <v>58.216753908246794</v>
      </c>
      <c r="IP42" s="646">
        <v>22.193357429681484</v>
      </c>
      <c r="IQ42" s="646">
        <v>3600</v>
      </c>
      <c r="IR42" s="563" t="s">
        <v>68</v>
      </c>
      <c r="IS42" s="563">
        <v>5</v>
      </c>
      <c r="IT42" s="563">
        <v>0</v>
      </c>
      <c r="IU42" s="563">
        <v>0</v>
      </c>
      <c r="IV42" s="563">
        <v>0</v>
      </c>
      <c r="IW42" s="650">
        <v>4030.7252816371006</v>
      </c>
      <c r="IX42" s="563">
        <v>0</v>
      </c>
      <c r="IY42" s="563">
        <v>0</v>
      </c>
      <c r="IZ42" s="563">
        <v>0</v>
      </c>
      <c r="JA42" s="650">
        <v>3917.1222092920038</v>
      </c>
      <c r="JB42" s="564">
        <v>3917.1222092920038</v>
      </c>
      <c r="JC42" s="565">
        <v>229.71204397727004</v>
      </c>
      <c r="JD42" s="649">
        <v>23.324296800000003</v>
      </c>
      <c r="JE42" s="646">
        <v>154.7994825278482</v>
      </c>
      <c r="JF42" s="646">
        <v>0</v>
      </c>
      <c r="JG42" s="646">
        <v>0</v>
      </c>
      <c r="JH42" s="646">
        <v>57.509216002503663</v>
      </c>
      <c r="JI42" s="646">
        <v>21.160961187044766</v>
      </c>
      <c r="JJ42" s="646">
        <v>3450</v>
      </c>
      <c r="JK42" s="563" t="s">
        <v>67</v>
      </c>
      <c r="JL42" s="563">
        <v>4</v>
      </c>
      <c r="JM42" s="563">
        <v>0</v>
      </c>
      <c r="JN42" s="563">
        <v>0</v>
      </c>
      <c r="JO42" s="563">
        <v>0</v>
      </c>
      <c r="JP42" s="650">
        <v>4720.2280127114973</v>
      </c>
      <c r="JQ42" s="563">
        <v>0</v>
      </c>
      <c r="JR42" s="563">
        <v>0</v>
      </c>
      <c r="JS42" s="563">
        <v>0</v>
      </c>
      <c r="JT42" s="650">
        <v>4494.575332895638</v>
      </c>
      <c r="JU42" s="564">
        <v>4000</v>
      </c>
      <c r="JV42" s="565">
        <v>234.57225146803788</v>
      </c>
      <c r="JW42" s="649">
        <v>23.324296800000003</v>
      </c>
      <c r="JX42" s="646">
        <v>154.7994825278482</v>
      </c>
      <c r="JY42" s="646">
        <v>0</v>
      </c>
      <c r="JZ42" s="646">
        <v>0</v>
      </c>
      <c r="KA42" s="646">
        <v>57.509216002503663</v>
      </c>
      <c r="KB42" s="646">
        <v>21.160961187044766</v>
      </c>
      <c r="KC42" s="646">
        <v>3600</v>
      </c>
      <c r="KD42" s="563" t="s">
        <v>67</v>
      </c>
      <c r="KE42" s="563">
        <v>4</v>
      </c>
      <c r="KF42" s="563">
        <v>0</v>
      </c>
      <c r="KG42" s="563">
        <v>0</v>
      </c>
      <c r="KH42" s="563">
        <v>0</v>
      </c>
      <c r="KI42" s="650">
        <v>4720.2280127114973</v>
      </c>
      <c r="KJ42" s="563">
        <v>0</v>
      </c>
      <c r="KK42" s="563">
        <v>0</v>
      </c>
      <c r="KL42" s="563">
        <v>0</v>
      </c>
      <c r="KM42" s="650">
        <v>4494.575332895638</v>
      </c>
      <c r="KN42" s="564">
        <v>4000</v>
      </c>
      <c r="KO42" s="566">
        <v>234.57225146803788</v>
      </c>
    </row>
    <row r="43" spans="1:301" ht="15" customHeight="1">
      <c r="A43" s="663" t="s">
        <v>820</v>
      </c>
      <c r="B43" s="629" t="s">
        <v>386</v>
      </c>
      <c r="C43" s="629">
        <v>436.5</v>
      </c>
      <c r="D43" s="629">
        <v>1120</v>
      </c>
      <c r="E43" s="629">
        <v>450</v>
      </c>
      <c r="F43" s="629">
        <v>400</v>
      </c>
      <c r="G43" s="629">
        <v>253</v>
      </c>
      <c r="H43" s="629">
        <v>170</v>
      </c>
      <c r="I43" s="629">
        <v>112</v>
      </c>
      <c r="J43" s="629">
        <v>35.74</v>
      </c>
      <c r="K43" s="629">
        <v>49.12</v>
      </c>
      <c r="L43" s="629">
        <v>12</v>
      </c>
      <c r="M43" s="629">
        <v>468</v>
      </c>
      <c r="N43" s="629">
        <v>6</v>
      </c>
      <c r="O43" s="623">
        <v>38.912151452463242</v>
      </c>
      <c r="P43" s="629">
        <v>6</v>
      </c>
      <c r="Q43" s="623">
        <v>26.392352428525726</v>
      </c>
      <c r="R43" s="629">
        <v>18.000000000000004</v>
      </c>
      <c r="S43" s="629">
        <v>735.48882035744384</v>
      </c>
      <c r="T43" s="645">
        <v>60.0321910706446</v>
      </c>
      <c r="U43" s="645">
        <v>110.32332305361658</v>
      </c>
      <c r="V43" s="645">
        <v>97.5</v>
      </c>
      <c r="W43" s="793">
        <v>5.487317465051107</v>
      </c>
      <c r="X43" s="646">
        <v>0</v>
      </c>
      <c r="Y43" s="646">
        <v>0</v>
      </c>
      <c r="Z43" s="646">
        <v>0</v>
      </c>
      <c r="AA43" s="646">
        <v>0</v>
      </c>
      <c r="AB43" s="647">
        <v>43.363771051682804</v>
      </c>
      <c r="AC43" s="784">
        <v>4000</v>
      </c>
      <c r="AD43" s="631">
        <v>0.41512348312010233</v>
      </c>
      <c r="AE43" s="631">
        <v>0.71963203697494749</v>
      </c>
      <c r="AF43" s="631">
        <v>-0.31068784706807473</v>
      </c>
      <c r="AG43" s="631">
        <v>1.0937841624774096</v>
      </c>
      <c r="AH43" s="629"/>
      <c r="AI43" s="648">
        <v>5.2252384662270703</v>
      </c>
      <c r="AJ43" s="649">
        <v>49.7285568</v>
      </c>
      <c r="AK43" s="646">
        <v>180.55256921668467</v>
      </c>
      <c r="AL43" s="646">
        <v>0</v>
      </c>
      <c r="AM43" s="646">
        <v>0</v>
      </c>
      <c r="AN43" s="646">
        <v>64.961504724893771</v>
      </c>
      <c r="AO43" s="646">
        <v>26.050362149796868</v>
      </c>
      <c r="AP43" s="801">
        <v>3600</v>
      </c>
      <c r="AQ43" s="563" t="s">
        <v>71</v>
      </c>
      <c r="AR43" s="563">
        <v>8</v>
      </c>
      <c r="AS43" s="563">
        <v>0</v>
      </c>
      <c r="AT43" s="563">
        <v>0</v>
      </c>
      <c r="AU43" s="563">
        <v>0</v>
      </c>
      <c r="AV43" s="650">
        <v>4978.8032803758506</v>
      </c>
      <c r="AW43" s="563">
        <v>0</v>
      </c>
      <c r="AX43" s="563">
        <v>0</v>
      </c>
      <c r="AY43" s="563">
        <v>0</v>
      </c>
      <c r="AZ43" s="650">
        <v>6367.0753824416788</v>
      </c>
      <c r="BA43" s="564">
        <v>4000</v>
      </c>
      <c r="BB43" s="565">
        <v>234.57225146803788</v>
      </c>
      <c r="BC43" s="649">
        <v>49.7285568</v>
      </c>
      <c r="BD43" s="646">
        <v>180.55256921668467</v>
      </c>
      <c r="BE43" s="646">
        <v>0</v>
      </c>
      <c r="BF43" s="646">
        <v>0</v>
      </c>
      <c r="BG43" s="646">
        <v>64.961504724893771</v>
      </c>
      <c r="BH43" s="646">
        <v>26.050362149796868</v>
      </c>
      <c r="BI43" s="646">
        <v>3600</v>
      </c>
      <c r="BJ43" s="563" t="s">
        <v>71</v>
      </c>
      <c r="BK43" s="563">
        <v>8</v>
      </c>
      <c r="BL43" s="563">
        <v>0</v>
      </c>
      <c r="BM43" s="563">
        <v>0</v>
      </c>
      <c r="BN43" s="563">
        <v>0</v>
      </c>
      <c r="BO43" s="650">
        <v>4978.8032803758506</v>
      </c>
      <c r="BP43" s="563">
        <v>0</v>
      </c>
      <c r="BQ43" s="563">
        <v>0</v>
      </c>
      <c r="BR43" s="563">
        <v>0</v>
      </c>
      <c r="BS43" s="650">
        <v>6367.0753824416788</v>
      </c>
      <c r="BT43" s="564">
        <v>4000</v>
      </c>
      <c r="BU43" s="565">
        <v>234.57225146803788</v>
      </c>
      <c r="BV43" s="649">
        <v>49.7285568</v>
      </c>
      <c r="BW43" s="646">
        <v>180.55256921668467</v>
      </c>
      <c r="BX43" s="646">
        <v>0</v>
      </c>
      <c r="BY43" s="646">
        <v>0</v>
      </c>
      <c r="BZ43" s="646">
        <v>64.961504724893771</v>
      </c>
      <c r="CA43" s="646">
        <v>26.050362149796868</v>
      </c>
      <c r="CB43" s="646">
        <v>3600</v>
      </c>
      <c r="CC43" s="563" t="s">
        <v>1584</v>
      </c>
      <c r="CD43" s="563">
        <v>8</v>
      </c>
      <c r="CE43" s="563">
        <v>0</v>
      </c>
      <c r="CF43" s="563">
        <v>0</v>
      </c>
      <c r="CG43" s="563">
        <v>0</v>
      </c>
      <c r="CH43" s="650">
        <v>4878.2110266463533</v>
      </c>
      <c r="CI43" s="563">
        <v>0</v>
      </c>
      <c r="CJ43" s="563">
        <v>0</v>
      </c>
      <c r="CK43" s="563">
        <v>0</v>
      </c>
      <c r="CL43" s="650">
        <v>6238.4343363272719</v>
      </c>
      <c r="CM43" s="564">
        <v>4000</v>
      </c>
      <c r="CN43" s="565">
        <v>234.57225146803788</v>
      </c>
      <c r="CO43" s="649">
        <v>49.7285568</v>
      </c>
      <c r="CP43" s="646">
        <v>180.55256921668467</v>
      </c>
      <c r="CQ43" s="646">
        <v>0</v>
      </c>
      <c r="CR43" s="646">
        <v>0</v>
      </c>
      <c r="CS43" s="646">
        <v>64.961504724893771</v>
      </c>
      <c r="CT43" s="646">
        <v>26.050362149796868</v>
      </c>
      <c r="CU43" s="646">
        <v>3600</v>
      </c>
      <c r="CV43" s="563" t="s">
        <v>1584</v>
      </c>
      <c r="CW43" s="563">
        <v>8</v>
      </c>
      <c r="CX43" s="563">
        <v>0</v>
      </c>
      <c r="CY43" s="563">
        <v>0</v>
      </c>
      <c r="CZ43" s="563">
        <v>0</v>
      </c>
      <c r="DA43" s="650">
        <v>4878.2110266463533</v>
      </c>
      <c r="DB43" s="563">
        <v>0</v>
      </c>
      <c r="DC43" s="563">
        <v>0</v>
      </c>
      <c r="DD43" s="563">
        <v>0</v>
      </c>
      <c r="DE43" s="650">
        <v>6238.4343363272719</v>
      </c>
      <c r="DF43" s="564">
        <v>4000</v>
      </c>
      <c r="DG43" s="565">
        <v>234.57225146803788</v>
      </c>
      <c r="DH43" s="649">
        <v>49.7285568</v>
      </c>
      <c r="DI43" s="646">
        <v>180.55256921668467</v>
      </c>
      <c r="DJ43" s="646">
        <v>0</v>
      </c>
      <c r="DK43" s="646">
        <v>0</v>
      </c>
      <c r="DL43" s="646">
        <v>64.961504724893771</v>
      </c>
      <c r="DM43" s="646">
        <v>26.050362149796868</v>
      </c>
      <c r="DN43" s="646">
        <v>3600</v>
      </c>
      <c r="DO43" s="563" t="s">
        <v>1588</v>
      </c>
      <c r="DP43" s="563">
        <v>8</v>
      </c>
      <c r="DQ43" s="563">
        <v>0</v>
      </c>
      <c r="DR43" s="563">
        <v>0</v>
      </c>
      <c r="DS43" s="563">
        <v>0</v>
      </c>
      <c r="DT43" s="650">
        <v>5077.4030161952442</v>
      </c>
      <c r="DU43" s="563">
        <v>0</v>
      </c>
      <c r="DV43" s="563">
        <v>0</v>
      </c>
      <c r="DW43" s="563">
        <v>0</v>
      </c>
      <c r="DX43" s="650">
        <v>6493.1683239172744</v>
      </c>
      <c r="DY43" s="564">
        <v>4000</v>
      </c>
      <c r="DZ43" s="565">
        <v>234.57225146803788</v>
      </c>
      <c r="EA43" s="649">
        <v>49.7285568</v>
      </c>
      <c r="EB43" s="646">
        <v>180.55256921668467</v>
      </c>
      <c r="EC43" s="646">
        <v>0</v>
      </c>
      <c r="ED43" s="646">
        <v>0</v>
      </c>
      <c r="EE43" s="646">
        <v>64.961504724893771</v>
      </c>
      <c r="EF43" s="646">
        <v>26.050362149796868</v>
      </c>
      <c r="EG43" s="646">
        <v>3600</v>
      </c>
      <c r="EH43" s="563" t="s">
        <v>1588</v>
      </c>
      <c r="EI43" s="563">
        <v>8</v>
      </c>
      <c r="EJ43" s="563">
        <v>0</v>
      </c>
      <c r="EK43" s="563">
        <v>0</v>
      </c>
      <c r="EL43" s="563">
        <v>0</v>
      </c>
      <c r="EM43" s="650">
        <v>5077.4030161952442</v>
      </c>
      <c r="EN43" s="563">
        <v>0</v>
      </c>
      <c r="EO43" s="563">
        <v>0</v>
      </c>
      <c r="EP43" s="563">
        <v>0</v>
      </c>
      <c r="EQ43" s="650">
        <v>6493.1683239172744</v>
      </c>
      <c r="ER43" s="564">
        <v>4000</v>
      </c>
      <c r="ES43" s="565">
        <v>234.57225146803788</v>
      </c>
      <c r="ET43" s="649">
        <v>49.7285568</v>
      </c>
      <c r="EU43" s="646">
        <v>180.55256921668467</v>
      </c>
      <c r="EV43" s="646">
        <v>0</v>
      </c>
      <c r="EW43" s="646">
        <v>0</v>
      </c>
      <c r="EX43" s="646">
        <v>64.961504724893771</v>
      </c>
      <c r="EY43" s="646">
        <v>26.050362149796868</v>
      </c>
      <c r="EZ43" s="646">
        <v>3600</v>
      </c>
      <c r="FA43" s="563" t="s">
        <v>1589</v>
      </c>
      <c r="FB43" s="563">
        <v>8</v>
      </c>
      <c r="FC43" s="563">
        <v>0</v>
      </c>
      <c r="FD43" s="563">
        <v>0</v>
      </c>
      <c r="FE43" s="563">
        <v>0</v>
      </c>
      <c r="FF43" s="650">
        <v>5408.3647143590415</v>
      </c>
      <c r="FG43" s="563">
        <v>0</v>
      </c>
      <c r="FH43" s="563">
        <v>0</v>
      </c>
      <c r="FI43" s="563">
        <v>0</v>
      </c>
      <c r="FJ43" s="650">
        <v>6916.4142250388641</v>
      </c>
      <c r="FK43" s="564">
        <v>4000</v>
      </c>
      <c r="FL43" s="565">
        <v>234.57225146803788</v>
      </c>
      <c r="FM43" s="649">
        <v>49.7285568</v>
      </c>
      <c r="FN43" s="646">
        <v>180.55256921668467</v>
      </c>
      <c r="FO43" s="646">
        <v>0</v>
      </c>
      <c r="FP43" s="646">
        <v>0</v>
      </c>
      <c r="FQ43" s="646">
        <v>64.961504724893771</v>
      </c>
      <c r="FR43" s="646">
        <v>26.050362149796868</v>
      </c>
      <c r="FS43" s="646">
        <v>3600</v>
      </c>
      <c r="FT43" s="563" t="s">
        <v>1589</v>
      </c>
      <c r="FU43" s="563">
        <v>8</v>
      </c>
      <c r="FV43" s="563">
        <v>0</v>
      </c>
      <c r="FW43" s="563">
        <v>0</v>
      </c>
      <c r="FX43" s="563">
        <v>0</v>
      </c>
      <c r="FY43" s="650">
        <v>5408.3647143590415</v>
      </c>
      <c r="FZ43" s="563">
        <v>0</v>
      </c>
      <c r="GA43" s="563">
        <v>0</v>
      </c>
      <c r="GB43" s="563">
        <v>0</v>
      </c>
      <c r="GC43" s="650">
        <v>6916.4142250388641</v>
      </c>
      <c r="GD43" s="564">
        <v>4000</v>
      </c>
      <c r="GE43" s="565">
        <v>234.57225146803788</v>
      </c>
      <c r="GF43" s="649">
        <v>31.080348000000001</v>
      </c>
      <c r="GG43" s="646">
        <v>161.90436041668465</v>
      </c>
      <c r="GH43" s="646">
        <v>0</v>
      </c>
      <c r="GI43" s="646">
        <v>0</v>
      </c>
      <c r="GJ43" s="646">
        <v>62.653462847786408</v>
      </c>
      <c r="GK43" s="646">
        <v>22.682187362315148</v>
      </c>
      <c r="GL43" s="646">
        <v>3600</v>
      </c>
      <c r="GM43" s="563" t="s">
        <v>1587</v>
      </c>
      <c r="GN43" s="563">
        <v>5</v>
      </c>
      <c r="GO43" s="563">
        <v>0</v>
      </c>
      <c r="GP43" s="563">
        <v>0</v>
      </c>
      <c r="GQ43" s="563">
        <v>0</v>
      </c>
      <c r="GR43" s="650">
        <v>4019.4148697890296</v>
      </c>
      <c r="GS43" s="563">
        <v>0</v>
      </c>
      <c r="GT43" s="563">
        <v>0</v>
      </c>
      <c r="GU43" s="563">
        <v>0</v>
      </c>
      <c r="GV43" s="650">
        <v>4058.5567744501036</v>
      </c>
      <c r="GW43" s="564">
        <v>4000</v>
      </c>
      <c r="GX43" s="565">
        <v>234.57225146803788</v>
      </c>
      <c r="GY43" s="649">
        <v>31.080348000000001</v>
      </c>
      <c r="GZ43" s="646">
        <v>161.90436041668465</v>
      </c>
      <c r="HA43" s="646">
        <v>0</v>
      </c>
      <c r="HB43" s="646">
        <v>0</v>
      </c>
      <c r="HC43" s="646">
        <v>62.653462847786408</v>
      </c>
      <c r="HD43" s="646">
        <v>22.682187362315148</v>
      </c>
      <c r="HE43" s="646">
        <v>3600</v>
      </c>
      <c r="HF43" s="563" t="s">
        <v>1587</v>
      </c>
      <c r="HG43" s="563">
        <v>5</v>
      </c>
      <c r="HH43" s="563">
        <v>0</v>
      </c>
      <c r="HI43" s="563">
        <v>0</v>
      </c>
      <c r="HJ43" s="563">
        <v>0</v>
      </c>
      <c r="HK43" s="650">
        <v>4019.4148697890296</v>
      </c>
      <c r="HL43" s="563">
        <v>0</v>
      </c>
      <c r="HM43" s="563">
        <v>0</v>
      </c>
      <c r="HN43" s="563">
        <v>0</v>
      </c>
      <c r="HO43" s="650">
        <v>4058.5567744501036</v>
      </c>
      <c r="HP43" s="564">
        <v>4000</v>
      </c>
      <c r="HQ43" s="565">
        <v>234.57225146803788</v>
      </c>
      <c r="HR43" s="649">
        <v>37.296417599999998</v>
      </c>
      <c r="HS43" s="646">
        <v>168.12043001668468</v>
      </c>
      <c r="HT43" s="646">
        <v>0</v>
      </c>
      <c r="HU43" s="646">
        <v>0</v>
      </c>
      <c r="HV43" s="646">
        <v>63.479701694804326</v>
      </c>
      <c r="HW43" s="646">
        <v>23.80491229147572</v>
      </c>
      <c r="HX43" s="646">
        <v>3600</v>
      </c>
      <c r="HY43" s="563" t="s">
        <v>68</v>
      </c>
      <c r="HZ43" s="563">
        <v>6</v>
      </c>
      <c r="IA43" s="563">
        <v>0</v>
      </c>
      <c r="IB43" s="563">
        <v>0</v>
      </c>
      <c r="IC43" s="563">
        <v>0</v>
      </c>
      <c r="ID43" s="650">
        <v>4096.3799289342005</v>
      </c>
      <c r="IE43" s="563">
        <v>0</v>
      </c>
      <c r="IF43" s="563">
        <v>0</v>
      </c>
      <c r="IG43" s="563">
        <v>0</v>
      </c>
      <c r="IH43" s="650">
        <v>4262.1358030162264</v>
      </c>
      <c r="II43" s="564">
        <v>4000</v>
      </c>
      <c r="IJ43" s="565">
        <v>234.57225146803788</v>
      </c>
      <c r="IK43" s="649">
        <v>37.296417599999998</v>
      </c>
      <c r="IL43" s="646">
        <v>168.12043001668468</v>
      </c>
      <c r="IM43" s="646">
        <v>0</v>
      </c>
      <c r="IN43" s="646">
        <v>0</v>
      </c>
      <c r="IO43" s="646">
        <v>63.479701694804326</v>
      </c>
      <c r="IP43" s="646">
        <v>23.80491229147572</v>
      </c>
      <c r="IQ43" s="646">
        <v>3600</v>
      </c>
      <c r="IR43" s="563" t="s">
        <v>68</v>
      </c>
      <c r="IS43" s="563">
        <v>6</v>
      </c>
      <c r="IT43" s="563">
        <v>0</v>
      </c>
      <c r="IU43" s="563">
        <v>0</v>
      </c>
      <c r="IV43" s="563">
        <v>0</v>
      </c>
      <c r="IW43" s="650">
        <v>4096.3799289342005</v>
      </c>
      <c r="IX43" s="563">
        <v>0</v>
      </c>
      <c r="IY43" s="563">
        <v>0</v>
      </c>
      <c r="IZ43" s="563">
        <v>0</v>
      </c>
      <c r="JA43" s="650">
        <v>4262.1358030162264</v>
      </c>
      <c r="JB43" s="564">
        <v>4000</v>
      </c>
      <c r="JC43" s="565">
        <v>234.57225146803788</v>
      </c>
      <c r="JD43" s="649">
        <v>24.8642784</v>
      </c>
      <c r="JE43" s="646">
        <v>155.68829081668466</v>
      </c>
      <c r="JF43" s="646">
        <v>0</v>
      </c>
      <c r="JG43" s="646">
        <v>0</v>
      </c>
      <c r="JH43" s="646">
        <v>61.761246551181905</v>
      </c>
      <c r="JI43" s="646">
        <v>21.559462433154572</v>
      </c>
      <c r="JJ43" s="646">
        <v>3600</v>
      </c>
      <c r="JK43" s="563" t="s">
        <v>67</v>
      </c>
      <c r="JL43" s="563">
        <v>4</v>
      </c>
      <c r="JM43" s="563">
        <v>0</v>
      </c>
      <c r="JN43" s="563">
        <v>0</v>
      </c>
      <c r="JO43" s="563">
        <v>0</v>
      </c>
      <c r="JP43" s="650">
        <v>4162.3821181652256</v>
      </c>
      <c r="JQ43" s="563">
        <v>0</v>
      </c>
      <c r="JR43" s="563">
        <v>0</v>
      </c>
      <c r="JS43" s="563">
        <v>0</v>
      </c>
      <c r="JT43" s="650">
        <v>4127.2549916450016</v>
      </c>
      <c r="JU43" s="564">
        <v>4000</v>
      </c>
      <c r="JV43" s="565">
        <v>234.57225146803788</v>
      </c>
      <c r="JW43" s="649">
        <v>24.8642784</v>
      </c>
      <c r="JX43" s="646">
        <v>155.68829081668466</v>
      </c>
      <c r="JY43" s="646">
        <v>0</v>
      </c>
      <c r="JZ43" s="646">
        <v>0</v>
      </c>
      <c r="KA43" s="646">
        <v>61.761246551181905</v>
      </c>
      <c r="KB43" s="646">
        <v>21.559462433154572</v>
      </c>
      <c r="KC43" s="646">
        <v>3600</v>
      </c>
      <c r="KD43" s="563" t="s">
        <v>67</v>
      </c>
      <c r="KE43" s="563">
        <v>4</v>
      </c>
      <c r="KF43" s="563">
        <v>0</v>
      </c>
      <c r="KG43" s="563">
        <v>0</v>
      </c>
      <c r="KH43" s="563">
        <v>0</v>
      </c>
      <c r="KI43" s="650">
        <v>4162.3821181652256</v>
      </c>
      <c r="KJ43" s="563">
        <v>0</v>
      </c>
      <c r="KK43" s="563">
        <v>0</v>
      </c>
      <c r="KL43" s="563">
        <v>0</v>
      </c>
      <c r="KM43" s="650">
        <v>4127.2549916450016</v>
      </c>
      <c r="KN43" s="564">
        <v>4000</v>
      </c>
      <c r="KO43" s="566">
        <v>234.57225146803788</v>
      </c>
    </row>
    <row r="44" spans="1:301" ht="15" customHeight="1">
      <c r="A44" s="663" t="s">
        <v>821</v>
      </c>
      <c r="B44" s="629" t="s">
        <v>382</v>
      </c>
      <c r="C44" s="629">
        <v>488</v>
      </c>
      <c r="D44" s="629">
        <v>1120</v>
      </c>
      <c r="E44" s="629">
        <v>500</v>
      </c>
      <c r="F44" s="629">
        <v>450</v>
      </c>
      <c r="G44" s="629">
        <v>272</v>
      </c>
      <c r="H44" s="629">
        <v>183</v>
      </c>
      <c r="I44" s="629">
        <v>124</v>
      </c>
      <c r="J44" s="629">
        <v>33.25</v>
      </c>
      <c r="K44" s="629">
        <v>48.62</v>
      </c>
      <c r="L44" s="629">
        <v>12</v>
      </c>
      <c r="M44" s="629">
        <v>476</v>
      </c>
      <c r="N44" s="629">
        <v>6</v>
      </c>
      <c r="O44" s="623">
        <v>37.155019411402307</v>
      </c>
      <c r="P44" s="629">
        <v>6</v>
      </c>
      <c r="Q44" s="623">
        <v>24.65347724485774</v>
      </c>
      <c r="R44" s="629">
        <v>18.000000000000004</v>
      </c>
      <c r="S44" s="629">
        <v>766.77915527503899</v>
      </c>
      <c r="T44" s="645">
        <v>65.248816621648572</v>
      </c>
      <c r="U44" s="645">
        <v>115.01687329125585</v>
      </c>
      <c r="V44" s="645">
        <v>110</v>
      </c>
      <c r="W44" s="793">
        <v>6.7287842141075078</v>
      </c>
      <c r="X44" s="646">
        <v>0</v>
      </c>
      <c r="Y44" s="646">
        <v>0</v>
      </c>
      <c r="Z44" s="646">
        <v>0</v>
      </c>
      <c r="AA44" s="646">
        <v>0</v>
      </c>
      <c r="AB44" s="647">
        <v>47.578180667432271</v>
      </c>
      <c r="AC44" s="784">
        <v>4000</v>
      </c>
      <c r="AD44" s="631">
        <v>0.49634491190230717</v>
      </c>
      <c r="AE44" s="631">
        <v>0.65562872909703773</v>
      </c>
      <c r="AF44" s="631">
        <v>-0.25977517646990067</v>
      </c>
      <c r="AG44" s="631">
        <v>1.022517450963824</v>
      </c>
      <c r="AH44" s="629"/>
      <c r="AI44" s="648">
        <v>5.3203221042147941</v>
      </c>
      <c r="AJ44" s="649">
        <v>55.062537600000013</v>
      </c>
      <c r="AK44" s="646">
        <v>188.84863509201614</v>
      </c>
      <c r="AL44" s="646">
        <v>0</v>
      </c>
      <c r="AM44" s="646">
        <v>0</v>
      </c>
      <c r="AN44" s="646">
        <v>68.143853142076523</v>
      </c>
      <c r="AO44" s="646">
        <v>27.732833924630864</v>
      </c>
      <c r="AP44" s="801">
        <v>3600</v>
      </c>
      <c r="AQ44" s="563" t="s">
        <v>71</v>
      </c>
      <c r="AR44" s="563">
        <v>8</v>
      </c>
      <c r="AS44" s="563">
        <v>0</v>
      </c>
      <c r="AT44" s="563">
        <v>0</v>
      </c>
      <c r="AU44" s="563">
        <v>0</v>
      </c>
      <c r="AV44" s="650">
        <v>5350.8258756871073</v>
      </c>
      <c r="AW44" s="563">
        <v>0</v>
      </c>
      <c r="AX44" s="563">
        <v>0</v>
      </c>
      <c r="AY44" s="563">
        <v>0</v>
      </c>
      <c r="AZ44" s="650">
        <v>5056.4823255051979</v>
      </c>
      <c r="BA44" s="564">
        <v>4000</v>
      </c>
      <c r="BB44" s="565">
        <v>234.57225146803788</v>
      </c>
      <c r="BC44" s="649">
        <v>55.062537600000013</v>
      </c>
      <c r="BD44" s="646">
        <v>188.84863509201614</v>
      </c>
      <c r="BE44" s="646">
        <v>0</v>
      </c>
      <c r="BF44" s="646">
        <v>0</v>
      </c>
      <c r="BG44" s="646">
        <v>68.143853142076523</v>
      </c>
      <c r="BH44" s="646">
        <v>27.732833924630864</v>
      </c>
      <c r="BI44" s="646">
        <v>3600</v>
      </c>
      <c r="BJ44" s="563" t="s">
        <v>71</v>
      </c>
      <c r="BK44" s="563">
        <v>8</v>
      </c>
      <c r="BL44" s="563">
        <v>0</v>
      </c>
      <c r="BM44" s="563">
        <v>0</v>
      </c>
      <c r="BN44" s="563">
        <v>0</v>
      </c>
      <c r="BO44" s="650">
        <v>5350.8258756871073</v>
      </c>
      <c r="BP44" s="563">
        <v>0</v>
      </c>
      <c r="BQ44" s="563">
        <v>0</v>
      </c>
      <c r="BR44" s="563">
        <v>0</v>
      </c>
      <c r="BS44" s="650">
        <v>5056.4823255051979</v>
      </c>
      <c r="BT44" s="564">
        <v>4000</v>
      </c>
      <c r="BU44" s="565">
        <v>234.57225146803788</v>
      </c>
      <c r="BV44" s="649">
        <v>55.062537600000013</v>
      </c>
      <c r="BW44" s="646">
        <v>188.84863509201614</v>
      </c>
      <c r="BX44" s="646">
        <v>0</v>
      </c>
      <c r="BY44" s="646">
        <v>0</v>
      </c>
      <c r="BZ44" s="646">
        <v>68.143853142076523</v>
      </c>
      <c r="CA44" s="646">
        <v>27.732833924630864</v>
      </c>
      <c r="CB44" s="646">
        <v>3600</v>
      </c>
      <c r="CC44" s="563" t="s">
        <v>1584</v>
      </c>
      <c r="CD44" s="563">
        <v>8</v>
      </c>
      <c r="CE44" s="563">
        <v>0</v>
      </c>
      <c r="CF44" s="563">
        <v>0</v>
      </c>
      <c r="CG44" s="563">
        <v>0</v>
      </c>
      <c r="CH44" s="650">
        <v>5242.7172391657541</v>
      </c>
      <c r="CI44" s="563">
        <v>0</v>
      </c>
      <c r="CJ44" s="563">
        <v>0</v>
      </c>
      <c r="CK44" s="563">
        <v>0</v>
      </c>
      <c r="CL44" s="650">
        <v>4954.3206363557647</v>
      </c>
      <c r="CM44" s="564">
        <v>4000</v>
      </c>
      <c r="CN44" s="565">
        <v>234.57225146803788</v>
      </c>
      <c r="CO44" s="649">
        <v>55.062537600000013</v>
      </c>
      <c r="CP44" s="646">
        <v>188.84863509201614</v>
      </c>
      <c r="CQ44" s="646">
        <v>0</v>
      </c>
      <c r="CR44" s="646">
        <v>0</v>
      </c>
      <c r="CS44" s="646">
        <v>68.143853142076523</v>
      </c>
      <c r="CT44" s="646">
        <v>27.732833924630864</v>
      </c>
      <c r="CU44" s="646">
        <v>3600</v>
      </c>
      <c r="CV44" s="563" t="s">
        <v>1584</v>
      </c>
      <c r="CW44" s="563">
        <v>8</v>
      </c>
      <c r="CX44" s="563">
        <v>0</v>
      </c>
      <c r="CY44" s="563">
        <v>0</v>
      </c>
      <c r="CZ44" s="563">
        <v>0</v>
      </c>
      <c r="DA44" s="650">
        <v>5242.7172391657541</v>
      </c>
      <c r="DB44" s="563">
        <v>0</v>
      </c>
      <c r="DC44" s="563">
        <v>0</v>
      </c>
      <c r="DD44" s="563">
        <v>0</v>
      </c>
      <c r="DE44" s="650">
        <v>4954.3206363557647</v>
      </c>
      <c r="DF44" s="564">
        <v>4000</v>
      </c>
      <c r="DG44" s="565">
        <v>234.57225146803788</v>
      </c>
      <c r="DH44" s="649">
        <v>55.062537600000013</v>
      </c>
      <c r="DI44" s="646">
        <v>188.84863509201614</v>
      </c>
      <c r="DJ44" s="646">
        <v>0</v>
      </c>
      <c r="DK44" s="646">
        <v>0</v>
      </c>
      <c r="DL44" s="646">
        <v>68.143853142076523</v>
      </c>
      <c r="DM44" s="646">
        <v>27.732833924630864</v>
      </c>
      <c r="DN44" s="646">
        <v>3600</v>
      </c>
      <c r="DO44" s="563" t="s">
        <v>1588</v>
      </c>
      <c r="DP44" s="563">
        <v>8</v>
      </c>
      <c r="DQ44" s="563">
        <v>0</v>
      </c>
      <c r="DR44" s="563">
        <v>0</v>
      </c>
      <c r="DS44" s="563">
        <v>0</v>
      </c>
      <c r="DT44" s="650">
        <v>5456.7931107931527</v>
      </c>
      <c r="DU44" s="563">
        <v>0</v>
      </c>
      <c r="DV44" s="563">
        <v>0</v>
      </c>
      <c r="DW44" s="563">
        <v>0</v>
      </c>
      <c r="DX44" s="650">
        <v>5156.6204095776056</v>
      </c>
      <c r="DY44" s="564">
        <v>4000</v>
      </c>
      <c r="DZ44" s="565">
        <v>234.57225146803788</v>
      </c>
      <c r="EA44" s="649">
        <v>55.062537600000013</v>
      </c>
      <c r="EB44" s="646">
        <v>188.84863509201614</v>
      </c>
      <c r="EC44" s="646">
        <v>0</v>
      </c>
      <c r="ED44" s="646">
        <v>0</v>
      </c>
      <c r="EE44" s="646">
        <v>68.143853142076523</v>
      </c>
      <c r="EF44" s="646">
        <v>27.732833924630864</v>
      </c>
      <c r="EG44" s="646">
        <v>3600</v>
      </c>
      <c r="EH44" s="563" t="s">
        <v>1588</v>
      </c>
      <c r="EI44" s="563">
        <v>8</v>
      </c>
      <c r="EJ44" s="563">
        <v>0</v>
      </c>
      <c r="EK44" s="563">
        <v>0</v>
      </c>
      <c r="EL44" s="563">
        <v>0</v>
      </c>
      <c r="EM44" s="650">
        <v>5456.7931107931527</v>
      </c>
      <c r="EN44" s="563">
        <v>0</v>
      </c>
      <c r="EO44" s="563">
        <v>0</v>
      </c>
      <c r="EP44" s="563">
        <v>0</v>
      </c>
      <c r="EQ44" s="650">
        <v>5156.6204095776056</v>
      </c>
      <c r="ER44" s="564">
        <v>4000</v>
      </c>
      <c r="ES44" s="565">
        <v>234.57225146803788</v>
      </c>
      <c r="ET44" s="649">
        <v>55.062537600000013</v>
      </c>
      <c r="EU44" s="646">
        <v>188.84863509201614</v>
      </c>
      <c r="EV44" s="646">
        <v>0</v>
      </c>
      <c r="EW44" s="646">
        <v>0</v>
      </c>
      <c r="EX44" s="646">
        <v>68.143853142076523</v>
      </c>
      <c r="EY44" s="646">
        <v>27.732833924630864</v>
      </c>
      <c r="EZ44" s="646">
        <v>3600</v>
      </c>
      <c r="FA44" s="563" t="s">
        <v>1589</v>
      </c>
      <c r="FB44" s="563">
        <v>8</v>
      </c>
      <c r="FC44" s="563">
        <v>0</v>
      </c>
      <c r="FD44" s="563">
        <v>0</v>
      </c>
      <c r="FE44" s="563">
        <v>0</v>
      </c>
      <c r="FF44" s="650">
        <v>5812.4846934223224</v>
      </c>
      <c r="FG44" s="563">
        <v>0</v>
      </c>
      <c r="FH44" s="563">
        <v>0</v>
      </c>
      <c r="FI44" s="563">
        <v>0</v>
      </c>
      <c r="FJ44" s="650">
        <v>5492.7457559596551</v>
      </c>
      <c r="FK44" s="564">
        <v>4000</v>
      </c>
      <c r="FL44" s="565">
        <v>234.57225146803788</v>
      </c>
      <c r="FM44" s="649">
        <v>55.062537600000013</v>
      </c>
      <c r="FN44" s="646">
        <v>188.84863509201614</v>
      </c>
      <c r="FO44" s="646">
        <v>0</v>
      </c>
      <c r="FP44" s="646">
        <v>0</v>
      </c>
      <c r="FQ44" s="646">
        <v>68.143853142076523</v>
      </c>
      <c r="FR44" s="646">
        <v>27.732833924630864</v>
      </c>
      <c r="FS44" s="646">
        <v>3600</v>
      </c>
      <c r="FT44" s="563" t="s">
        <v>1589</v>
      </c>
      <c r="FU44" s="563">
        <v>8</v>
      </c>
      <c r="FV44" s="563">
        <v>0</v>
      </c>
      <c r="FW44" s="563">
        <v>0</v>
      </c>
      <c r="FX44" s="563">
        <v>0</v>
      </c>
      <c r="FY44" s="650">
        <v>5812.4846934223224</v>
      </c>
      <c r="FZ44" s="563">
        <v>0</v>
      </c>
      <c r="GA44" s="563">
        <v>0</v>
      </c>
      <c r="GB44" s="563">
        <v>0</v>
      </c>
      <c r="GC44" s="650">
        <v>5492.7457559596551</v>
      </c>
      <c r="GD44" s="564">
        <v>4000</v>
      </c>
      <c r="GE44" s="565">
        <v>234.57225146803788</v>
      </c>
      <c r="GF44" s="649">
        <v>41.29690320000001</v>
      </c>
      <c r="GG44" s="646">
        <v>175.08300069201613</v>
      </c>
      <c r="GH44" s="646">
        <v>0</v>
      </c>
      <c r="GI44" s="646">
        <v>0</v>
      </c>
      <c r="GJ44" s="646">
        <v>66.30751165050907</v>
      </c>
      <c r="GK44" s="646">
        <v>25.164607045891664</v>
      </c>
      <c r="GL44" s="646">
        <v>3600</v>
      </c>
      <c r="GM44" s="563" t="s">
        <v>1587</v>
      </c>
      <c r="GN44" s="563">
        <v>6</v>
      </c>
      <c r="GO44" s="563">
        <v>0</v>
      </c>
      <c r="GP44" s="563">
        <v>0</v>
      </c>
      <c r="GQ44" s="563">
        <v>0</v>
      </c>
      <c r="GR44" s="650">
        <v>4809.3942933960943</v>
      </c>
      <c r="GS44" s="563">
        <v>0</v>
      </c>
      <c r="GT44" s="563">
        <v>0</v>
      </c>
      <c r="GU44" s="563">
        <v>0</v>
      </c>
      <c r="GV44" s="650">
        <v>4206.1509372147157</v>
      </c>
      <c r="GW44" s="564">
        <v>4000</v>
      </c>
      <c r="GX44" s="565">
        <v>234.57225146803788</v>
      </c>
      <c r="GY44" s="649">
        <v>41.29690320000001</v>
      </c>
      <c r="GZ44" s="646">
        <v>175.08300069201613</v>
      </c>
      <c r="HA44" s="646">
        <v>0</v>
      </c>
      <c r="HB44" s="646">
        <v>0</v>
      </c>
      <c r="HC44" s="646">
        <v>66.30751165050907</v>
      </c>
      <c r="HD44" s="646">
        <v>25.164607045891664</v>
      </c>
      <c r="HE44" s="646">
        <v>3600</v>
      </c>
      <c r="HF44" s="563" t="s">
        <v>1587</v>
      </c>
      <c r="HG44" s="563">
        <v>6</v>
      </c>
      <c r="HH44" s="563">
        <v>0</v>
      </c>
      <c r="HI44" s="563">
        <v>0</v>
      </c>
      <c r="HJ44" s="563">
        <v>0</v>
      </c>
      <c r="HK44" s="650">
        <v>4809.3942933960943</v>
      </c>
      <c r="HL44" s="563">
        <v>0</v>
      </c>
      <c r="HM44" s="563">
        <v>0</v>
      </c>
      <c r="HN44" s="563">
        <v>0</v>
      </c>
      <c r="HO44" s="650">
        <v>4206.1509372147157</v>
      </c>
      <c r="HP44" s="564">
        <v>4000</v>
      </c>
      <c r="HQ44" s="565">
        <v>234.57225146803788</v>
      </c>
      <c r="HR44" s="649">
        <v>41.29690320000001</v>
      </c>
      <c r="HS44" s="646">
        <v>184.88077395222069</v>
      </c>
      <c r="HT44" s="646">
        <v>0</v>
      </c>
      <c r="HU44" s="646">
        <v>9.7977732602045506</v>
      </c>
      <c r="HV44" s="646">
        <v>66.079234682789945</v>
      </c>
      <c r="HW44" s="646">
        <v>27.771577172057096</v>
      </c>
      <c r="HX44" s="646">
        <v>3600</v>
      </c>
      <c r="HY44" s="563" t="s">
        <v>68</v>
      </c>
      <c r="HZ44" s="563">
        <v>6</v>
      </c>
      <c r="IA44" s="563">
        <v>0</v>
      </c>
      <c r="IB44" s="563">
        <v>0</v>
      </c>
      <c r="IC44" s="563">
        <v>0</v>
      </c>
      <c r="ID44" s="650">
        <v>4241.4870857264259</v>
      </c>
      <c r="IE44" s="563">
        <v>1</v>
      </c>
      <c r="IF44" s="563">
        <v>8</v>
      </c>
      <c r="IG44" s="563">
        <v>92.500657595024805</v>
      </c>
      <c r="IH44" s="650">
        <v>3969.7846620868499</v>
      </c>
      <c r="II44" s="564">
        <v>3969.7846620868499</v>
      </c>
      <c r="IJ44" s="565">
        <v>232.8003315072491</v>
      </c>
      <c r="IK44" s="649">
        <v>41.29690320000001</v>
      </c>
      <c r="IL44" s="646">
        <v>184.88077395222069</v>
      </c>
      <c r="IM44" s="646">
        <v>0</v>
      </c>
      <c r="IN44" s="646">
        <v>9.7977732602045506</v>
      </c>
      <c r="IO44" s="646">
        <v>66.079234682789945</v>
      </c>
      <c r="IP44" s="646">
        <v>27.771577172057096</v>
      </c>
      <c r="IQ44" s="646">
        <v>3600</v>
      </c>
      <c r="IR44" s="563" t="s">
        <v>68</v>
      </c>
      <c r="IS44" s="563">
        <v>6</v>
      </c>
      <c r="IT44" s="563">
        <v>0</v>
      </c>
      <c r="IU44" s="563">
        <v>0</v>
      </c>
      <c r="IV44" s="563">
        <v>0</v>
      </c>
      <c r="IW44" s="650">
        <v>4241.4870857264259</v>
      </c>
      <c r="IX44" s="563">
        <v>1</v>
      </c>
      <c r="IY44" s="563">
        <v>8</v>
      </c>
      <c r="IZ44" s="563">
        <v>92.500657595024805</v>
      </c>
      <c r="JA44" s="650">
        <v>3969.7846620868499</v>
      </c>
      <c r="JB44" s="564">
        <v>3969.7846620868499</v>
      </c>
      <c r="JC44" s="565">
        <v>232.8003315072491</v>
      </c>
      <c r="JD44" s="649">
        <v>34.414086000000012</v>
      </c>
      <c r="JE44" s="646">
        <v>168.20018349201615</v>
      </c>
      <c r="JF44" s="646">
        <v>0</v>
      </c>
      <c r="JG44" s="646">
        <v>0</v>
      </c>
      <c r="JH44" s="646">
        <v>65.276625188183019</v>
      </c>
      <c r="JI44" s="646">
        <v>23.880493606522062</v>
      </c>
      <c r="JJ44" s="646">
        <v>3600</v>
      </c>
      <c r="JK44" s="563" t="s">
        <v>67</v>
      </c>
      <c r="JL44" s="563">
        <v>5</v>
      </c>
      <c r="JM44" s="563">
        <v>0</v>
      </c>
      <c r="JN44" s="563">
        <v>0</v>
      </c>
      <c r="JO44" s="563">
        <v>0</v>
      </c>
      <c r="JP44" s="650">
        <v>4969.3121621484961</v>
      </c>
      <c r="JQ44" s="563">
        <v>0</v>
      </c>
      <c r="JR44" s="563">
        <v>0</v>
      </c>
      <c r="JS44" s="563">
        <v>0</v>
      </c>
      <c r="JT44" s="650">
        <v>4294.709623170138</v>
      </c>
      <c r="JU44" s="564">
        <v>4000</v>
      </c>
      <c r="JV44" s="565">
        <v>234.57225146803788</v>
      </c>
      <c r="JW44" s="649">
        <v>34.414086000000012</v>
      </c>
      <c r="JX44" s="646">
        <v>168.20018349201615</v>
      </c>
      <c r="JY44" s="646">
        <v>0</v>
      </c>
      <c r="JZ44" s="646">
        <v>0</v>
      </c>
      <c r="KA44" s="646">
        <v>65.276625188183019</v>
      </c>
      <c r="KB44" s="646">
        <v>23.880493606522062</v>
      </c>
      <c r="KC44" s="646">
        <v>3600</v>
      </c>
      <c r="KD44" s="563" t="s">
        <v>67</v>
      </c>
      <c r="KE44" s="563">
        <v>5</v>
      </c>
      <c r="KF44" s="563">
        <v>0</v>
      </c>
      <c r="KG44" s="563">
        <v>0</v>
      </c>
      <c r="KH44" s="563">
        <v>0</v>
      </c>
      <c r="KI44" s="650">
        <v>4969.3121621484961</v>
      </c>
      <c r="KJ44" s="563">
        <v>0</v>
      </c>
      <c r="KK44" s="563">
        <v>0</v>
      </c>
      <c r="KL44" s="563">
        <v>0</v>
      </c>
      <c r="KM44" s="650">
        <v>4294.709623170138</v>
      </c>
      <c r="KN44" s="564">
        <v>4000</v>
      </c>
      <c r="KO44" s="566">
        <v>234.57225146803788</v>
      </c>
    </row>
    <row r="45" spans="1:301" ht="15" customHeight="1">
      <c r="A45" s="663" t="s">
        <v>822</v>
      </c>
      <c r="B45" s="629" t="s">
        <v>387</v>
      </c>
      <c r="C45" s="629">
        <v>544</v>
      </c>
      <c r="D45" s="629">
        <v>1120</v>
      </c>
      <c r="E45" s="629">
        <v>560</v>
      </c>
      <c r="F45" s="629">
        <v>500</v>
      </c>
      <c r="G45" s="629">
        <v>308</v>
      </c>
      <c r="H45" s="629">
        <v>208</v>
      </c>
      <c r="I45" s="629">
        <v>137</v>
      </c>
      <c r="J45" s="629">
        <v>35.700000000000003</v>
      </c>
      <c r="K45" s="629">
        <v>46.64</v>
      </c>
      <c r="L45" s="629">
        <v>10</v>
      </c>
      <c r="M45" s="629">
        <v>450</v>
      </c>
      <c r="N45" s="629">
        <v>6</v>
      </c>
      <c r="O45" s="623">
        <v>34.802312089055441</v>
      </c>
      <c r="P45" s="629">
        <v>6</v>
      </c>
      <c r="Q45" s="623">
        <v>24.074993823890207</v>
      </c>
      <c r="R45" s="629">
        <v>18.000000000000004</v>
      </c>
      <c r="S45" s="629">
        <v>776.90941174552165</v>
      </c>
      <c r="T45" s="645">
        <v>66.984266884551175</v>
      </c>
      <c r="U45" s="645">
        <v>116.53641176182825</v>
      </c>
      <c r="V45" s="645">
        <v>122.5</v>
      </c>
      <c r="W45" s="793">
        <v>7.6927244000226729</v>
      </c>
      <c r="X45" s="646">
        <v>0</v>
      </c>
      <c r="Y45" s="646">
        <v>0</v>
      </c>
      <c r="Z45" s="646">
        <v>0</v>
      </c>
      <c r="AA45" s="646">
        <v>0</v>
      </c>
      <c r="AB45" s="647">
        <v>37.308849898777702</v>
      </c>
      <c r="AC45" s="784">
        <v>4000</v>
      </c>
      <c r="AD45" s="631">
        <v>0.42716065177205609</v>
      </c>
      <c r="AE45" s="631">
        <v>0.71857289556110249</v>
      </c>
      <c r="AF45" s="631">
        <v>-0.32562462417926402</v>
      </c>
      <c r="AG45" s="631">
        <v>0.8580547381309922</v>
      </c>
      <c r="AH45" s="629"/>
      <c r="AI45" s="648">
        <v>5.0284586428966627</v>
      </c>
      <c r="AJ45" s="649">
        <v>48.7485</v>
      </c>
      <c r="AK45" s="646">
        <v>182.30279719751951</v>
      </c>
      <c r="AL45" s="646">
        <v>0</v>
      </c>
      <c r="AM45" s="646">
        <v>0</v>
      </c>
      <c r="AN45" s="646">
        <v>73.805711565025987</v>
      </c>
      <c r="AO45" s="646">
        <v>26.913568808754036</v>
      </c>
      <c r="AP45" s="801">
        <v>2700</v>
      </c>
      <c r="AQ45" s="563" t="s">
        <v>71</v>
      </c>
      <c r="AR45" s="563">
        <v>8</v>
      </c>
      <c r="AS45" s="563">
        <v>0</v>
      </c>
      <c r="AT45" s="563">
        <v>0</v>
      </c>
      <c r="AU45" s="563">
        <v>0</v>
      </c>
      <c r="AV45" s="650">
        <v>3267.1492070576701</v>
      </c>
      <c r="AW45" s="563">
        <v>0</v>
      </c>
      <c r="AX45" s="563">
        <v>0</v>
      </c>
      <c r="AY45" s="563">
        <v>0</v>
      </c>
      <c r="AZ45" s="650">
        <v>4107.0435661772917</v>
      </c>
      <c r="BA45" s="564">
        <v>3267.1492070576701</v>
      </c>
      <c r="BB45" s="565">
        <v>191.59563634538307</v>
      </c>
      <c r="BC45" s="649">
        <v>36.561374999999998</v>
      </c>
      <c r="BD45" s="646">
        <v>170.1156721975195</v>
      </c>
      <c r="BE45" s="646">
        <v>0</v>
      </c>
      <c r="BF45" s="646">
        <v>0</v>
      </c>
      <c r="BG45" s="646">
        <v>71.642585953554857</v>
      </c>
      <c r="BH45" s="646">
        <v>24.551801480754037</v>
      </c>
      <c r="BI45" s="646">
        <v>3375</v>
      </c>
      <c r="BJ45" s="563" t="s">
        <v>67</v>
      </c>
      <c r="BK45" s="563">
        <v>6</v>
      </c>
      <c r="BL45" s="563">
        <v>0</v>
      </c>
      <c r="BM45" s="563">
        <v>0</v>
      </c>
      <c r="BN45" s="563">
        <v>0</v>
      </c>
      <c r="BO45" s="650">
        <v>3902.8206723085823</v>
      </c>
      <c r="BP45" s="563">
        <v>0</v>
      </c>
      <c r="BQ45" s="563">
        <v>0</v>
      </c>
      <c r="BR45" s="563">
        <v>0</v>
      </c>
      <c r="BS45" s="650">
        <v>4369.9639871750251</v>
      </c>
      <c r="BT45" s="564">
        <v>3902.8206723085823</v>
      </c>
      <c r="BU45" s="565">
        <v>228.87335804485639</v>
      </c>
      <c r="BV45" s="649">
        <v>48.7485</v>
      </c>
      <c r="BW45" s="646">
        <v>182.30279719751951</v>
      </c>
      <c r="BX45" s="646">
        <v>0</v>
      </c>
      <c r="BY45" s="646">
        <v>0</v>
      </c>
      <c r="BZ45" s="646">
        <v>73.805711565025987</v>
      </c>
      <c r="CA45" s="646">
        <v>26.913568808754036</v>
      </c>
      <c r="CB45" s="646">
        <v>2700</v>
      </c>
      <c r="CC45" s="563" t="s">
        <v>1584</v>
      </c>
      <c r="CD45" s="563">
        <v>8</v>
      </c>
      <c r="CE45" s="563">
        <v>0</v>
      </c>
      <c r="CF45" s="563">
        <v>0</v>
      </c>
      <c r="CG45" s="563">
        <v>0</v>
      </c>
      <c r="CH45" s="650">
        <v>3201.1393883319824</v>
      </c>
      <c r="CI45" s="563">
        <v>0</v>
      </c>
      <c r="CJ45" s="563">
        <v>0</v>
      </c>
      <c r="CK45" s="563">
        <v>0</v>
      </c>
      <c r="CL45" s="650">
        <v>4024.0644354059696</v>
      </c>
      <c r="CM45" s="564">
        <v>3201.1393883319824</v>
      </c>
      <c r="CN45" s="565">
        <v>187.72461839601272</v>
      </c>
      <c r="CO45" s="649">
        <v>48.7485</v>
      </c>
      <c r="CP45" s="646">
        <v>186.38643580287984</v>
      </c>
      <c r="CQ45" s="646">
        <v>4.0836386053603322</v>
      </c>
      <c r="CR45" s="646">
        <v>0</v>
      </c>
      <c r="CS45" s="646">
        <v>74.467254135885852</v>
      </c>
      <c r="CT45" s="646">
        <v>27.296144953863447</v>
      </c>
      <c r="CU45" s="646">
        <v>3375</v>
      </c>
      <c r="CV45" s="563" t="s">
        <v>1584</v>
      </c>
      <c r="CW45" s="563">
        <v>8</v>
      </c>
      <c r="CX45" s="563">
        <v>1</v>
      </c>
      <c r="CY45" s="563">
        <v>10</v>
      </c>
      <c r="CZ45" s="563">
        <v>64.728713429910627</v>
      </c>
      <c r="DA45" s="650">
        <v>5121.7810254495607</v>
      </c>
      <c r="DB45" s="563">
        <v>0</v>
      </c>
      <c r="DC45" s="563">
        <v>0</v>
      </c>
      <c r="DD45" s="563">
        <v>0</v>
      </c>
      <c r="DE45" s="650">
        <v>4024.0644354059696</v>
      </c>
      <c r="DF45" s="564">
        <v>4000</v>
      </c>
      <c r="DG45" s="565">
        <v>234.57225146803788</v>
      </c>
      <c r="DH45" s="649">
        <v>48.7485</v>
      </c>
      <c r="DI45" s="646">
        <v>182.30279719751951</v>
      </c>
      <c r="DJ45" s="646">
        <v>0</v>
      </c>
      <c r="DK45" s="646">
        <v>0</v>
      </c>
      <c r="DL45" s="646">
        <v>73.805711565025987</v>
      </c>
      <c r="DM45" s="646">
        <v>26.913568808754036</v>
      </c>
      <c r="DN45" s="646">
        <v>2700</v>
      </c>
      <c r="DO45" s="563" t="s">
        <v>1588</v>
      </c>
      <c r="DP45" s="563">
        <v>8</v>
      </c>
      <c r="DQ45" s="563">
        <v>0</v>
      </c>
      <c r="DR45" s="563">
        <v>0</v>
      </c>
      <c r="DS45" s="563">
        <v>0</v>
      </c>
      <c r="DT45" s="650">
        <v>3331.8515121212499</v>
      </c>
      <c r="DU45" s="563">
        <v>0</v>
      </c>
      <c r="DV45" s="563">
        <v>0</v>
      </c>
      <c r="DW45" s="563">
        <v>0</v>
      </c>
      <c r="DX45" s="650">
        <v>4188.3790574227432</v>
      </c>
      <c r="DY45" s="564">
        <v>3331.8515121212499</v>
      </c>
      <c r="DZ45" s="565">
        <v>195.38997768886702</v>
      </c>
      <c r="EA45" s="649">
        <v>48.7485</v>
      </c>
      <c r="EB45" s="646">
        <v>186.38643580287984</v>
      </c>
      <c r="EC45" s="646">
        <v>4.0836386053603322</v>
      </c>
      <c r="ED45" s="646">
        <v>0</v>
      </c>
      <c r="EE45" s="646">
        <v>74.467254135885852</v>
      </c>
      <c r="EF45" s="646">
        <v>27.296144953863447</v>
      </c>
      <c r="EG45" s="646">
        <v>3375</v>
      </c>
      <c r="EH45" s="563" t="s">
        <v>1588</v>
      </c>
      <c r="EI45" s="563">
        <v>8</v>
      </c>
      <c r="EJ45" s="563">
        <v>1</v>
      </c>
      <c r="EK45" s="563">
        <v>10</v>
      </c>
      <c r="EL45" s="563">
        <v>64.728713429910627</v>
      </c>
      <c r="EM45" s="650">
        <v>5330.9187086945667</v>
      </c>
      <c r="EN45" s="563">
        <v>0</v>
      </c>
      <c r="EO45" s="563">
        <v>0</v>
      </c>
      <c r="EP45" s="563">
        <v>0</v>
      </c>
      <c r="EQ45" s="650">
        <v>4188.3790574227432</v>
      </c>
      <c r="ER45" s="564">
        <v>4000</v>
      </c>
      <c r="ES45" s="565">
        <v>234.57225146803788</v>
      </c>
      <c r="ET45" s="649">
        <v>48.7485</v>
      </c>
      <c r="EU45" s="646">
        <v>182.30279719751951</v>
      </c>
      <c r="EV45" s="646">
        <v>0</v>
      </c>
      <c r="EW45" s="646">
        <v>0</v>
      </c>
      <c r="EX45" s="646">
        <v>73.805711565025987</v>
      </c>
      <c r="EY45" s="646">
        <v>26.913568808754036</v>
      </c>
      <c r="EZ45" s="646">
        <v>2700</v>
      </c>
      <c r="FA45" s="563" t="s">
        <v>1589</v>
      </c>
      <c r="FB45" s="563">
        <v>8</v>
      </c>
      <c r="FC45" s="563">
        <v>0</v>
      </c>
      <c r="FD45" s="563">
        <v>0</v>
      </c>
      <c r="FE45" s="563">
        <v>0</v>
      </c>
      <c r="FF45" s="650">
        <v>3549.0324668266303</v>
      </c>
      <c r="FG45" s="563">
        <v>0</v>
      </c>
      <c r="FH45" s="563">
        <v>0</v>
      </c>
      <c r="FI45" s="563">
        <v>0</v>
      </c>
      <c r="FJ45" s="650">
        <v>4461.3912727180059</v>
      </c>
      <c r="FK45" s="564">
        <v>3549.0324668266303</v>
      </c>
      <c r="FL45" s="565">
        <v>208.1261340691718</v>
      </c>
      <c r="FM45" s="649">
        <v>48.7485</v>
      </c>
      <c r="FN45" s="646">
        <v>182.30279719751951</v>
      </c>
      <c r="FO45" s="646">
        <v>0</v>
      </c>
      <c r="FP45" s="646">
        <v>0</v>
      </c>
      <c r="FQ45" s="646">
        <v>73.805711565025987</v>
      </c>
      <c r="FR45" s="646">
        <v>26.913568808754036</v>
      </c>
      <c r="FS45" s="646">
        <v>3375</v>
      </c>
      <c r="FT45" s="563" t="s">
        <v>1587</v>
      </c>
      <c r="FU45" s="563">
        <v>8</v>
      </c>
      <c r="FV45" s="563">
        <v>0</v>
      </c>
      <c r="FW45" s="563">
        <v>0</v>
      </c>
      <c r="FX45" s="563">
        <v>0</v>
      </c>
      <c r="FY45" s="650">
        <v>4383.340631763178</v>
      </c>
      <c r="FZ45" s="563">
        <v>0</v>
      </c>
      <c r="GA45" s="563">
        <v>0</v>
      </c>
      <c r="GB45" s="563">
        <v>0</v>
      </c>
      <c r="GC45" s="650">
        <v>5510.1771603153484</v>
      </c>
      <c r="GD45" s="564">
        <v>4000</v>
      </c>
      <c r="GE45" s="565">
        <v>234.57225146803788</v>
      </c>
      <c r="GF45" s="649">
        <v>36.561374999999998</v>
      </c>
      <c r="GG45" s="646">
        <v>170.1156721975195</v>
      </c>
      <c r="GH45" s="646">
        <v>0</v>
      </c>
      <c r="GI45" s="646">
        <v>0</v>
      </c>
      <c r="GJ45" s="646">
        <v>71.642585953554857</v>
      </c>
      <c r="GK45" s="646">
        <v>24.551801480754037</v>
      </c>
      <c r="GL45" s="646">
        <v>2700</v>
      </c>
      <c r="GM45" s="563" t="s">
        <v>1587</v>
      </c>
      <c r="GN45" s="563">
        <v>6</v>
      </c>
      <c r="GO45" s="563">
        <v>0</v>
      </c>
      <c r="GP45" s="563">
        <v>0</v>
      </c>
      <c r="GQ45" s="563">
        <v>0</v>
      </c>
      <c r="GR45" s="650">
        <v>3247.3430891421767</v>
      </c>
      <c r="GS45" s="563">
        <v>0</v>
      </c>
      <c r="GT45" s="563">
        <v>0</v>
      </c>
      <c r="GU45" s="563">
        <v>0</v>
      </c>
      <c r="GV45" s="650">
        <v>3636.0298217747568</v>
      </c>
      <c r="GW45" s="564">
        <v>3247.3430891421767</v>
      </c>
      <c r="GX45" s="565">
        <v>190.43414492731341</v>
      </c>
      <c r="GY45" s="649">
        <v>48.7485</v>
      </c>
      <c r="GZ45" s="646">
        <v>182.30279719751951</v>
      </c>
      <c r="HA45" s="646">
        <v>0</v>
      </c>
      <c r="HB45" s="646">
        <v>0</v>
      </c>
      <c r="HC45" s="646">
        <v>73.805711565025987</v>
      </c>
      <c r="HD45" s="646">
        <v>26.913568808754036</v>
      </c>
      <c r="HE45" s="646">
        <v>3375</v>
      </c>
      <c r="HF45" s="563" t="s">
        <v>1587</v>
      </c>
      <c r="HG45" s="563">
        <v>8</v>
      </c>
      <c r="HH45" s="563">
        <v>0</v>
      </c>
      <c r="HI45" s="563">
        <v>0</v>
      </c>
      <c r="HJ45" s="563">
        <v>0</v>
      </c>
      <c r="HK45" s="650">
        <v>4383.340631763178</v>
      </c>
      <c r="HL45" s="563">
        <v>0</v>
      </c>
      <c r="HM45" s="563">
        <v>0</v>
      </c>
      <c r="HN45" s="563">
        <v>0</v>
      </c>
      <c r="HO45" s="650">
        <v>5510.1771603153484</v>
      </c>
      <c r="HP45" s="564">
        <v>4000</v>
      </c>
      <c r="HQ45" s="565">
        <v>234.57225146803788</v>
      </c>
      <c r="HR45" s="649">
        <v>36.561374999999998</v>
      </c>
      <c r="HS45" s="646">
        <v>173.38258308180778</v>
      </c>
      <c r="HT45" s="646">
        <v>3.2669108842882659</v>
      </c>
      <c r="HU45" s="646">
        <v>0</v>
      </c>
      <c r="HV45" s="646">
        <v>72.252271114871633</v>
      </c>
      <c r="HW45" s="646">
        <v>24.857862396841568</v>
      </c>
      <c r="HX45" s="646">
        <v>2700</v>
      </c>
      <c r="HY45" s="563" t="s">
        <v>68</v>
      </c>
      <c r="HZ45" s="563">
        <v>6</v>
      </c>
      <c r="IA45" s="563">
        <v>1</v>
      </c>
      <c r="IB45" s="563">
        <v>8</v>
      </c>
      <c r="IC45" s="563">
        <v>64.728713429910627</v>
      </c>
      <c r="ID45" s="650">
        <v>6244.7203181439372</v>
      </c>
      <c r="IE45" s="563">
        <v>0</v>
      </c>
      <c r="IF45" s="563">
        <v>0</v>
      </c>
      <c r="IG45" s="563">
        <v>0</v>
      </c>
      <c r="IH45" s="650">
        <v>3206.6768893435042</v>
      </c>
      <c r="II45" s="564">
        <v>3206.6768893435042</v>
      </c>
      <c r="IJ45" s="565">
        <v>188.04935441595751</v>
      </c>
      <c r="IK45" s="649">
        <v>24.37425</v>
      </c>
      <c r="IL45" s="646">
        <v>166.82081603823738</v>
      </c>
      <c r="IM45" s="646">
        <v>2.4501831632161997</v>
      </c>
      <c r="IN45" s="646">
        <v>6.4420856775017032</v>
      </c>
      <c r="IO45" s="646">
        <v>69.632602580473744</v>
      </c>
      <c r="IP45" s="646">
        <v>24.169825546738249</v>
      </c>
      <c r="IQ45" s="646">
        <v>3375</v>
      </c>
      <c r="IR45" s="563" t="s">
        <v>68</v>
      </c>
      <c r="IS45" s="563">
        <v>4</v>
      </c>
      <c r="IT45" s="563">
        <v>1</v>
      </c>
      <c r="IU45" s="563">
        <v>6</v>
      </c>
      <c r="IV45" s="563">
        <v>64.728713429910627</v>
      </c>
      <c r="IW45" s="650">
        <v>4736.2620949813063</v>
      </c>
      <c r="IX45" s="563">
        <v>1</v>
      </c>
      <c r="IY45" s="563">
        <v>6</v>
      </c>
      <c r="IZ45" s="563">
        <v>80.647742088287629</v>
      </c>
      <c r="JA45" s="650">
        <v>3896.0974291929165</v>
      </c>
      <c r="JB45" s="564">
        <v>3896.0974291929165</v>
      </c>
      <c r="JC45" s="565">
        <v>228.47908647615421</v>
      </c>
      <c r="JD45" s="649">
        <v>24.37425</v>
      </c>
      <c r="JE45" s="646">
        <v>157.92854719751949</v>
      </c>
      <c r="JF45" s="646">
        <v>0</v>
      </c>
      <c r="JG45" s="646">
        <v>0</v>
      </c>
      <c r="JH45" s="646">
        <v>69.145609588872787</v>
      </c>
      <c r="JI45" s="646">
        <v>22.190034152754038</v>
      </c>
      <c r="JJ45" s="646">
        <v>2700</v>
      </c>
      <c r="JK45" s="563" t="s">
        <v>67</v>
      </c>
      <c r="JL45" s="563">
        <v>4</v>
      </c>
      <c r="JM45" s="563">
        <v>0</v>
      </c>
      <c r="JN45" s="563">
        <v>0</v>
      </c>
      <c r="JO45" s="563">
        <v>0</v>
      </c>
      <c r="JP45" s="650">
        <v>2970.8394970421173</v>
      </c>
      <c r="JQ45" s="563">
        <v>0</v>
      </c>
      <c r="JR45" s="563">
        <v>0</v>
      </c>
      <c r="JS45" s="563">
        <v>0</v>
      </c>
      <c r="JT45" s="650">
        <v>3210.8812371704953</v>
      </c>
      <c r="JU45" s="564">
        <v>2970.8394970421173</v>
      </c>
      <c r="JV45" s="565">
        <v>174.21912739283567</v>
      </c>
      <c r="JW45" s="649">
        <v>36.561374999999998</v>
      </c>
      <c r="JX45" s="646">
        <v>170.1156721975195</v>
      </c>
      <c r="JY45" s="646">
        <v>0</v>
      </c>
      <c r="JZ45" s="646">
        <v>0</v>
      </c>
      <c r="KA45" s="646">
        <v>71.642585953554857</v>
      </c>
      <c r="KB45" s="646">
        <v>24.551801480754037</v>
      </c>
      <c r="KC45" s="646">
        <v>3375</v>
      </c>
      <c r="KD45" s="563" t="s">
        <v>67</v>
      </c>
      <c r="KE45" s="563">
        <v>6</v>
      </c>
      <c r="KF45" s="563">
        <v>0</v>
      </c>
      <c r="KG45" s="563">
        <v>0</v>
      </c>
      <c r="KH45" s="563">
        <v>0</v>
      </c>
      <c r="KI45" s="650">
        <v>3902.8206723085823</v>
      </c>
      <c r="KJ45" s="563">
        <v>0</v>
      </c>
      <c r="KK45" s="563">
        <v>0</v>
      </c>
      <c r="KL45" s="563">
        <v>0</v>
      </c>
      <c r="KM45" s="650">
        <v>4369.9639871750251</v>
      </c>
      <c r="KN45" s="564">
        <v>3902.8206723085823</v>
      </c>
      <c r="KO45" s="566">
        <v>228.87335804485639</v>
      </c>
    </row>
    <row r="46" spans="1:301" ht="15" customHeight="1">
      <c r="A46" s="663" t="s">
        <v>823</v>
      </c>
      <c r="B46" s="629" t="s">
        <v>388</v>
      </c>
      <c r="C46" s="629">
        <v>614</v>
      </c>
      <c r="D46" s="629">
        <v>1120</v>
      </c>
      <c r="E46" s="629">
        <v>630</v>
      </c>
      <c r="F46" s="629">
        <v>565</v>
      </c>
      <c r="G46" s="629">
        <v>340</v>
      </c>
      <c r="H46" s="629">
        <v>231</v>
      </c>
      <c r="I46" s="629">
        <v>158</v>
      </c>
      <c r="J46" s="629">
        <v>35.090000000000003</v>
      </c>
      <c r="K46" s="629">
        <v>44.81</v>
      </c>
      <c r="L46" s="629">
        <v>12</v>
      </c>
      <c r="M46" s="629">
        <v>415</v>
      </c>
      <c r="N46" s="629">
        <v>6</v>
      </c>
      <c r="O46" s="623">
        <v>31.720857372836988</v>
      </c>
      <c r="P46" s="629">
        <v>6</v>
      </c>
      <c r="Q46" s="623">
        <v>22.383910867267975</v>
      </c>
      <c r="R46" s="629">
        <v>18.000000000000004</v>
      </c>
      <c r="S46" s="629">
        <v>805.79324261915042</v>
      </c>
      <c r="T46" s="645">
        <v>72.057515754417864</v>
      </c>
      <c r="U46" s="645">
        <v>120.86898639287256</v>
      </c>
      <c r="V46" s="645">
        <v>135</v>
      </c>
      <c r="W46" s="793">
        <v>9.1197793376685095</v>
      </c>
      <c r="X46" s="646">
        <v>0</v>
      </c>
      <c r="Y46" s="646">
        <v>0</v>
      </c>
      <c r="Z46" s="646">
        <v>0</v>
      </c>
      <c r="AA46" s="646">
        <v>0</v>
      </c>
      <c r="AB46" s="647">
        <v>35.43707182873446</v>
      </c>
      <c r="AC46" s="784">
        <v>3719.5286758483408</v>
      </c>
      <c r="AD46" s="631">
        <v>0.43792961572880762</v>
      </c>
      <c r="AE46" s="631">
        <v>0.70255106073371232</v>
      </c>
      <c r="AF46" s="631">
        <v>-0.3290537805761502</v>
      </c>
      <c r="AG46" s="631">
        <v>0.73903124839446699</v>
      </c>
      <c r="AH46" s="629"/>
      <c r="AI46" s="648">
        <v>5.2858498926466684</v>
      </c>
      <c r="AJ46" s="649">
        <v>60.828708000000006</v>
      </c>
      <c r="AK46" s="646">
        <v>196.11077133219135</v>
      </c>
      <c r="AL46" s="646">
        <v>0</v>
      </c>
      <c r="AM46" s="646">
        <v>0</v>
      </c>
      <c r="AN46" s="646">
        <v>79.977699339327131</v>
      </c>
      <c r="AO46" s="646">
        <v>30.126977311664625</v>
      </c>
      <c r="AP46" s="801">
        <v>2200</v>
      </c>
      <c r="AQ46" s="563" t="s">
        <v>71</v>
      </c>
      <c r="AR46" s="563">
        <v>8</v>
      </c>
      <c r="AS46" s="563">
        <v>0</v>
      </c>
      <c r="AT46" s="563">
        <v>0</v>
      </c>
      <c r="AU46" s="563">
        <v>0</v>
      </c>
      <c r="AV46" s="650">
        <v>2671.7441742726992</v>
      </c>
      <c r="AW46" s="563">
        <v>0</v>
      </c>
      <c r="AX46" s="563">
        <v>0</v>
      </c>
      <c r="AY46" s="563">
        <v>0</v>
      </c>
      <c r="AZ46" s="650">
        <v>3186.0158282543684</v>
      </c>
      <c r="BA46" s="564">
        <v>2671.7441742726992</v>
      </c>
      <c r="BB46" s="565">
        <v>156.67926157644021</v>
      </c>
      <c r="BC46" s="649">
        <v>45.621531000000004</v>
      </c>
      <c r="BD46" s="646">
        <v>180.90359433219135</v>
      </c>
      <c r="BE46" s="646">
        <v>0</v>
      </c>
      <c r="BF46" s="646">
        <v>0</v>
      </c>
      <c r="BG46" s="646">
        <v>76.991612105470864</v>
      </c>
      <c r="BH46" s="646">
        <v>27.025861345528121</v>
      </c>
      <c r="BI46" s="646">
        <v>2750</v>
      </c>
      <c r="BJ46" s="563" t="s">
        <v>67</v>
      </c>
      <c r="BK46" s="563">
        <v>6</v>
      </c>
      <c r="BL46" s="563">
        <v>0</v>
      </c>
      <c r="BM46" s="563">
        <v>0</v>
      </c>
      <c r="BN46" s="563">
        <v>0</v>
      </c>
      <c r="BO46" s="650">
        <v>3261.2594906146387</v>
      </c>
      <c r="BP46" s="563">
        <v>0</v>
      </c>
      <c r="BQ46" s="563">
        <v>0</v>
      </c>
      <c r="BR46" s="563">
        <v>0</v>
      </c>
      <c r="BS46" s="650">
        <v>3608.2761733275102</v>
      </c>
      <c r="BT46" s="564">
        <v>3261.2594906146387</v>
      </c>
      <c r="BU46" s="565">
        <v>191.25024533374554</v>
      </c>
      <c r="BV46" s="649">
        <v>60.828708000000006</v>
      </c>
      <c r="BW46" s="646">
        <v>196.11077133219135</v>
      </c>
      <c r="BX46" s="646">
        <v>0</v>
      </c>
      <c r="BY46" s="646">
        <v>0</v>
      </c>
      <c r="BZ46" s="646">
        <v>79.977699339327131</v>
      </c>
      <c r="CA46" s="646">
        <v>30.126977311664625</v>
      </c>
      <c r="CB46" s="646">
        <v>2200</v>
      </c>
      <c r="CC46" s="563" t="s">
        <v>1584</v>
      </c>
      <c r="CD46" s="563">
        <v>8</v>
      </c>
      <c r="CE46" s="563">
        <v>0</v>
      </c>
      <c r="CF46" s="563">
        <v>0</v>
      </c>
      <c r="CG46" s="563">
        <v>0</v>
      </c>
      <c r="CH46" s="650">
        <v>2617.763980088675</v>
      </c>
      <c r="CI46" s="563">
        <v>0</v>
      </c>
      <c r="CJ46" s="563">
        <v>0</v>
      </c>
      <c r="CK46" s="563">
        <v>0</v>
      </c>
      <c r="CL46" s="650">
        <v>3121.6452366615708</v>
      </c>
      <c r="CM46" s="564">
        <v>2617.763980088675</v>
      </c>
      <c r="CN46" s="565">
        <v>153.51369765533309</v>
      </c>
      <c r="CO46" s="649">
        <v>60.828708000000006</v>
      </c>
      <c r="CP46" s="646">
        <v>200.25490415006689</v>
      </c>
      <c r="CQ46" s="646">
        <v>4.1441328178755494</v>
      </c>
      <c r="CR46" s="646">
        <v>0</v>
      </c>
      <c r="CS46" s="646">
        <v>80.712808087645328</v>
      </c>
      <c r="CT46" s="646">
        <v>30.59744399623175</v>
      </c>
      <c r="CU46" s="646">
        <v>2750</v>
      </c>
      <c r="CV46" s="563" t="s">
        <v>1584</v>
      </c>
      <c r="CW46" s="563">
        <v>8</v>
      </c>
      <c r="CX46" s="563">
        <v>1</v>
      </c>
      <c r="CY46" s="563">
        <v>10</v>
      </c>
      <c r="CZ46" s="563">
        <v>57.421368113005435</v>
      </c>
      <c r="DA46" s="650">
        <v>4396.8109194766603</v>
      </c>
      <c r="DB46" s="563">
        <v>0</v>
      </c>
      <c r="DC46" s="563">
        <v>0</v>
      </c>
      <c r="DD46" s="563">
        <v>0</v>
      </c>
      <c r="DE46" s="650">
        <v>3121.6452366615708</v>
      </c>
      <c r="DF46" s="564">
        <v>3121.6452366615708</v>
      </c>
      <c r="DG46" s="565">
        <v>183.06283786204514</v>
      </c>
      <c r="DH46" s="649">
        <v>60.828708000000006</v>
      </c>
      <c r="DI46" s="646">
        <v>196.11077133219135</v>
      </c>
      <c r="DJ46" s="646">
        <v>0</v>
      </c>
      <c r="DK46" s="646">
        <v>0</v>
      </c>
      <c r="DL46" s="646">
        <v>79.977699339327131</v>
      </c>
      <c r="DM46" s="646">
        <v>30.126977311664625</v>
      </c>
      <c r="DN46" s="646">
        <v>2200</v>
      </c>
      <c r="DO46" s="563" t="s">
        <v>1588</v>
      </c>
      <c r="DP46" s="563">
        <v>8</v>
      </c>
      <c r="DQ46" s="563">
        <v>0</v>
      </c>
      <c r="DR46" s="563">
        <v>0</v>
      </c>
      <c r="DS46" s="563">
        <v>0</v>
      </c>
      <c r="DT46" s="650">
        <v>2724.6551359888667</v>
      </c>
      <c r="DU46" s="563">
        <v>0</v>
      </c>
      <c r="DV46" s="563">
        <v>0</v>
      </c>
      <c r="DW46" s="563">
        <v>0</v>
      </c>
      <c r="DX46" s="650">
        <v>3249.1113757769003</v>
      </c>
      <c r="DY46" s="564">
        <v>2724.6551359888667</v>
      </c>
      <c r="DZ46" s="565">
        <v>159.78212243071536</v>
      </c>
      <c r="EA46" s="649">
        <v>60.828708000000006</v>
      </c>
      <c r="EB46" s="646">
        <v>200.25490415006689</v>
      </c>
      <c r="EC46" s="646">
        <v>4.1441328178755494</v>
      </c>
      <c r="ED46" s="646">
        <v>0</v>
      </c>
      <c r="EE46" s="646">
        <v>80.712808087645328</v>
      </c>
      <c r="EF46" s="646">
        <v>30.59744399623175</v>
      </c>
      <c r="EG46" s="646">
        <v>2750</v>
      </c>
      <c r="EH46" s="563" t="s">
        <v>1588</v>
      </c>
      <c r="EI46" s="563">
        <v>8</v>
      </c>
      <c r="EJ46" s="563">
        <v>1</v>
      </c>
      <c r="EK46" s="563">
        <v>10</v>
      </c>
      <c r="EL46" s="563">
        <v>57.421368113005435</v>
      </c>
      <c r="EM46" s="650">
        <v>4576.3458985779935</v>
      </c>
      <c r="EN46" s="563">
        <v>0</v>
      </c>
      <c r="EO46" s="563">
        <v>0</v>
      </c>
      <c r="EP46" s="563">
        <v>0</v>
      </c>
      <c r="EQ46" s="650">
        <v>3249.1113757769003</v>
      </c>
      <c r="ER46" s="564">
        <v>3249.1113757769003</v>
      </c>
      <c r="ES46" s="565">
        <v>190.53784267160043</v>
      </c>
      <c r="ET46" s="649">
        <v>60.828708000000006</v>
      </c>
      <c r="EU46" s="646">
        <v>196.11077133219135</v>
      </c>
      <c r="EV46" s="646">
        <v>0</v>
      </c>
      <c r="EW46" s="646">
        <v>0</v>
      </c>
      <c r="EX46" s="646">
        <v>79.977699339327131</v>
      </c>
      <c r="EY46" s="646">
        <v>30.126977311664625</v>
      </c>
      <c r="EZ46" s="646">
        <v>2200</v>
      </c>
      <c r="FA46" s="563" t="s">
        <v>1589</v>
      </c>
      <c r="FB46" s="563">
        <v>8</v>
      </c>
      <c r="FC46" s="563">
        <v>0</v>
      </c>
      <c r="FD46" s="563">
        <v>0</v>
      </c>
      <c r="FE46" s="563">
        <v>0</v>
      </c>
      <c r="FF46" s="650">
        <v>2902.2570493767298</v>
      </c>
      <c r="FG46" s="563">
        <v>0</v>
      </c>
      <c r="FH46" s="563">
        <v>0</v>
      </c>
      <c r="FI46" s="563">
        <v>0</v>
      </c>
      <c r="FJ46" s="650">
        <v>3460.8990583816649</v>
      </c>
      <c r="FK46" s="564">
        <v>2902.2570493767298</v>
      </c>
      <c r="FL46" s="565">
        <v>170.19724260282098</v>
      </c>
      <c r="FM46" s="649">
        <v>60.828708000000006</v>
      </c>
      <c r="FN46" s="646">
        <v>196.11077133219135</v>
      </c>
      <c r="FO46" s="646">
        <v>0</v>
      </c>
      <c r="FP46" s="646">
        <v>0</v>
      </c>
      <c r="FQ46" s="646">
        <v>79.977699339327131</v>
      </c>
      <c r="FR46" s="646">
        <v>30.126977311664625</v>
      </c>
      <c r="FS46" s="646">
        <v>2750</v>
      </c>
      <c r="FT46" s="563" t="s">
        <v>1587</v>
      </c>
      <c r="FU46" s="563">
        <v>8</v>
      </c>
      <c r="FV46" s="563">
        <v>0</v>
      </c>
      <c r="FW46" s="563">
        <v>0</v>
      </c>
      <c r="FX46" s="563">
        <v>0</v>
      </c>
      <c r="FY46" s="650">
        <v>3584.5209552976794</v>
      </c>
      <c r="FZ46" s="563">
        <v>0</v>
      </c>
      <c r="GA46" s="563">
        <v>0</v>
      </c>
      <c r="GB46" s="563">
        <v>0</v>
      </c>
      <c r="GC46" s="650">
        <v>4274.4887816202372</v>
      </c>
      <c r="GD46" s="564">
        <v>3584.5209552976794</v>
      </c>
      <c r="GE46" s="565">
        <v>210.20728772963466</v>
      </c>
      <c r="GF46" s="649">
        <v>45.621531000000004</v>
      </c>
      <c r="GG46" s="646">
        <v>180.90359433219135</v>
      </c>
      <c r="GH46" s="646">
        <v>0</v>
      </c>
      <c r="GI46" s="646">
        <v>0</v>
      </c>
      <c r="GJ46" s="646">
        <v>76.991612105470864</v>
      </c>
      <c r="GK46" s="646">
        <v>27.025861345528121</v>
      </c>
      <c r="GL46" s="646">
        <v>2200</v>
      </c>
      <c r="GM46" s="563" t="s">
        <v>1587</v>
      </c>
      <c r="GN46" s="563">
        <v>6</v>
      </c>
      <c r="GO46" s="563">
        <v>0</v>
      </c>
      <c r="GP46" s="563">
        <v>0</v>
      </c>
      <c r="GQ46" s="563">
        <v>0</v>
      </c>
      <c r="GR46" s="650">
        <v>2713.531919077996</v>
      </c>
      <c r="GS46" s="563">
        <v>0</v>
      </c>
      <c r="GT46" s="563">
        <v>0</v>
      </c>
      <c r="GU46" s="563">
        <v>0</v>
      </c>
      <c r="GV46" s="650">
        <v>3002.2672520693823</v>
      </c>
      <c r="GW46" s="564">
        <v>2713.531919077996</v>
      </c>
      <c r="GX46" s="565">
        <v>159.1298229221278</v>
      </c>
      <c r="GY46" s="649">
        <v>60.828708000000006</v>
      </c>
      <c r="GZ46" s="646">
        <v>196.11077133219135</v>
      </c>
      <c r="HA46" s="646">
        <v>0</v>
      </c>
      <c r="HB46" s="646">
        <v>0</v>
      </c>
      <c r="HC46" s="646">
        <v>79.977699339327131</v>
      </c>
      <c r="HD46" s="646">
        <v>30.126977311664625</v>
      </c>
      <c r="HE46" s="646">
        <v>2750</v>
      </c>
      <c r="HF46" s="563" t="s">
        <v>1587</v>
      </c>
      <c r="HG46" s="563">
        <v>8</v>
      </c>
      <c r="HH46" s="563">
        <v>0</v>
      </c>
      <c r="HI46" s="563">
        <v>0</v>
      </c>
      <c r="HJ46" s="563">
        <v>0</v>
      </c>
      <c r="HK46" s="650">
        <v>3584.5209552976794</v>
      </c>
      <c r="HL46" s="563">
        <v>0</v>
      </c>
      <c r="HM46" s="563">
        <v>0</v>
      </c>
      <c r="HN46" s="563">
        <v>0</v>
      </c>
      <c r="HO46" s="650">
        <v>4274.4887816202372</v>
      </c>
      <c r="HP46" s="564">
        <v>3584.5209552976794</v>
      </c>
      <c r="HQ46" s="565">
        <v>210.20728772963466</v>
      </c>
      <c r="HR46" s="649">
        <v>45.621531000000004</v>
      </c>
      <c r="HS46" s="646">
        <v>184.2189005864918</v>
      </c>
      <c r="HT46" s="646">
        <v>3.3153062543004395</v>
      </c>
      <c r="HU46" s="646">
        <v>0</v>
      </c>
      <c r="HV46" s="646">
        <v>77.684630567872446</v>
      </c>
      <c r="HW46" s="646">
        <v>27.402234693181821</v>
      </c>
      <c r="HX46" s="646">
        <v>2200</v>
      </c>
      <c r="HY46" s="563" t="s">
        <v>68</v>
      </c>
      <c r="HZ46" s="563">
        <v>6</v>
      </c>
      <c r="IA46" s="563">
        <v>1</v>
      </c>
      <c r="IB46" s="563">
        <v>8</v>
      </c>
      <c r="IC46" s="563">
        <v>57.421368113005435</v>
      </c>
      <c r="ID46" s="650">
        <v>5368.0924426348802</v>
      </c>
      <c r="IE46" s="563">
        <v>0</v>
      </c>
      <c r="IF46" s="563">
        <v>0</v>
      </c>
      <c r="IG46" s="563">
        <v>0</v>
      </c>
      <c r="IH46" s="650">
        <v>2647.750839442951</v>
      </c>
      <c r="II46" s="564">
        <v>2647.750839442951</v>
      </c>
      <c r="IJ46" s="565">
        <v>155.27221893363009</v>
      </c>
      <c r="IK46" s="649">
        <v>30.414354000000003</v>
      </c>
      <c r="IL46" s="646">
        <v>173.83279809212513</v>
      </c>
      <c r="IM46" s="646">
        <v>2.4864796907253295</v>
      </c>
      <c r="IN46" s="646">
        <v>5.6499010692084459</v>
      </c>
      <c r="IO46" s="646">
        <v>74.238930456130049</v>
      </c>
      <c r="IP46" s="646">
        <v>25.770103896178156</v>
      </c>
      <c r="IQ46" s="646">
        <v>2750</v>
      </c>
      <c r="IR46" s="563" t="s">
        <v>68</v>
      </c>
      <c r="IS46" s="563">
        <v>4</v>
      </c>
      <c r="IT46" s="563">
        <v>1</v>
      </c>
      <c r="IU46" s="563">
        <v>6</v>
      </c>
      <c r="IV46" s="563">
        <v>57.421368113005435</v>
      </c>
      <c r="IW46" s="650">
        <v>3952.5564078725597</v>
      </c>
      <c r="IX46" s="563">
        <v>1</v>
      </c>
      <c r="IY46" s="563">
        <v>6</v>
      </c>
      <c r="IZ46" s="563">
        <v>70.396267932356565</v>
      </c>
      <c r="JA46" s="650">
        <v>3719.5286758483408</v>
      </c>
      <c r="JB46" s="564">
        <v>3719.5286758483408</v>
      </c>
      <c r="JC46" s="565">
        <v>218.12455397341873</v>
      </c>
      <c r="JD46" s="649">
        <v>30.414354000000003</v>
      </c>
      <c r="JE46" s="646">
        <v>165.69641733219134</v>
      </c>
      <c r="JF46" s="646">
        <v>0</v>
      </c>
      <c r="JG46" s="646">
        <v>0</v>
      </c>
      <c r="JH46" s="646">
        <v>73.457414564417618</v>
      </c>
      <c r="JI46" s="646">
        <v>23.924745379391624</v>
      </c>
      <c r="JJ46" s="646">
        <v>2200</v>
      </c>
      <c r="JK46" s="563" t="s">
        <v>67</v>
      </c>
      <c r="JL46" s="563">
        <v>4</v>
      </c>
      <c r="JM46" s="563">
        <v>0</v>
      </c>
      <c r="JN46" s="563">
        <v>0</v>
      </c>
      <c r="JO46" s="563">
        <v>0</v>
      </c>
      <c r="JP46" s="650">
        <v>2502.1911510053201</v>
      </c>
      <c r="JQ46" s="563">
        <v>0</v>
      </c>
      <c r="JR46" s="563">
        <v>0</v>
      </c>
      <c r="JS46" s="563">
        <v>0</v>
      </c>
      <c r="JT46" s="650">
        <v>2698.6144619472921</v>
      </c>
      <c r="JU46" s="564">
        <v>2502.1911510053201</v>
      </c>
      <c r="JV46" s="565">
        <v>146.73615297367979</v>
      </c>
      <c r="JW46" s="649">
        <v>45.621531000000004</v>
      </c>
      <c r="JX46" s="646">
        <v>180.90359433219135</v>
      </c>
      <c r="JY46" s="646">
        <v>0</v>
      </c>
      <c r="JZ46" s="646">
        <v>0</v>
      </c>
      <c r="KA46" s="646">
        <v>76.991612105470864</v>
      </c>
      <c r="KB46" s="646">
        <v>27.025861345528121</v>
      </c>
      <c r="KC46" s="646">
        <v>2750</v>
      </c>
      <c r="KD46" s="563" t="s">
        <v>67</v>
      </c>
      <c r="KE46" s="563">
        <v>6</v>
      </c>
      <c r="KF46" s="563">
        <v>0</v>
      </c>
      <c r="KG46" s="563">
        <v>0</v>
      </c>
      <c r="KH46" s="563">
        <v>0</v>
      </c>
      <c r="KI46" s="650">
        <v>3261.2594906146387</v>
      </c>
      <c r="KJ46" s="563">
        <v>0</v>
      </c>
      <c r="KK46" s="563">
        <v>0</v>
      </c>
      <c r="KL46" s="563">
        <v>0</v>
      </c>
      <c r="KM46" s="650">
        <v>3608.2761733275102</v>
      </c>
      <c r="KN46" s="564">
        <v>3261.2594906146387</v>
      </c>
      <c r="KO46" s="566">
        <v>191.25024533374554</v>
      </c>
    </row>
    <row r="47" spans="1:301" ht="15" customHeight="1">
      <c r="A47" s="663" t="s">
        <v>824</v>
      </c>
      <c r="B47" s="629" t="s">
        <v>389</v>
      </c>
      <c r="C47" s="629">
        <v>716</v>
      </c>
      <c r="D47" s="629">
        <v>1120</v>
      </c>
      <c r="E47" s="629">
        <v>700</v>
      </c>
      <c r="F47" s="629">
        <v>700</v>
      </c>
      <c r="G47" s="629">
        <v>410</v>
      </c>
      <c r="H47" s="629">
        <v>289</v>
      </c>
      <c r="I47" s="629">
        <v>216</v>
      </c>
      <c r="J47" s="629">
        <v>17.68</v>
      </c>
      <c r="K47" s="629">
        <v>29.78</v>
      </c>
      <c r="L47" s="629">
        <v>8</v>
      </c>
      <c r="M47" s="629">
        <v>452</v>
      </c>
      <c r="N47" s="629">
        <v>6</v>
      </c>
      <c r="O47" s="623">
        <v>28.276878572357546</v>
      </c>
      <c r="P47" s="629">
        <v>6</v>
      </c>
      <c r="Q47" s="623">
        <v>19.326424342611332</v>
      </c>
      <c r="R47" s="629">
        <v>18.000000000000004</v>
      </c>
      <c r="S47" s="629">
        <v>855.54358465062205</v>
      </c>
      <c r="T47" s="645">
        <v>81.229975328387781</v>
      </c>
      <c r="U47" s="645">
        <v>128.33153769759329</v>
      </c>
      <c r="V47" s="645">
        <v>172.5</v>
      </c>
      <c r="W47" s="793">
        <v>13.136410072637707</v>
      </c>
      <c r="X47" s="646">
        <v>0</v>
      </c>
      <c r="Y47" s="646">
        <v>0</v>
      </c>
      <c r="Z47" s="646">
        <v>0</v>
      </c>
      <c r="AA47" s="646">
        <v>0</v>
      </c>
      <c r="AB47" s="647">
        <v>30.984336609802622</v>
      </c>
      <c r="AC47" s="784">
        <v>3561.4572273031672</v>
      </c>
      <c r="AD47" s="631">
        <v>0.46077025438514929</v>
      </c>
      <c r="AE47" s="631">
        <v>0.3187561337218649</v>
      </c>
      <c r="AF47" s="631">
        <v>-0.66114193503374841</v>
      </c>
      <c r="AG47" s="631">
        <v>1.0863752597290313</v>
      </c>
      <c r="AH47" s="629"/>
      <c r="AI47" s="648">
        <v>4.9616156629536725</v>
      </c>
      <c r="AJ47" s="649">
        <v>43.004184000000009</v>
      </c>
      <c r="AK47" s="646">
        <v>184.97387231599438</v>
      </c>
      <c r="AL47" s="646">
        <v>0</v>
      </c>
      <c r="AM47" s="646">
        <v>0</v>
      </c>
      <c r="AN47" s="646">
        <v>88.164813284008417</v>
      </c>
      <c r="AO47" s="646">
        <v>27.895349623365973</v>
      </c>
      <c r="AP47" s="801">
        <v>1850</v>
      </c>
      <c r="AQ47" s="563" t="s">
        <v>67</v>
      </c>
      <c r="AR47" s="563">
        <v>6</v>
      </c>
      <c r="AS47" s="563">
        <v>0</v>
      </c>
      <c r="AT47" s="563">
        <v>0</v>
      </c>
      <c r="AU47" s="563">
        <v>0</v>
      </c>
      <c r="AV47" s="650">
        <v>2161.6461699785264</v>
      </c>
      <c r="AW47" s="563">
        <v>0</v>
      </c>
      <c r="AX47" s="563">
        <v>0</v>
      </c>
      <c r="AY47" s="563">
        <v>0</v>
      </c>
      <c r="AZ47" s="650">
        <v>2263.1765908496245</v>
      </c>
      <c r="BA47" s="564">
        <v>2161.6461699785264</v>
      </c>
      <c r="BB47" s="565">
        <v>126.76555224228098</v>
      </c>
      <c r="BC47" s="649">
        <v>35.836820000000003</v>
      </c>
      <c r="BD47" s="646">
        <v>187.72996522083145</v>
      </c>
      <c r="BE47" s="646">
        <v>2.7915957540513308</v>
      </c>
      <c r="BF47" s="646">
        <v>7.1318611507857019</v>
      </c>
      <c r="BG47" s="646">
        <v>87.60524399266221</v>
      </c>
      <c r="BH47" s="646">
        <v>28.699589473955513</v>
      </c>
      <c r="BI47" s="646">
        <v>2312.5</v>
      </c>
      <c r="BJ47" s="563" t="s">
        <v>71</v>
      </c>
      <c r="BK47" s="563">
        <v>5</v>
      </c>
      <c r="BL47" s="563">
        <v>1</v>
      </c>
      <c r="BM47" s="563">
        <v>8</v>
      </c>
      <c r="BN47" s="563">
        <v>40.679520605982091</v>
      </c>
      <c r="BO47" s="650">
        <v>2583.4442700059985</v>
      </c>
      <c r="BP47" s="563">
        <v>1</v>
      </c>
      <c r="BQ47" s="563">
        <v>8</v>
      </c>
      <c r="BR47" s="563">
        <v>66.527184114435599</v>
      </c>
      <c r="BS47" s="650">
        <v>2746.1502022002278</v>
      </c>
      <c r="BT47" s="564">
        <v>2583.4442700059985</v>
      </c>
      <c r="BU47" s="565">
        <v>151.50108473937718</v>
      </c>
      <c r="BV47" s="649">
        <v>28.669456000000004</v>
      </c>
      <c r="BW47" s="646">
        <v>178.08173699462213</v>
      </c>
      <c r="BX47" s="646">
        <v>2.0936968155384981</v>
      </c>
      <c r="BY47" s="646">
        <v>5.3488958630892762</v>
      </c>
      <c r="BZ47" s="646">
        <v>84.888203121441535</v>
      </c>
      <c r="CA47" s="646">
        <v>26.519602392498129</v>
      </c>
      <c r="CB47" s="646">
        <v>1850</v>
      </c>
      <c r="CC47" s="563" t="s">
        <v>1584</v>
      </c>
      <c r="CD47" s="563">
        <v>4</v>
      </c>
      <c r="CE47" s="563">
        <v>1</v>
      </c>
      <c r="CF47" s="563">
        <v>6</v>
      </c>
      <c r="CG47" s="563">
        <v>40.679520605982091</v>
      </c>
      <c r="CH47" s="650">
        <v>2164.0967629647362</v>
      </c>
      <c r="CI47" s="563">
        <v>1</v>
      </c>
      <c r="CJ47" s="563">
        <v>6</v>
      </c>
      <c r="CK47" s="563">
        <v>66.527184114435599</v>
      </c>
      <c r="CL47" s="650">
        <v>2270.497621206961</v>
      </c>
      <c r="CM47" s="564">
        <v>2164.0967629647362</v>
      </c>
      <c r="CN47" s="565">
        <v>126.90926252083273</v>
      </c>
      <c r="CO47" s="649">
        <v>43.004184000000009</v>
      </c>
      <c r="CP47" s="646">
        <v>194.89732922083144</v>
      </c>
      <c r="CQ47" s="646">
        <v>2.7915957540513308</v>
      </c>
      <c r="CR47" s="646">
        <v>7.1318611507857019</v>
      </c>
      <c r="CS47" s="646">
        <v>89.697552941307322</v>
      </c>
      <c r="CT47" s="646">
        <v>30.282731169003519</v>
      </c>
      <c r="CU47" s="646">
        <v>2312.5</v>
      </c>
      <c r="CV47" s="563" t="s">
        <v>1584</v>
      </c>
      <c r="CW47" s="563">
        <v>6</v>
      </c>
      <c r="CX47" s="563">
        <v>1</v>
      </c>
      <c r="CY47" s="563">
        <v>8</v>
      </c>
      <c r="CZ47" s="563">
        <v>40.679520605982091</v>
      </c>
      <c r="DA47" s="650">
        <v>2961.9478932382517</v>
      </c>
      <c r="DB47" s="563">
        <v>1</v>
      </c>
      <c r="DC47" s="563">
        <v>8</v>
      </c>
      <c r="DD47" s="563">
        <v>66.527184114435599</v>
      </c>
      <c r="DE47" s="650">
        <v>2954.7486555244191</v>
      </c>
      <c r="DF47" s="564">
        <v>2954.7486555244191</v>
      </c>
      <c r="DG47" s="565">
        <v>173.27551116213024</v>
      </c>
      <c r="DH47" s="649">
        <v>28.669456000000004</v>
      </c>
      <c r="DI47" s="646">
        <v>178.08173699462213</v>
      </c>
      <c r="DJ47" s="646">
        <v>2.0936968155384981</v>
      </c>
      <c r="DK47" s="646">
        <v>5.3488958630892762</v>
      </c>
      <c r="DL47" s="646">
        <v>84.888203121441535</v>
      </c>
      <c r="DM47" s="646">
        <v>26.519602392498129</v>
      </c>
      <c r="DN47" s="646">
        <v>1850</v>
      </c>
      <c r="DO47" s="563" t="s">
        <v>1588</v>
      </c>
      <c r="DP47" s="563">
        <v>4</v>
      </c>
      <c r="DQ47" s="563">
        <v>1</v>
      </c>
      <c r="DR47" s="563">
        <v>6</v>
      </c>
      <c r="DS47" s="563">
        <v>40.679520605982091</v>
      </c>
      <c r="DT47" s="650">
        <v>2252.4633255092049</v>
      </c>
      <c r="DU47" s="563">
        <v>1</v>
      </c>
      <c r="DV47" s="563">
        <v>6</v>
      </c>
      <c r="DW47" s="563">
        <v>66.527184114435599</v>
      </c>
      <c r="DX47" s="650">
        <v>2363.208849967632</v>
      </c>
      <c r="DY47" s="564">
        <v>2252.4633255092049</v>
      </c>
      <c r="DZ47" s="565">
        <v>132.09134840346954</v>
      </c>
      <c r="EA47" s="649">
        <v>35.836820000000003</v>
      </c>
      <c r="EB47" s="646">
        <v>187.72996522083145</v>
      </c>
      <c r="EC47" s="646">
        <v>2.7915957540513308</v>
      </c>
      <c r="ED47" s="646">
        <v>7.1318611507857019</v>
      </c>
      <c r="EE47" s="646">
        <v>87.60524399266221</v>
      </c>
      <c r="EF47" s="646">
        <v>28.699589473955513</v>
      </c>
      <c r="EG47" s="646">
        <v>2312.5</v>
      </c>
      <c r="EH47" s="563" t="s">
        <v>1588</v>
      </c>
      <c r="EI47" s="563">
        <v>5</v>
      </c>
      <c r="EJ47" s="563">
        <v>1</v>
      </c>
      <c r="EK47" s="563">
        <v>8</v>
      </c>
      <c r="EL47" s="563">
        <v>40.679520605982091</v>
      </c>
      <c r="EM47" s="650">
        <v>2634.6065490080109</v>
      </c>
      <c r="EN47" s="563">
        <v>1</v>
      </c>
      <c r="EO47" s="563">
        <v>8</v>
      </c>
      <c r="EP47" s="563">
        <v>66.527184114435599</v>
      </c>
      <c r="EQ47" s="650">
        <v>2800.5346936551464</v>
      </c>
      <c r="ER47" s="564">
        <v>2634.6065490080109</v>
      </c>
      <c r="ES47" s="565">
        <v>154.50139748331168</v>
      </c>
      <c r="ET47" s="649">
        <v>57.338912000000008</v>
      </c>
      <c r="EU47" s="646">
        <v>199.3086003159944</v>
      </c>
      <c r="EV47" s="646">
        <v>0</v>
      </c>
      <c r="EW47" s="646">
        <v>0</v>
      </c>
      <c r="EX47" s="646">
        <v>92.2165680859719</v>
      </c>
      <c r="EY47" s="646">
        <v>31.061633013461972</v>
      </c>
      <c r="EZ47" s="646">
        <v>1850</v>
      </c>
      <c r="FA47" s="563" t="s">
        <v>1587</v>
      </c>
      <c r="FB47" s="563">
        <v>8</v>
      </c>
      <c r="FC47" s="563">
        <v>0</v>
      </c>
      <c r="FD47" s="563">
        <v>0</v>
      </c>
      <c r="FE47" s="563">
        <v>0</v>
      </c>
      <c r="FF47" s="650">
        <v>2290.4358408137009</v>
      </c>
      <c r="FG47" s="563">
        <v>0</v>
      </c>
      <c r="FH47" s="563">
        <v>0</v>
      </c>
      <c r="FI47" s="563">
        <v>0</v>
      </c>
      <c r="FJ47" s="650">
        <v>2472.9336261242811</v>
      </c>
      <c r="FK47" s="564">
        <v>2290.4358408137009</v>
      </c>
      <c r="FL47" s="565">
        <v>134.31817300568957</v>
      </c>
      <c r="FM47" s="649">
        <v>35.836820000000003</v>
      </c>
      <c r="FN47" s="646">
        <v>187.72996522083145</v>
      </c>
      <c r="FO47" s="646">
        <v>2.7915957540513308</v>
      </c>
      <c r="FP47" s="646">
        <v>7.1318611507857019</v>
      </c>
      <c r="FQ47" s="646">
        <v>87.60524399266221</v>
      </c>
      <c r="FR47" s="646">
        <v>28.699589473955513</v>
      </c>
      <c r="FS47" s="646">
        <v>2312.5</v>
      </c>
      <c r="FT47" s="563" t="s">
        <v>1589</v>
      </c>
      <c r="FU47" s="563">
        <v>5</v>
      </c>
      <c r="FV47" s="563">
        <v>1</v>
      </c>
      <c r="FW47" s="563">
        <v>8</v>
      </c>
      <c r="FX47" s="563">
        <v>40.679520605982091</v>
      </c>
      <c r="FY47" s="650">
        <v>2806.3388016324138</v>
      </c>
      <c r="FZ47" s="563">
        <v>1</v>
      </c>
      <c r="GA47" s="563">
        <v>8</v>
      </c>
      <c r="GB47" s="563">
        <v>66.527184114435599</v>
      </c>
      <c r="GC47" s="650">
        <v>2983.0826842366164</v>
      </c>
      <c r="GD47" s="564">
        <v>2806.3388016324138</v>
      </c>
      <c r="GE47" s="565">
        <v>164.57230277025766</v>
      </c>
      <c r="GF47" s="649">
        <v>57.338912000000008</v>
      </c>
      <c r="GG47" s="646">
        <v>199.3086003159944</v>
      </c>
      <c r="GH47" s="646">
        <v>0</v>
      </c>
      <c r="GI47" s="646">
        <v>0</v>
      </c>
      <c r="GJ47" s="646">
        <v>92.2165680859719</v>
      </c>
      <c r="GK47" s="646">
        <v>31.061633013461972</v>
      </c>
      <c r="GL47" s="646">
        <v>1850</v>
      </c>
      <c r="GM47" s="563" t="s">
        <v>1587</v>
      </c>
      <c r="GN47" s="563">
        <v>8</v>
      </c>
      <c r="GO47" s="563">
        <v>0</v>
      </c>
      <c r="GP47" s="563">
        <v>0</v>
      </c>
      <c r="GQ47" s="563">
        <v>0</v>
      </c>
      <c r="GR47" s="650">
        <v>2290.4358408137009</v>
      </c>
      <c r="GS47" s="563">
        <v>0</v>
      </c>
      <c r="GT47" s="563">
        <v>0</v>
      </c>
      <c r="GU47" s="563">
        <v>0</v>
      </c>
      <c r="GV47" s="650">
        <v>2472.9336261242811</v>
      </c>
      <c r="GW47" s="564">
        <v>2290.4358408137009</v>
      </c>
      <c r="GX47" s="565">
        <v>134.31817300568957</v>
      </c>
      <c r="GY47" s="649">
        <v>28.669456000000004</v>
      </c>
      <c r="GZ47" s="646">
        <v>178.08173699462213</v>
      </c>
      <c r="HA47" s="646">
        <v>2.0936968155384981</v>
      </c>
      <c r="HB47" s="646">
        <v>5.3488958630892762</v>
      </c>
      <c r="HC47" s="646">
        <v>84.888203121441535</v>
      </c>
      <c r="HD47" s="646">
        <v>26.519602392498129</v>
      </c>
      <c r="HE47" s="646">
        <v>2312.5</v>
      </c>
      <c r="HF47" s="563" t="s">
        <v>1587</v>
      </c>
      <c r="HG47" s="563">
        <v>4</v>
      </c>
      <c r="HH47" s="563">
        <v>1</v>
      </c>
      <c r="HI47" s="563">
        <v>6</v>
      </c>
      <c r="HJ47" s="563">
        <v>40.679520605982091</v>
      </c>
      <c r="HK47" s="650">
        <v>2963.3115342492415</v>
      </c>
      <c r="HL47" s="563">
        <v>1</v>
      </c>
      <c r="HM47" s="563">
        <v>6</v>
      </c>
      <c r="HN47" s="563">
        <v>66.527184114435599</v>
      </c>
      <c r="HO47" s="650">
        <v>3109.0069097421815</v>
      </c>
      <c r="HP47" s="564">
        <v>2963.3115342492415</v>
      </c>
      <c r="HQ47" s="565">
        <v>173.77766459751257</v>
      </c>
      <c r="HR47" s="649">
        <v>28.669456000000004</v>
      </c>
      <c r="HS47" s="646">
        <v>178.08173699462213</v>
      </c>
      <c r="HT47" s="646">
        <v>2.0936968155384981</v>
      </c>
      <c r="HU47" s="646">
        <v>5.3488958630892762</v>
      </c>
      <c r="HV47" s="646">
        <v>84.888203121441535</v>
      </c>
      <c r="HW47" s="646">
        <v>26.519602392498129</v>
      </c>
      <c r="HX47" s="646">
        <v>1850</v>
      </c>
      <c r="HY47" s="563" t="s">
        <v>68</v>
      </c>
      <c r="HZ47" s="563">
        <v>4</v>
      </c>
      <c r="IA47" s="563">
        <v>1</v>
      </c>
      <c r="IB47" s="563">
        <v>6</v>
      </c>
      <c r="IC47" s="563">
        <v>40.679520605982091</v>
      </c>
      <c r="ID47" s="650">
        <v>2613.3951256109181</v>
      </c>
      <c r="IE47" s="563">
        <v>1</v>
      </c>
      <c r="IF47" s="563">
        <v>6</v>
      </c>
      <c r="IG47" s="563">
        <v>66.527184114435599</v>
      </c>
      <c r="IH47" s="650">
        <v>2741.8863691864153</v>
      </c>
      <c r="II47" s="564">
        <v>2613.3951256109181</v>
      </c>
      <c r="IJ47" s="565">
        <v>153.25749464753719</v>
      </c>
      <c r="IK47" s="649">
        <v>28.669456000000004</v>
      </c>
      <c r="IL47" s="646">
        <v>178.08173699462213</v>
      </c>
      <c r="IM47" s="646">
        <v>2.0936968155384981</v>
      </c>
      <c r="IN47" s="646">
        <v>5.3488958630892762</v>
      </c>
      <c r="IO47" s="646">
        <v>84.888203121441535</v>
      </c>
      <c r="IP47" s="646">
        <v>26.519602392498129</v>
      </c>
      <c r="IQ47" s="646">
        <v>2312.5</v>
      </c>
      <c r="IR47" s="563" t="s">
        <v>68</v>
      </c>
      <c r="IS47" s="563">
        <v>4</v>
      </c>
      <c r="IT47" s="563">
        <v>1</v>
      </c>
      <c r="IU47" s="563">
        <v>6</v>
      </c>
      <c r="IV47" s="563">
        <v>40.679520605982091</v>
      </c>
      <c r="IW47" s="650">
        <v>2613.3951256109181</v>
      </c>
      <c r="IX47" s="563">
        <v>1</v>
      </c>
      <c r="IY47" s="563">
        <v>6</v>
      </c>
      <c r="IZ47" s="563">
        <v>66.527184114435599</v>
      </c>
      <c r="JA47" s="650">
        <v>2741.8863691864153</v>
      </c>
      <c r="JB47" s="564">
        <v>2613.3951256109181</v>
      </c>
      <c r="JC47" s="565">
        <v>153.25749464753719</v>
      </c>
      <c r="JD47" s="649">
        <v>43.004184000000009</v>
      </c>
      <c r="JE47" s="646">
        <v>184.97387231599438</v>
      </c>
      <c r="JF47" s="646">
        <v>0</v>
      </c>
      <c r="JG47" s="646">
        <v>0</v>
      </c>
      <c r="JH47" s="646">
        <v>88.164813284008417</v>
      </c>
      <c r="JI47" s="646">
        <v>27.895349623365973</v>
      </c>
      <c r="JJ47" s="646">
        <v>1850</v>
      </c>
      <c r="JK47" s="563" t="s">
        <v>67</v>
      </c>
      <c r="JL47" s="563">
        <v>6</v>
      </c>
      <c r="JM47" s="563">
        <v>0</v>
      </c>
      <c r="JN47" s="563">
        <v>0</v>
      </c>
      <c r="JO47" s="563">
        <v>0</v>
      </c>
      <c r="JP47" s="650">
        <v>2161.6461699785264</v>
      </c>
      <c r="JQ47" s="563">
        <v>0</v>
      </c>
      <c r="JR47" s="563">
        <v>0</v>
      </c>
      <c r="JS47" s="563">
        <v>0</v>
      </c>
      <c r="JT47" s="650">
        <v>2263.1765908496245</v>
      </c>
      <c r="JU47" s="564">
        <v>2161.6461699785264</v>
      </c>
      <c r="JV47" s="565">
        <v>126.76555224228098</v>
      </c>
      <c r="JW47" s="649">
        <v>28.669456000000004</v>
      </c>
      <c r="JX47" s="646">
        <v>178.08173699462213</v>
      </c>
      <c r="JY47" s="646">
        <v>2.0936968155384981</v>
      </c>
      <c r="JZ47" s="646">
        <v>5.3488958630892762</v>
      </c>
      <c r="KA47" s="646">
        <v>84.888203121441535</v>
      </c>
      <c r="KB47" s="646">
        <v>26.519602392498129</v>
      </c>
      <c r="KC47" s="646">
        <v>2312.5</v>
      </c>
      <c r="KD47" s="563" t="s">
        <v>67</v>
      </c>
      <c r="KE47" s="563">
        <v>4</v>
      </c>
      <c r="KF47" s="563">
        <v>1</v>
      </c>
      <c r="KG47" s="563">
        <v>6</v>
      </c>
      <c r="KH47" s="563">
        <v>40.679520605982091</v>
      </c>
      <c r="KI47" s="650">
        <v>3561.4572273031672</v>
      </c>
      <c r="KJ47" s="563">
        <v>1</v>
      </c>
      <c r="KK47" s="563">
        <v>6</v>
      </c>
      <c r="KL47" s="563">
        <v>66.527184114435599</v>
      </c>
      <c r="KM47" s="650">
        <v>3736.5612762824253</v>
      </c>
      <c r="KN47" s="564">
        <v>3561.4572273031672</v>
      </c>
      <c r="KO47" s="566">
        <v>208.85476007890486</v>
      </c>
    </row>
    <row r="48" spans="1:301" ht="15" customHeight="1">
      <c r="A48" s="663" t="s">
        <v>825</v>
      </c>
      <c r="B48" s="629" t="s">
        <v>386</v>
      </c>
      <c r="C48" s="629">
        <v>437.5</v>
      </c>
      <c r="D48" s="629">
        <v>1235</v>
      </c>
      <c r="E48" s="629">
        <v>450</v>
      </c>
      <c r="F48" s="629">
        <v>356.56893224857646</v>
      </c>
      <c r="G48" s="629">
        <v>177.37828741071482</v>
      </c>
      <c r="H48" s="629">
        <v>143.31673586817988</v>
      </c>
      <c r="I48" s="629">
        <v>103</v>
      </c>
      <c r="J48" s="629">
        <v>38</v>
      </c>
      <c r="K48" s="629">
        <v>41</v>
      </c>
      <c r="L48" s="629">
        <v>10</v>
      </c>
      <c r="M48" s="629">
        <v>628.53243981884384</v>
      </c>
      <c r="N48" s="629">
        <v>6</v>
      </c>
      <c r="O48" s="623">
        <v>48.93057850552281</v>
      </c>
      <c r="P48" s="629">
        <v>6</v>
      </c>
      <c r="Q48" s="623">
        <v>32.995317578220636</v>
      </c>
      <c r="R48" s="629">
        <v>18.000000000000004</v>
      </c>
      <c r="S48" s="629">
        <v>795.78446612428831</v>
      </c>
      <c r="T48" s="645">
        <v>70.278576780738575</v>
      </c>
      <c r="U48" s="645">
        <v>119.36766991864324</v>
      </c>
      <c r="V48" s="645">
        <v>85</v>
      </c>
      <c r="W48" s="793">
        <v>5.6003240872151032</v>
      </c>
      <c r="X48" s="646">
        <v>0</v>
      </c>
      <c r="Y48" s="646">
        <v>0</v>
      </c>
      <c r="Z48" s="646">
        <v>0</v>
      </c>
      <c r="AA48" s="646">
        <v>0</v>
      </c>
      <c r="AB48" s="647">
        <v>30.465771643279833</v>
      </c>
      <c r="AC48" s="784">
        <v>4000</v>
      </c>
      <c r="AD48" s="631">
        <v>8.123006012348466E-2</v>
      </c>
      <c r="AE48" s="631">
        <v>0.78128562650671729</v>
      </c>
      <c r="AF48" s="631">
        <v>-0.2629170849294889</v>
      </c>
      <c r="AG48" s="631">
        <v>1.2753840584831029</v>
      </c>
      <c r="AH48" s="629"/>
      <c r="AI48" s="648">
        <v>6.0391560102803155</v>
      </c>
      <c r="AJ48" s="649">
        <v>36.459652885890321</v>
      </c>
      <c r="AK48" s="646">
        <v>194.26444983758745</v>
      </c>
      <c r="AL48" s="646">
        <v>0</v>
      </c>
      <c r="AM48" s="646">
        <v>0</v>
      </c>
      <c r="AN48" s="646">
        <v>54.537600385068529</v>
      </c>
      <c r="AO48" s="646">
        <v>32.856525848916469</v>
      </c>
      <c r="AP48" s="801">
        <v>2800</v>
      </c>
      <c r="AQ48" s="563" t="s">
        <v>71</v>
      </c>
      <c r="AR48" s="563">
        <v>6</v>
      </c>
      <c r="AS48" s="563">
        <v>0</v>
      </c>
      <c r="AT48" s="563">
        <v>0</v>
      </c>
      <c r="AU48" s="563">
        <v>0</v>
      </c>
      <c r="AV48" s="650">
        <v>3826.8516235579641</v>
      </c>
      <c r="AW48" s="563">
        <v>0</v>
      </c>
      <c r="AX48" s="563">
        <v>0</v>
      </c>
      <c r="AY48" s="563">
        <v>0</v>
      </c>
      <c r="AZ48" s="650">
        <v>3581.5672918856812</v>
      </c>
      <c r="BA48" s="564">
        <v>3581.5672918856812</v>
      </c>
      <c r="BB48" s="565">
        <v>231.60007472115086</v>
      </c>
      <c r="BC48" s="649">
        <v>48.612870514520424</v>
      </c>
      <c r="BD48" s="646">
        <v>206.41766746621755</v>
      </c>
      <c r="BE48" s="646">
        <v>0</v>
      </c>
      <c r="BF48" s="646">
        <v>0</v>
      </c>
      <c r="BG48" s="646">
        <v>55.545616881653054</v>
      </c>
      <c r="BH48" s="646">
        <v>35.464349995086138</v>
      </c>
      <c r="BI48" s="646">
        <v>3500</v>
      </c>
      <c r="BJ48" s="563" t="s">
        <v>71</v>
      </c>
      <c r="BK48" s="563">
        <v>8</v>
      </c>
      <c r="BL48" s="563">
        <v>0</v>
      </c>
      <c r="BM48" s="563">
        <v>0</v>
      </c>
      <c r="BN48" s="563">
        <v>0</v>
      </c>
      <c r="BO48" s="650">
        <v>5670.7094116530552</v>
      </c>
      <c r="BP48" s="563">
        <v>0</v>
      </c>
      <c r="BQ48" s="563">
        <v>0</v>
      </c>
      <c r="BR48" s="563">
        <v>0</v>
      </c>
      <c r="BS48" s="650">
        <v>7096.4383755318822</v>
      </c>
      <c r="BT48" s="564">
        <v>4000</v>
      </c>
      <c r="BU48" s="565">
        <v>258.65779514555965</v>
      </c>
      <c r="BV48" s="649">
        <v>36.459652885890321</v>
      </c>
      <c r="BW48" s="646">
        <v>194.26444983758745</v>
      </c>
      <c r="BX48" s="646">
        <v>0</v>
      </c>
      <c r="BY48" s="646">
        <v>0</v>
      </c>
      <c r="BZ48" s="646">
        <v>54.537600385068529</v>
      </c>
      <c r="CA48" s="646">
        <v>32.856525848916469</v>
      </c>
      <c r="CB48" s="646">
        <v>2800</v>
      </c>
      <c r="CC48" s="563" t="s">
        <v>1584</v>
      </c>
      <c r="CD48" s="563">
        <v>6</v>
      </c>
      <c r="CE48" s="563">
        <v>0</v>
      </c>
      <c r="CF48" s="563">
        <v>0</v>
      </c>
      <c r="CG48" s="563">
        <v>0</v>
      </c>
      <c r="CH48" s="650">
        <v>3749.5335196233541</v>
      </c>
      <c r="CI48" s="563">
        <v>0</v>
      </c>
      <c r="CJ48" s="563">
        <v>0</v>
      </c>
      <c r="CK48" s="563">
        <v>0</v>
      </c>
      <c r="CL48" s="650">
        <v>3509.2049378246807</v>
      </c>
      <c r="CM48" s="564">
        <v>3509.2049378246807</v>
      </c>
      <c r="CN48" s="565">
        <v>226.92080298291066</v>
      </c>
      <c r="CO48" s="649">
        <v>48.612870514520424</v>
      </c>
      <c r="CP48" s="646">
        <v>206.41766746621755</v>
      </c>
      <c r="CQ48" s="646">
        <v>0</v>
      </c>
      <c r="CR48" s="646">
        <v>0</v>
      </c>
      <c r="CS48" s="646">
        <v>55.545616881653054</v>
      </c>
      <c r="CT48" s="646">
        <v>35.464349995086138</v>
      </c>
      <c r="CU48" s="646">
        <v>3500</v>
      </c>
      <c r="CV48" s="563" t="s">
        <v>1584</v>
      </c>
      <c r="CW48" s="563">
        <v>8</v>
      </c>
      <c r="CX48" s="563">
        <v>0</v>
      </c>
      <c r="CY48" s="563">
        <v>0</v>
      </c>
      <c r="CZ48" s="563">
        <v>0</v>
      </c>
      <c r="DA48" s="650">
        <v>5556.1378152592752</v>
      </c>
      <c r="DB48" s="563">
        <v>0</v>
      </c>
      <c r="DC48" s="563">
        <v>0</v>
      </c>
      <c r="DD48" s="563">
        <v>0</v>
      </c>
      <c r="DE48" s="650">
        <v>6953.0612044633053</v>
      </c>
      <c r="DF48" s="564">
        <v>4000</v>
      </c>
      <c r="DG48" s="565">
        <v>258.65779514555965</v>
      </c>
      <c r="DH48" s="649">
        <v>36.459652885890321</v>
      </c>
      <c r="DI48" s="646">
        <v>194.26444983758745</v>
      </c>
      <c r="DJ48" s="646">
        <v>0</v>
      </c>
      <c r="DK48" s="646">
        <v>0</v>
      </c>
      <c r="DL48" s="646">
        <v>54.537600385068529</v>
      </c>
      <c r="DM48" s="646">
        <v>32.856525848916469</v>
      </c>
      <c r="DN48" s="646">
        <v>2800</v>
      </c>
      <c r="DO48" s="563" t="s">
        <v>1588</v>
      </c>
      <c r="DP48" s="563">
        <v>6</v>
      </c>
      <c r="DQ48" s="563">
        <v>0</v>
      </c>
      <c r="DR48" s="563">
        <v>0</v>
      </c>
      <c r="DS48" s="563">
        <v>0</v>
      </c>
      <c r="DT48" s="650">
        <v>3902.6382208292575</v>
      </c>
      <c r="DU48" s="563">
        <v>0</v>
      </c>
      <c r="DV48" s="563">
        <v>0</v>
      </c>
      <c r="DW48" s="563">
        <v>0</v>
      </c>
      <c r="DX48" s="650">
        <v>3652.4963021141516</v>
      </c>
      <c r="DY48" s="564">
        <v>3652.4963021141516</v>
      </c>
      <c r="DZ48" s="565">
        <v>236.18666007053909</v>
      </c>
      <c r="EA48" s="649">
        <v>36.459652885890321</v>
      </c>
      <c r="EB48" s="646">
        <v>194.26444983758745</v>
      </c>
      <c r="EC48" s="646">
        <v>0</v>
      </c>
      <c r="ED48" s="646">
        <v>0</v>
      </c>
      <c r="EE48" s="646">
        <v>54.537600385068529</v>
      </c>
      <c r="EF48" s="646">
        <v>32.856525848916469</v>
      </c>
      <c r="EG48" s="646">
        <v>3500</v>
      </c>
      <c r="EH48" s="563" t="s">
        <v>1588</v>
      </c>
      <c r="EI48" s="563">
        <v>6</v>
      </c>
      <c r="EJ48" s="563">
        <v>0</v>
      </c>
      <c r="EK48" s="563">
        <v>0</v>
      </c>
      <c r="EL48" s="563">
        <v>0</v>
      </c>
      <c r="EM48" s="650">
        <v>3902.6382208292575</v>
      </c>
      <c r="EN48" s="563">
        <v>0</v>
      </c>
      <c r="EO48" s="563">
        <v>0</v>
      </c>
      <c r="EP48" s="563">
        <v>0</v>
      </c>
      <c r="EQ48" s="650">
        <v>3652.4963021141516</v>
      </c>
      <c r="ER48" s="564">
        <v>3652.4963021141516</v>
      </c>
      <c r="ES48" s="565">
        <v>236.18666007053909</v>
      </c>
      <c r="ET48" s="649">
        <v>30.383044071575263</v>
      </c>
      <c r="EU48" s="646">
        <v>188.1878410232724</v>
      </c>
      <c r="EV48" s="646">
        <v>0</v>
      </c>
      <c r="EW48" s="646">
        <v>0</v>
      </c>
      <c r="EX48" s="646">
        <v>53.984768669530879</v>
      </c>
      <c r="EY48" s="646">
        <v>31.552613775831635</v>
      </c>
      <c r="EZ48" s="646">
        <v>2800</v>
      </c>
      <c r="FA48" s="563" t="s">
        <v>1589</v>
      </c>
      <c r="FB48" s="563">
        <v>5</v>
      </c>
      <c r="FC48" s="563">
        <v>0</v>
      </c>
      <c r="FD48" s="563">
        <v>0</v>
      </c>
      <c r="FE48" s="563">
        <v>0</v>
      </c>
      <c r="FF48" s="650">
        <v>3578.2789995757385</v>
      </c>
      <c r="FG48" s="563">
        <v>0</v>
      </c>
      <c r="FH48" s="563">
        <v>0</v>
      </c>
      <c r="FI48" s="563">
        <v>0</v>
      </c>
      <c r="FJ48" s="650">
        <v>3230.0046437002766</v>
      </c>
      <c r="FK48" s="564">
        <v>3230.0046437002766</v>
      </c>
      <c r="FL48" s="565">
        <v>208.86646986235812</v>
      </c>
      <c r="FM48" s="649">
        <v>36.459652885890321</v>
      </c>
      <c r="FN48" s="646">
        <v>194.26444983758745</v>
      </c>
      <c r="FO48" s="646">
        <v>0</v>
      </c>
      <c r="FP48" s="646">
        <v>0</v>
      </c>
      <c r="FQ48" s="646">
        <v>54.537600385068529</v>
      </c>
      <c r="FR48" s="646">
        <v>32.856525848916469</v>
      </c>
      <c r="FS48" s="646">
        <v>3500</v>
      </c>
      <c r="FT48" s="563" t="s">
        <v>1589</v>
      </c>
      <c r="FU48" s="563">
        <v>6</v>
      </c>
      <c r="FV48" s="563">
        <v>0</v>
      </c>
      <c r="FW48" s="563">
        <v>0</v>
      </c>
      <c r="FX48" s="563">
        <v>0</v>
      </c>
      <c r="FY48" s="650">
        <v>4157.0249159103323</v>
      </c>
      <c r="FZ48" s="563">
        <v>0</v>
      </c>
      <c r="GA48" s="563">
        <v>0</v>
      </c>
      <c r="GB48" s="563">
        <v>0</v>
      </c>
      <c r="GC48" s="650">
        <v>3890.5779306216568</v>
      </c>
      <c r="GD48" s="564">
        <v>3890.5779306216568</v>
      </c>
      <c r="GE48" s="565">
        <v>251.58207734414296</v>
      </c>
      <c r="GF48" s="649">
        <v>24.306435257260212</v>
      </c>
      <c r="GG48" s="646">
        <v>182.11123220895735</v>
      </c>
      <c r="GH48" s="646">
        <v>0</v>
      </c>
      <c r="GI48" s="646">
        <v>0</v>
      </c>
      <c r="GJ48" s="646">
        <v>53.395043654939435</v>
      </c>
      <c r="GK48" s="646">
        <v>30.2487017027468</v>
      </c>
      <c r="GL48" s="646">
        <v>2800</v>
      </c>
      <c r="GM48" s="563" t="s">
        <v>1587</v>
      </c>
      <c r="GN48" s="563">
        <v>4</v>
      </c>
      <c r="GO48" s="563">
        <v>0</v>
      </c>
      <c r="GP48" s="563">
        <v>0</v>
      </c>
      <c r="GQ48" s="563">
        <v>0</v>
      </c>
      <c r="GR48" s="650">
        <v>3795.3171813574531</v>
      </c>
      <c r="GS48" s="563">
        <v>0</v>
      </c>
      <c r="GT48" s="563">
        <v>0</v>
      </c>
      <c r="GU48" s="563">
        <v>0</v>
      </c>
      <c r="GV48" s="650">
        <v>3353.6203389689658</v>
      </c>
      <c r="GW48" s="564">
        <v>3353.6203389689658</v>
      </c>
      <c r="GX48" s="565">
        <v>216.86001065825428</v>
      </c>
      <c r="GY48" s="649">
        <v>30.383044071575263</v>
      </c>
      <c r="GZ48" s="646">
        <v>188.1878410232724</v>
      </c>
      <c r="HA48" s="646">
        <v>0</v>
      </c>
      <c r="HB48" s="646">
        <v>0</v>
      </c>
      <c r="HC48" s="646">
        <v>53.984768669530879</v>
      </c>
      <c r="HD48" s="646">
        <v>31.552613775831635</v>
      </c>
      <c r="HE48" s="646">
        <v>3500</v>
      </c>
      <c r="HF48" s="563" t="s">
        <v>1587</v>
      </c>
      <c r="HG48" s="563">
        <v>5</v>
      </c>
      <c r="HH48" s="563">
        <v>0</v>
      </c>
      <c r="HI48" s="563">
        <v>0</v>
      </c>
      <c r="HJ48" s="563">
        <v>0</v>
      </c>
      <c r="HK48" s="650">
        <v>4419.4624527263595</v>
      </c>
      <c r="HL48" s="563">
        <v>0</v>
      </c>
      <c r="HM48" s="563">
        <v>0</v>
      </c>
      <c r="HN48" s="563">
        <v>0</v>
      </c>
      <c r="HO48" s="650">
        <v>3989.3156030196828</v>
      </c>
      <c r="HP48" s="564">
        <v>3989.3156030196828</v>
      </c>
      <c r="HQ48" s="565">
        <v>257.96689450421246</v>
      </c>
      <c r="HR48" s="649">
        <v>30.383044071575263</v>
      </c>
      <c r="HS48" s="646">
        <v>188.1878410232724</v>
      </c>
      <c r="HT48" s="646">
        <v>0</v>
      </c>
      <c r="HU48" s="646">
        <v>0</v>
      </c>
      <c r="HV48" s="646">
        <v>53.984768669530879</v>
      </c>
      <c r="HW48" s="646">
        <v>31.552613775831635</v>
      </c>
      <c r="HX48" s="646">
        <v>2800</v>
      </c>
      <c r="HY48" s="563" t="s">
        <v>68</v>
      </c>
      <c r="HZ48" s="563">
        <v>5</v>
      </c>
      <c r="IA48" s="563">
        <v>0</v>
      </c>
      <c r="IB48" s="563">
        <v>0</v>
      </c>
      <c r="IC48" s="563">
        <v>0</v>
      </c>
      <c r="ID48" s="650">
        <v>3897.5995261671655</v>
      </c>
      <c r="IE48" s="563">
        <v>0</v>
      </c>
      <c r="IF48" s="563">
        <v>0</v>
      </c>
      <c r="IG48" s="563">
        <v>0</v>
      </c>
      <c r="IH48" s="650">
        <v>3518.2456623132512</v>
      </c>
      <c r="II48" s="564">
        <v>3518.2456623132512</v>
      </c>
      <c r="IJ48" s="565">
        <v>227.50541644859368</v>
      </c>
      <c r="IK48" s="649">
        <v>36.459652885890321</v>
      </c>
      <c r="IL48" s="646">
        <v>194.26444983758745</v>
      </c>
      <c r="IM48" s="646">
        <v>0</v>
      </c>
      <c r="IN48" s="646">
        <v>0</v>
      </c>
      <c r="IO48" s="646">
        <v>54.537600385068529</v>
      </c>
      <c r="IP48" s="646">
        <v>32.856525848916469</v>
      </c>
      <c r="IQ48" s="646">
        <v>3500</v>
      </c>
      <c r="IR48" s="563" t="s">
        <v>68</v>
      </c>
      <c r="IS48" s="563">
        <v>6</v>
      </c>
      <c r="IT48" s="563">
        <v>0</v>
      </c>
      <c r="IU48" s="563">
        <v>0</v>
      </c>
      <c r="IV48" s="563">
        <v>0</v>
      </c>
      <c r="IW48" s="650">
        <v>4527.9919046106425</v>
      </c>
      <c r="IX48" s="563">
        <v>0</v>
      </c>
      <c r="IY48" s="563">
        <v>0</v>
      </c>
      <c r="IZ48" s="563">
        <v>0</v>
      </c>
      <c r="JA48" s="650">
        <v>4237.7675694671452</v>
      </c>
      <c r="JB48" s="564">
        <v>4000</v>
      </c>
      <c r="JC48" s="565">
        <v>258.65779514555965</v>
      </c>
      <c r="JD48" s="649">
        <v>24.306435257260212</v>
      </c>
      <c r="JE48" s="646">
        <v>182.11123220895735</v>
      </c>
      <c r="JF48" s="646">
        <v>0</v>
      </c>
      <c r="JG48" s="646">
        <v>0</v>
      </c>
      <c r="JH48" s="646">
        <v>53.395043654939435</v>
      </c>
      <c r="JI48" s="646">
        <v>30.2487017027468</v>
      </c>
      <c r="JJ48" s="646">
        <v>2800</v>
      </c>
      <c r="JK48" s="563" t="s">
        <v>67</v>
      </c>
      <c r="JL48" s="563">
        <v>4</v>
      </c>
      <c r="JM48" s="563">
        <v>0</v>
      </c>
      <c r="JN48" s="563">
        <v>0</v>
      </c>
      <c r="JO48" s="563">
        <v>0</v>
      </c>
      <c r="JP48" s="650">
        <v>4561.4035680112538</v>
      </c>
      <c r="JQ48" s="563">
        <v>0</v>
      </c>
      <c r="JR48" s="563">
        <v>0</v>
      </c>
      <c r="JS48" s="563">
        <v>0</v>
      </c>
      <c r="JT48" s="650">
        <v>4030.550030197177</v>
      </c>
      <c r="JU48" s="564">
        <v>4000</v>
      </c>
      <c r="JV48" s="565">
        <v>258.65779514555965</v>
      </c>
      <c r="JW48" s="649">
        <v>24.306435257260212</v>
      </c>
      <c r="JX48" s="646">
        <v>182.11123220895735</v>
      </c>
      <c r="JY48" s="646">
        <v>0</v>
      </c>
      <c r="JZ48" s="646">
        <v>0</v>
      </c>
      <c r="KA48" s="646">
        <v>53.395043654939435</v>
      </c>
      <c r="KB48" s="646">
        <v>30.2487017027468</v>
      </c>
      <c r="KC48" s="646">
        <v>3500</v>
      </c>
      <c r="KD48" s="563" t="s">
        <v>67</v>
      </c>
      <c r="KE48" s="563">
        <v>4</v>
      </c>
      <c r="KF48" s="563">
        <v>0</v>
      </c>
      <c r="KG48" s="563">
        <v>0</v>
      </c>
      <c r="KH48" s="563">
        <v>0</v>
      </c>
      <c r="KI48" s="650">
        <v>4561.4035680112538</v>
      </c>
      <c r="KJ48" s="563">
        <v>0</v>
      </c>
      <c r="KK48" s="563">
        <v>0</v>
      </c>
      <c r="KL48" s="563">
        <v>0</v>
      </c>
      <c r="KM48" s="650">
        <v>4030.550030197177</v>
      </c>
      <c r="KN48" s="564">
        <v>4000</v>
      </c>
      <c r="KO48" s="566">
        <v>258.65779514555965</v>
      </c>
    </row>
    <row r="49" spans="1:301" ht="15" customHeight="1">
      <c r="A49" s="663" t="s">
        <v>826</v>
      </c>
      <c r="B49" s="629" t="s">
        <v>386</v>
      </c>
      <c r="C49" s="629">
        <v>437.5</v>
      </c>
      <c r="D49" s="629">
        <v>1235</v>
      </c>
      <c r="E49" s="629">
        <v>450</v>
      </c>
      <c r="F49" s="629">
        <v>400</v>
      </c>
      <c r="G49" s="629">
        <v>300</v>
      </c>
      <c r="H49" s="629">
        <v>171</v>
      </c>
      <c r="I49" s="629">
        <v>115</v>
      </c>
      <c r="J49" s="629">
        <v>38</v>
      </c>
      <c r="K49" s="629">
        <v>41</v>
      </c>
      <c r="L49" s="629">
        <v>10</v>
      </c>
      <c r="M49" s="629">
        <v>572</v>
      </c>
      <c r="N49" s="629">
        <v>6</v>
      </c>
      <c r="O49" s="623">
        <v>48.93057850552281</v>
      </c>
      <c r="P49" s="629">
        <v>6</v>
      </c>
      <c r="Q49" s="623">
        <v>33.082043730180075</v>
      </c>
      <c r="R49" s="629">
        <v>18.000000000000004</v>
      </c>
      <c r="S49" s="629">
        <v>794.31006265057283</v>
      </c>
      <c r="T49" s="645">
        <v>70.018398324860243</v>
      </c>
      <c r="U49" s="645">
        <v>119.14650939758592</v>
      </c>
      <c r="V49" s="645">
        <v>97.5</v>
      </c>
      <c r="W49" s="793">
        <v>6.4001192218817549</v>
      </c>
      <c r="X49" s="646">
        <v>0</v>
      </c>
      <c r="Y49" s="646">
        <v>0</v>
      </c>
      <c r="Z49" s="646">
        <v>0</v>
      </c>
      <c r="AA49" s="646">
        <v>0</v>
      </c>
      <c r="AB49" s="647">
        <v>31.961010423129355</v>
      </c>
      <c r="AC49" s="784">
        <v>4000</v>
      </c>
      <c r="AD49" s="631">
        <v>8.123006012348466E-2</v>
      </c>
      <c r="AE49" s="631">
        <v>0.78128562650671729</v>
      </c>
      <c r="AF49" s="631">
        <v>-0.27363317971587664</v>
      </c>
      <c r="AG49" s="631">
        <v>1.2753840584831029</v>
      </c>
      <c r="AH49" s="629"/>
      <c r="AI49" s="648">
        <v>6.1268954206459068</v>
      </c>
      <c r="AJ49" s="649">
        <v>38.525916000000009</v>
      </c>
      <c r="AK49" s="646">
        <v>196.95705578244491</v>
      </c>
      <c r="AL49" s="646">
        <v>0</v>
      </c>
      <c r="AM49" s="646">
        <v>0</v>
      </c>
      <c r="AN49" s="646">
        <v>64.493816787434</v>
      </c>
      <c r="AO49" s="646">
        <v>33.272492497456049</v>
      </c>
      <c r="AP49" s="801">
        <v>2450</v>
      </c>
      <c r="AQ49" s="563" t="s">
        <v>71</v>
      </c>
      <c r="AR49" s="563">
        <v>6</v>
      </c>
      <c r="AS49" s="563">
        <v>0</v>
      </c>
      <c r="AT49" s="563">
        <v>0</v>
      </c>
      <c r="AU49" s="563">
        <v>0</v>
      </c>
      <c r="AV49" s="650">
        <v>3458.1641765458162</v>
      </c>
      <c r="AW49" s="563">
        <v>0</v>
      </c>
      <c r="AX49" s="563">
        <v>0</v>
      </c>
      <c r="AY49" s="563">
        <v>0</v>
      </c>
      <c r="AZ49" s="650">
        <v>3083.7617907389695</v>
      </c>
      <c r="BA49" s="564">
        <v>3083.7617907389695</v>
      </c>
      <c r="BB49" s="565">
        <v>199.40975638666615</v>
      </c>
      <c r="BC49" s="649">
        <v>51.367888000000008</v>
      </c>
      <c r="BD49" s="646">
        <v>209.79902778244491</v>
      </c>
      <c r="BE49" s="646">
        <v>0</v>
      </c>
      <c r="BF49" s="646">
        <v>0</v>
      </c>
      <c r="BG49" s="646">
        <v>65.779622634553448</v>
      </c>
      <c r="BH49" s="646">
        <v>36.028108803309173</v>
      </c>
      <c r="BI49" s="646">
        <v>3062.5</v>
      </c>
      <c r="BJ49" s="563" t="s">
        <v>71</v>
      </c>
      <c r="BK49" s="563">
        <v>8</v>
      </c>
      <c r="BL49" s="563">
        <v>0</v>
      </c>
      <c r="BM49" s="563">
        <v>0</v>
      </c>
      <c r="BN49" s="563">
        <v>0</v>
      </c>
      <c r="BO49" s="650">
        <v>4950.2165892584817</v>
      </c>
      <c r="BP49" s="563">
        <v>0</v>
      </c>
      <c r="BQ49" s="563">
        <v>0</v>
      </c>
      <c r="BR49" s="563">
        <v>0</v>
      </c>
      <c r="BS49" s="650">
        <v>5302.7557540962061</v>
      </c>
      <c r="BT49" s="564">
        <v>4000</v>
      </c>
      <c r="BU49" s="565">
        <v>258.65779514555965</v>
      </c>
      <c r="BV49" s="649">
        <v>38.525916000000009</v>
      </c>
      <c r="BW49" s="646">
        <v>196.95705578244491</v>
      </c>
      <c r="BX49" s="646">
        <v>0</v>
      </c>
      <c r="BY49" s="646">
        <v>0</v>
      </c>
      <c r="BZ49" s="646">
        <v>64.493816787434</v>
      </c>
      <c r="CA49" s="646">
        <v>33.272492497456049</v>
      </c>
      <c r="CB49" s="646">
        <v>2450</v>
      </c>
      <c r="CC49" s="563" t="s">
        <v>1584</v>
      </c>
      <c r="CD49" s="563">
        <v>6</v>
      </c>
      <c r="CE49" s="563">
        <v>0</v>
      </c>
      <c r="CF49" s="563">
        <v>0</v>
      </c>
      <c r="CG49" s="563">
        <v>0</v>
      </c>
      <c r="CH49" s="650">
        <v>3388.2950717236845</v>
      </c>
      <c r="CI49" s="563">
        <v>0</v>
      </c>
      <c r="CJ49" s="563">
        <v>0</v>
      </c>
      <c r="CK49" s="563">
        <v>0</v>
      </c>
      <c r="CL49" s="650">
        <v>3021.4571502407166</v>
      </c>
      <c r="CM49" s="564">
        <v>3021.4571502407166</v>
      </c>
      <c r="CN49" s="565">
        <v>195.38086115201244</v>
      </c>
      <c r="CO49" s="649">
        <v>51.367888000000008</v>
      </c>
      <c r="CP49" s="646">
        <v>209.79902778244491</v>
      </c>
      <c r="CQ49" s="646">
        <v>0</v>
      </c>
      <c r="CR49" s="646">
        <v>0</v>
      </c>
      <c r="CS49" s="646">
        <v>65.779622634553448</v>
      </c>
      <c r="CT49" s="646">
        <v>36.028108803309173</v>
      </c>
      <c r="CU49" s="646">
        <v>3062.5</v>
      </c>
      <c r="CV49" s="563" t="s">
        <v>1584</v>
      </c>
      <c r="CW49" s="563">
        <v>8</v>
      </c>
      <c r="CX49" s="563">
        <v>0</v>
      </c>
      <c r="CY49" s="563">
        <v>0</v>
      </c>
      <c r="CZ49" s="563">
        <v>0</v>
      </c>
      <c r="DA49" s="650">
        <v>4850.2019039775123</v>
      </c>
      <c r="DB49" s="563">
        <v>0</v>
      </c>
      <c r="DC49" s="563">
        <v>0</v>
      </c>
      <c r="DD49" s="563">
        <v>0</v>
      </c>
      <c r="DE49" s="650">
        <v>5195.618331257253</v>
      </c>
      <c r="DF49" s="564">
        <v>4000</v>
      </c>
      <c r="DG49" s="565">
        <v>258.65779514555965</v>
      </c>
      <c r="DH49" s="649">
        <v>38.525916000000009</v>
      </c>
      <c r="DI49" s="646">
        <v>196.95705578244491</v>
      </c>
      <c r="DJ49" s="646">
        <v>0</v>
      </c>
      <c r="DK49" s="646">
        <v>0</v>
      </c>
      <c r="DL49" s="646">
        <v>64.493816787434</v>
      </c>
      <c r="DM49" s="646">
        <v>33.272492497456049</v>
      </c>
      <c r="DN49" s="646">
        <v>2450</v>
      </c>
      <c r="DO49" s="563" t="s">
        <v>1588</v>
      </c>
      <c r="DP49" s="563">
        <v>6</v>
      </c>
      <c r="DQ49" s="563">
        <v>0</v>
      </c>
      <c r="DR49" s="563">
        <v>0</v>
      </c>
      <c r="DS49" s="563">
        <v>0</v>
      </c>
      <c r="DT49" s="650">
        <v>3526.6493234829281</v>
      </c>
      <c r="DU49" s="563">
        <v>0</v>
      </c>
      <c r="DV49" s="563">
        <v>0</v>
      </c>
      <c r="DW49" s="563">
        <v>0</v>
      </c>
      <c r="DX49" s="650">
        <v>3144.8323092499672</v>
      </c>
      <c r="DY49" s="564">
        <v>3144.8323092499672</v>
      </c>
      <c r="DZ49" s="565">
        <v>203.35884780327882</v>
      </c>
      <c r="EA49" s="649">
        <v>51.367888000000008</v>
      </c>
      <c r="EB49" s="646">
        <v>209.79902778244491</v>
      </c>
      <c r="EC49" s="646">
        <v>0</v>
      </c>
      <c r="ED49" s="646">
        <v>0</v>
      </c>
      <c r="EE49" s="646">
        <v>65.779622634553448</v>
      </c>
      <c r="EF49" s="646">
        <v>36.028108803309173</v>
      </c>
      <c r="EG49" s="646">
        <v>3062.5</v>
      </c>
      <c r="EH49" s="563" t="s">
        <v>1588</v>
      </c>
      <c r="EI49" s="563">
        <v>8</v>
      </c>
      <c r="EJ49" s="563">
        <v>0</v>
      </c>
      <c r="EK49" s="563">
        <v>0</v>
      </c>
      <c r="EL49" s="563">
        <v>0</v>
      </c>
      <c r="EM49" s="650">
        <v>5048.2501970279436</v>
      </c>
      <c r="EN49" s="563">
        <v>0</v>
      </c>
      <c r="EO49" s="563">
        <v>0</v>
      </c>
      <c r="EP49" s="563">
        <v>0</v>
      </c>
      <c r="EQ49" s="650">
        <v>5407.7710131905951</v>
      </c>
      <c r="ER49" s="564">
        <v>4000</v>
      </c>
      <c r="ES49" s="565">
        <v>258.65779514555965</v>
      </c>
      <c r="ET49" s="649">
        <v>32.104930000000003</v>
      </c>
      <c r="EU49" s="646">
        <v>190.53606978244488</v>
      </c>
      <c r="EV49" s="646">
        <v>0</v>
      </c>
      <c r="EW49" s="646">
        <v>0</v>
      </c>
      <c r="EX49" s="646">
        <v>63.78591718356725</v>
      </c>
      <c r="EY49" s="646">
        <v>31.894684344529487</v>
      </c>
      <c r="EZ49" s="646">
        <v>2450</v>
      </c>
      <c r="FA49" s="563" t="s">
        <v>1589</v>
      </c>
      <c r="FB49" s="563">
        <v>5</v>
      </c>
      <c r="FC49" s="563">
        <v>0</v>
      </c>
      <c r="FD49" s="563">
        <v>0</v>
      </c>
      <c r="FE49" s="563">
        <v>0</v>
      </c>
      <c r="FF49" s="650">
        <v>3253.4723642591816</v>
      </c>
      <c r="FG49" s="563">
        <v>0</v>
      </c>
      <c r="FH49" s="563">
        <v>0</v>
      </c>
      <c r="FI49" s="563">
        <v>0</v>
      </c>
      <c r="FJ49" s="650">
        <v>2822.2590120588598</v>
      </c>
      <c r="FK49" s="564">
        <v>2822.2590120588598</v>
      </c>
      <c r="FL49" s="565">
        <v>182.49982334720752</v>
      </c>
      <c r="FM49" s="649">
        <v>51.367888000000008</v>
      </c>
      <c r="FN49" s="646">
        <v>209.79902778244491</v>
      </c>
      <c r="FO49" s="646">
        <v>0</v>
      </c>
      <c r="FP49" s="646">
        <v>0</v>
      </c>
      <c r="FQ49" s="646">
        <v>65.779622634553448</v>
      </c>
      <c r="FR49" s="646">
        <v>36.028108803309173</v>
      </c>
      <c r="FS49" s="646">
        <v>3062.5</v>
      </c>
      <c r="FT49" s="563" t="s">
        <v>1589</v>
      </c>
      <c r="FU49" s="563">
        <v>8</v>
      </c>
      <c r="FV49" s="563">
        <v>0</v>
      </c>
      <c r="FW49" s="563">
        <v>0</v>
      </c>
      <c r="FX49" s="563">
        <v>0</v>
      </c>
      <c r="FY49" s="650">
        <v>5377.3116193012702</v>
      </c>
      <c r="FZ49" s="563">
        <v>0</v>
      </c>
      <c r="GA49" s="563">
        <v>0</v>
      </c>
      <c r="GB49" s="563">
        <v>0</v>
      </c>
      <c r="GC49" s="650">
        <v>5760.2671755195952</v>
      </c>
      <c r="GD49" s="564">
        <v>4000</v>
      </c>
      <c r="GE49" s="565">
        <v>258.65779514555965</v>
      </c>
      <c r="GF49" s="649">
        <v>25.683944000000004</v>
      </c>
      <c r="GG49" s="646">
        <v>184.11508378244488</v>
      </c>
      <c r="GH49" s="646">
        <v>0</v>
      </c>
      <c r="GI49" s="646">
        <v>0</v>
      </c>
      <c r="GJ49" s="646">
        <v>63.028641794159697</v>
      </c>
      <c r="GK49" s="646">
        <v>30.516876191602925</v>
      </c>
      <c r="GL49" s="646">
        <v>2450</v>
      </c>
      <c r="GM49" s="563" t="s">
        <v>1587</v>
      </c>
      <c r="GN49" s="563">
        <v>4</v>
      </c>
      <c r="GO49" s="563">
        <v>0</v>
      </c>
      <c r="GP49" s="563">
        <v>0</v>
      </c>
      <c r="GQ49" s="563">
        <v>0</v>
      </c>
      <c r="GR49" s="650">
        <v>3464.2317468272822</v>
      </c>
      <c r="GS49" s="563">
        <v>0</v>
      </c>
      <c r="GT49" s="563">
        <v>0</v>
      </c>
      <c r="GU49" s="563">
        <v>0</v>
      </c>
      <c r="GV49" s="650">
        <v>2954.916206176842</v>
      </c>
      <c r="GW49" s="564">
        <v>2954.916206176842</v>
      </c>
      <c r="GX49" s="565">
        <v>191.078027682396</v>
      </c>
      <c r="GY49" s="649">
        <v>32.104930000000003</v>
      </c>
      <c r="GZ49" s="646">
        <v>190.53606978244488</v>
      </c>
      <c r="HA49" s="646">
        <v>0</v>
      </c>
      <c r="HB49" s="646">
        <v>0</v>
      </c>
      <c r="HC49" s="646">
        <v>63.78591718356725</v>
      </c>
      <c r="HD49" s="646">
        <v>31.894684344529487</v>
      </c>
      <c r="HE49" s="646">
        <v>3062.5</v>
      </c>
      <c r="HF49" s="563" t="s">
        <v>1587</v>
      </c>
      <c r="HG49" s="563">
        <v>5</v>
      </c>
      <c r="HH49" s="563">
        <v>0</v>
      </c>
      <c r="HI49" s="563">
        <v>0</v>
      </c>
      <c r="HJ49" s="563">
        <v>0</v>
      </c>
      <c r="HK49" s="650">
        <v>4018.3001259910479</v>
      </c>
      <c r="HL49" s="563">
        <v>0</v>
      </c>
      <c r="HM49" s="563">
        <v>0</v>
      </c>
      <c r="HN49" s="563">
        <v>0</v>
      </c>
      <c r="HO49" s="650">
        <v>3485.716943016902</v>
      </c>
      <c r="HP49" s="564">
        <v>3485.716943016902</v>
      </c>
      <c r="HQ49" s="565">
        <v>225.40196474556805</v>
      </c>
      <c r="HR49" s="649">
        <v>32.104930000000003</v>
      </c>
      <c r="HS49" s="646">
        <v>190.53606978244488</v>
      </c>
      <c r="HT49" s="646">
        <v>0</v>
      </c>
      <c r="HU49" s="646">
        <v>0</v>
      </c>
      <c r="HV49" s="646">
        <v>63.78591718356725</v>
      </c>
      <c r="HW49" s="646">
        <v>31.894684344529487</v>
      </c>
      <c r="HX49" s="646">
        <v>2450</v>
      </c>
      <c r="HY49" s="563" t="s">
        <v>68</v>
      </c>
      <c r="HZ49" s="563">
        <v>5</v>
      </c>
      <c r="IA49" s="563">
        <v>0</v>
      </c>
      <c r="IB49" s="563">
        <v>0</v>
      </c>
      <c r="IC49" s="563">
        <v>0</v>
      </c>
      <c r="ID49" s="650">
        <v>3543.8076088639423</v>
      </c>
      <c r="IE49" s="563">
        <v>0</v>
      </c>
      <c r="IF49" s="563">
        <v>0</v>
      </c>
      <c r="IG49" s="563">
        <v>0</v>
      </c>
      <c r="IH49" s="650">
        <v>3074.1133906623413</v>
      </c>
      <c r="II49" s="564">
        <v>3074.1133906623413</v>
      </c>
      <c r="IJ49" s="565">
        <v>198.78584791404043</v>
      </c>
      <c r="IK49" s="649">
        <v>38.525916000000009</v>
      </c>
      <c r="IL49" s="646">
        <v>196.95705578244491</v>
      </c>
      <c r="IM49" s="646">
        <v>0</v>
      </c>
      <c r="IN49" s="646">
        <v>0</v>
      </c>
      <c r="IO49" s="646">
        <v>64.493816787434</v>
      </c>
      <c r="IP49" s="646">
        <v>33.272492497456049</v>
      </c>
      <c r="IQ49" s="646">
        <v>3062.5</v>
      </c>
      <c r="IR49" s="563" t="s">
        <v>68</v>
      </c>
      <c r="IS49" s="563">
        <v>6</v>
      </c>
      <c r="IT49" s="563">
        <v>0</v>
      </c>
      <c r="IU49" s="563">
        <v>0</v>
      </c>
      <c r="IV49" s="563">
        <v>0</v>
      </c>
      <c r="IW49" s="650">
        <v>4091.7550342931581</v>
      </c>
      <c r="IX49" s="563">
        <v>0</v>
      </c>
      <c r="IY49" s="563">
        <v>0</v>
      </c>
      <c r="IZ49" s="563">
        <v>0</v>
      </c>
      <c r="JA49" s="650">
        <v>3648.7561572171767</v>
      </c>
      <c r="JB49" s="564">
        <v>3648.7561572171767</v>
      </c>
      <c r="JC49" s="565">
        <v>235.944805662395</v>
      </c>
      <c r="JD49" s="649">
        <v>25.683944000000004</v>
      </c>
      <c r="JE49" s="646">
        <v>184.11508378244488</v>
      </c>
      <c r="JF49" s="646">
        <v>0</v>
      </c>
      <c r="JG49" s="646">
        <v>0</v>
      </c>
      <c r="JH49" s="646">
        <v>63.028641794159697</v>
      </c>
      <c r="JI49" s="646">
        <v>30.516876191602925</v>
      </c>
      <c r="JJ49" s="646">
        <v>2450</v>
      </c>
      <c r="JK49" s="563" t="s">
        <v>67</v>
      </c>
      <c r="JL49" s="563">
        <v>4</v>
      </c>
      <c r="JM49" s="563">
        <v>0</v>
      </c>
      <c r="JN49" s="563">
        <v>0</v>
      </c>
      <c r="JO49" s="563">
        <v>0</v>
      </c>
      <c r="JP49" s="650">
        <v>4163.4883977586514</v>
      </c>
      <c r="JQ49" s="563">
        <v>0</v>
      </c>
      <c r="JR49" s="563">
        <v>0</v>
      </c>
      <c r="JS49" s="563">
        <v>0</v>
      </c>
      <c r="JT49" s="650">
        <v>3551.3672986900428</v>
      </c>
      <c r="JU49" s="564">
        <v>3551.3672986900428</v>
      </c>
      <c r="JV49" s="565">
        <v>229.64720880780217</v>
      </c>
      <c r="JW49" s="649">
        <v>25.683944000000004</v>
      </c>
      <c r="JX49" s="646">
        <v>184.11508378244488</v>
      </c>
      <c r="JY49" s="646">
        <v>0</v>
      </c>
      <c r="JZ49" s="646">
        <v>0</v>
      </c>
      <c r="KA49" s="646">
        <v>63.028641794159697</v>
      </c>
      <c r="KB49" s="646">
        <v>30.516876191602925</v>
      </c>
      <c r="KC49" s="646">
        <v>3062.5</v>
      </c>
      <c r="KD49" s="563" t="s">
        <v>67</v>
      </c>
      <c r="KE49" s="563">
        <v>4</v>
      </c>
      <c r="KF49" s="563">
        <v>0</v>
      </c>
      <c r="KG49" s="563">
        <v>0</v>
      </c>
      <c r="KH49" s="563">
        <v>0</v>
      </c>
      <c r="KI49" s="650">
        <v>4163.4883977586514</v>
      </c>
      <c r="KJ49" s="563">
        <v>0</v>
      </c>
      <c r="KK49" s="563">
        <v>0</v>
      </c>
      <c r="KL49" s="563">
        <v>0</v>
      </c>
      <c r="KM49" s="650">
        <v>3551.3672986900428</v>
      </c>
      <c r="KN49" s="564">
        <v>3551.3672986900428</v>
      </c>
      <c r="KO49" s="566">
        <v>229.64720880780217</v>
      </c>
    </row>
    <row r="50" spans="1:301" ht="15" customHeight="1">
      <c r="A50" s="663" t="s">
        <v>827</v>
      </c>
      <c r="B50" s="629" t="s">
        <v>382</v>
      </c>
      <c r="C50" s="629">
        <v>482.5</v>
      </c>
      <c r="D50" s="629">
        <v>1235</v>
      </c>
      <c r="E50" s="629">
        <v>500</v>
      </c>
      <c r="F50" s="629">
        <v>450</v>
      </c>
      <c r="G50" s="629">
        <v>284</v>
      </c>
      <c r="H50" s="629">
        <v>185</v>
      </c>
      <c r="I50" s="629">
        <v>133</v>
      </c>
      <c r="J50" s="629">
        <v>34.950000000000003</v>
      </c>
      <c r="K50" s="629">
        <v>48.87</v>
      </c>
      <c r="L50" s="629">
        <v>10</v>
      </c>
      <c r="M50" s="629">
        <v>540</v>
      </c>
      <c r="N50" s="629">
        <v>6</v>
      </c>
      <c r="O50" s="623">
        <v>47.173446464461868</v>
      </c>
      <c r="P50" s="629">
        <v>6</v>
      </c>
      <c r="Q50" s="623">
        <v>32.098861092190802</v>
      </c>
      <c r="R50" s="629">
        <v>18.000000000000004</v>
      </c>
      <c r="S50" s="629">
        <v>810.86777212682625</v>
      </c>
      <c r="T50" s="645">
        <v>72.967946238828077</v>
      </c>
      <c r="U50" s="645">
        <v>121.63016581902393</v>
      </c>
      <c r="V50" s="645">
        <v>110</v>
      </c>
      <c r="W50" s="793">
        <v>7.5248194558791432</v>
      </c>
      <c r="X50" s="646">
        <v>0</v>
      </c>
      <c r="Y50" s="646">
        <v>0</v>
      </c>
      <c r="Z50" s="646">
        <v>0</v>
      </c>
      <c r="AA50" s="646">
        <v>0</v>
      </c>
      <c r="AB50" s="647">
        <v>34.306419308164756</v>
      </c>
      <c r="AC50" s="784">
        <v>4000</v>
      </c>
      <c r="AD50" s="631">
        <v>0.38316432471779027</v>
      </c>
      <c r="AE50" s="631">
        <v>0.69890780818898146</v>
      </c>
      <c r="AF50" s="631">
        <v>-0.32508444407612519</v>
      </c>
      <c r="AG50" s="631">
        <v>1.1147847205225196</v>
      </c>
      <c r="AH50" s="629"/>
      <c r="AI50" s="648">
        <v>6.1431444527165988</v>
      </c>
      <c r="AJ50" s="649">
        <v>40.440060000000003</v>
      </c>
      <c r="AK50" s="646">
        <v>200.20513325135988</v>
      </c>
      <c r="AL50" s="646">
        <v>0</v>
      </c>
      <c r="AM50" s="646">
        <v>0</v>
      </c>
      <c r="AN50" s="646">
        <v>68.103480135578451</v>
      </c>
      <c r="AO50" s="646">
        <v>34.109808688146451</v>
      </c>
      <c r="AP50" s="801">
        <v>2450</v>
      </c>
      <c r="AQ50" s="563" t="s">
        <v>71</v>
      </c>
      <c r="AR50" s="563">
        <v>6</v>
      </c>
      <c r="AS50" s="563">
        <v>0</v>
      </c>
      <c r="AT50" s="563">
        <v>0</v>
      </c>
      <c r="AU50" s="563">
        <v>0</v>
      </c>
      <c r="AV50" s="650">
        <v>2820.97368819965</v>
      </c>
      <c r="AW50" s="563">
        <v>0</v>
      </c>
      <c r="AX50" s="563">
        <v>0</v>
      </c>
      <c r="AY50" s="563">
        <v>0</v>
      </c>
      <c r="AZ50" s="650">
        <v>2736.8669996395047</v>
      </c>
      <c r="BA50" s="564">
        <v>2736.8669996395047</v>
      </c>
      <c r="BB50" s="565">
        <v>176.97799593334938</v>
      </c>
      <c r="BC50" s="649">
        <v>53.920080000000006</v>
      </c>
      <c r="BD50" s="646">
        <v>213.68515325135988</v>
      </c>
      <c r="BE50" s="646">
        <v>0</v>
      </c>
      <c r="BF50" s="646">
        <v>0</v>
      </c>
      <c r="BG50" s="646">
        <v>69.64249943897363</v>
      </c>
      <c r="BH50" s="646">
        <v>37.072095739474577</v>
      </c>
      <c r="BI50" s="646">
        <v>3062.5</v>
      </c>
      <c r="BJ50" s="563" t="s">
        <v>71</v>
      </c>
      <c r="BK50" s="563">
        <v>8</v>
      </c>
      <c r="BL50" s="563">
        <v>0</v>
      </c>
      <c r="BM50" s="563">
        <v>0</v>
      </c>
      <c r="BN50" s="563">
        <v>0</v>
      </c>
      <c r="BO50" s="650">
        <v>3891.724647370188</v>
      </c>
      <c r="BP50" s="563">
        <v>0</v>
      </c>
      <c r="BQ50" s="563">
        <v>0</v>
      </c>
      <c r="BR50" s="563">
        <v>0</v>
      </c>
      <c r="BS50" s="650">
        <v>4216.4570990088869</v>
      </c>
      <c r="BT50" s="564">
        <v>3891.724647370188</v>
      </c>
      <c r="BU50" s="565">
        <v>251.65622915060086</v>
      </c>
      <c r="BV50" s="649">
        <v>53.920080000000006</v>
      </c>
      <c r="BW50" s="646">
        <v>213.68515325135988</v>
      </c>
      <c r="BX50" s="646">
        <v>0</v>
      </c>
      <c r="BY50" s="646">
        <v>0</v>
      </c>
      <c r="BZ50" s="646">
        <v>69.64249943897363</v>
      </c>
      <c r="CA50" s="646">
        <v>37.072095739474577</v>
      </c>
      <c r="CB50" s="646">
        <v>2450</v>
      </c>
      <c r="CC50" s="563" t="s">
        <v>1584</v>
      </c>
      <c r="CD50" s="563">
        <v>8</v>
      </c>
      <c r="CE50" s="563">
        <v>0</v>
      </c>
      <c r="CF50" s="563">
        <v>0</v>
      </c>
      <c r="CG50" s="563">
        <v>0</v>
      </c>
      <c r="CH50" s="650">
        <v>3813.0958421879022</v>
      </c>
      <c r="CI50" s="563">
        <v>0</v>
      </c>
      <c r="CJ50" s="563">
        <v>0</v>
      </c>
      <c r="CK50" s="563">
        <v>0</v>
      </c>
      <c r="CL50" s="650">
        <v>4131.2673659630345</v>
      </c>
      <c r="CM50" s="564">
        <v>3813.0958421879022</v>
      </c>
      <c r="CN50" s="565">
        <v>246.5717408047559</v>
      </c>
      <c r="CO50" s="649">
        <v>53.920080000000006</v>
      </c>
      <c r="CP50" s="646">
        <v>213.68515325135988</v>
      </c>
      <c r="CQ50" s="646">
        <v>0</v>
      </c>
      <c r="CR50" s="646">
        <v>0</v>
      </c>
      <c r="CS50" s="646">
        <v>69.64249943897363</v>
      </c>
      <c r="CT50" s="646">
        <v>37.072095739474577</v>
      </c>
      <c r="CU50" s="646">
        <v>3062.5</v>
      </c>
      <c r="CV50" s="563" t="s">
        <v>1584</v>
      </c>
      <c r="CW50" s="563">
        <v>8</v>
      </c>
      <c r="CX50" s="563">
        <v>0</v>
      </c>
      <c r="CY50" s="563">
        <v>0</v>
      </c>
      <c r="CZ50" s="563">
        <v>0</v>
      </c>
      <c r="DA50" s="650">
        <v>3813.0958421879022</v>
      </c>
      <c r="DB50" s="563">
        <v>0</v>
      </c>
      <c r="DC50" s="563">
        <v>0</v>
      </c>
      <c r="DD50" s="563">
        <v>0</v>
      </c>
      <c r="DE50" s="650">
        <v>4131.2673659630345</v>
      </c>
      <c r="DF50" s="564">
        <v>3813.0958421879022</v>
      </c>
      <c r="DG50" s="565">
        <v>246.5717408047559</v>
      </c>
      <c r="DH50" s="649">
        <v>40.440060000000003</v>
      </c>
      <c r="DI50" s="646">
        <v>200.20513325135988</v>
      </c>
      <c r="DJ50" s="646">
        <v>0</v>
      </c>
      <c r="DK50" s="646">
        <v>0</v>
      </c>
      <c r="DL50" s="646">
        <v>68.103480135578451</v>
      </c>
      <c r="DM50" s="646">
        <v>34.109808688146451</v>
      </c>
      <c r="DN50" s="646">
        <v>2450</v>
      </c>
      <c r="DO50" s="563" t="s">
        <v>1588</v>
      </c>
      <c r="DP50" s="563">
        <v>6</v>
      </c>
      <c r="DQ50" s="563">
        <v>0</v>
      </c>
      <c r="DR50" s="563">
        <v>0</v>
      </c>
      <c r="DS50" s="563">
        <v>0</v>
      </c>
      <c r="DT50" s="650">
        <v>2876.839976692364</v>
      </c>
      <c r="DU50" s="563">
        <v>0</v>
      </c>
      <c r="DV50" s="563">
        <v>0</v>
      </c>
      <c r="DW50" s="563">
        <v>0</v>
      </c>
      <c r="DX50" s="650">
        <v>2791.0676474539941</v>
      </c>
      <c r="DY50" s="564">
        <v>2791.0676474539941</v>
      </c>
      <c r="DZ50" s="565">
        <v>180.48285094813858</v>
      </c>
      <c r="EA50" s="649">
        <v>53.920080000000006</v>
      </c>
      <c r="EB50" s="646">
        <v>213.68515325135988</v>
      </c>
      <c r="EC50" s="646">
        <v>0</v>
      </c>
      <c r="ED50" s="646">
        <v>0</v>
      </c>
      <c r="EE50" s="646">
        <v>69.64249943897363</v>
      </c>
      <c r="EF50" s="646">
        <v>37.072095739474577</v>
      </c>
      <c r="EG50" s="646">
        <v>3062.5</v>
      </c>
      <c r="EH50" s="563" t="s">
        <v>1588</v>
      </c>
      <c r="EI50" s="563">
        <v>8</v>
      </c>
      <c r="EJ50" s="563">
        <v>0</v>
      </c>
      <c r="EK50" s="563">
        <v>0</v>
      </c>
      <c r="EL50" s="563">
        <v>0</v>
      </c>
      <c r="EM50" s="650">
        <v>3968.7959836941163</v>
      </c>
      <c r="EN50" s="563">
        <v>0</v>
      </c>
      <c r="EO50" s="563">
        <v>0</v>
      </c>
      <c r="EP50" s="563">
        <v>0</v>
      </c>
      <c r="EQ50" s="650">
        <v>4299.9594052146276</v>
      </c>
      <c r="ER50" s="564">
        <v>3968.7959836941163</v>
      </c>
      <c r="ES50" s="565">
        <v>256.64000463121818</v>
      </c>
      <c r="ET50" s="649">
        <v>40.440060000000003</v>
      </c>
      <c r="EU50" s="646">
        <v>200.20513325135988</v>
      </c>
      <c r="EV50" s="646">
        <v>0</v>
      </c>
      <c r="EW50" s="646">
        <v>0</v>
      </c>
      <c r="EX50" s="646">
        <v>68.103480135578451</v>
      </c>
      <c r="EY50" s="646">
        <v>34.109808688146451</v>
      </c>
      <c r="EZ50" s="646">
        <v>2450</v>
      </c>
      <c r="FA50" s="563" t="s">
        <v>1589</v>
      </c>
      <c r="FB50" s="563">
        <v>6</v>
      </c>
      <c r="FC50" s="563">
        <v>0</v>
      </c>
      <c r="FD50" s="563">
        <v>0</v>
      </c>
      <c r="FE50" s="563">
        <v>0</v>
      </c>
      <c r="FF50" s="650">
        <v>3064.3617946364284</v>
      </c>
      <c r="FG50" s="563">
        <v>0</v>
      </c>
      <c r="FH50" s="563">
        <v>0</v>
      </c>
      <c r="FI50" s="563">
        <v>0</v>
      </c>
      <c r="FJ50" s="650">
        <v>2972.9985450693675</v>
      </c>
      <c r="FK50" s="564">
        <v>2972.9985450693675</v>
      </c>
      <c r="FL50" s="565">
        <v>192.24731215964985</v>
      </c>
      <c r="FM50" s="649">
        <v>53.920080000000006</v>
      </c>
      <c r="FN50" s="646">
        <v>213.68515325135988</v>
      </c>
      <c r="FO50" s="646">
        <v>0</v>
      </c>
      <c r="FP50" s="646">
        <v>0</v>
      </c>
      <c r="FQ50" s="646">
        <v>69.64249943897363</v>
      </c>
      <c r="FR50" s="646">
        <v>37.072095739474577</v>
      </c>
      <c r="FS50" s="646">
        <v>3062.5</v>
      </c>
      <c r="FT50" s="563" t="s">
        <v>1589</v>
      </c>
      <c r="FU50" s="563">
        <v>8</v>
      </c>
      <c r="FV50" s="563">
        <v>0</v>
      </c>
      <c r="FW50" s="563">
        <v>0</v>
      </c>
      <c r="FX50" s="563">
        <v>0</v>
      </c>
      <c r="FY50" s="650">
        <v>4227.4950576575902</v>
      </c>
      <c r="FZ50" s="563">
        <v>0</v>
      </c>
      <c r="GA50" s="563">
        <v>0</v>
      </c>
      <c r="GB50" s="563">
        <v>0</v>
      </c>
      <c r="GC50" s="650">
        <v>4580.2447917096388</v>
      </c>
      <c r="GD50" s="564">
        <v>4000</v>
      </c>
      <c r="GE50" s="565">
        <v>258.65779514555965</v>
      </c>
      <c r="GF50" s="649">
        <v>33.700050000000005</v>
      </c>
      <c r="GG50" s="646">
        <v>193.46512325135987</v>
      </c>
      <c r="GH50" s="646">
        <v>0</v>
      </c>
      <c r="GI50" s="646">
        <v>0</v>
      </c>
      <c r="GJ50" s="646">
        <v>67.253545092569397</v>
      </c>
      <c r="GK50" s="646">
        <v>32.628665162482385</v>
      </c>
      <c r="GL50" s="646">
        <v>2450</v>
      </c>
      <c r="GM50" s="563" t="s">
        <v>1587</v>
      </c>
      <c r="GN50" s="563">
        <v>5</v>
      </c>
      <c r="GO50" s="563">
        <v>0</v>
      </c>
      <c r="GP50" s="563">
        <v>0</v>
      </c>
      <c r="GQ50" s="563">
        <v>0</v>
      </c>
      <c r="GR50" s="650">
        <v>3301.421756122395</v>
      </c>
      <c r="GS50" s="563">
        <v>0</v>
      </c>
      <c r="GT50" s="563">
        <v>0</v>
      </c>
      <c r="GU50" s="563">
        <v>0</v>
      </c>
      <c r="GV50" s="650">
        <v>3140.7099339073602</v>
      </c>
      <c r="GW50" s="564">
        <v>3140.7099339073602</v>
      </c>
      <c r="GX50" s="565">
        <v>203.09227667405855</v>
      </c>
      <c r="GY50" s="649">
        <v>40.440060000000003</v>
      </c>
      <c r="GZ50" s="646">
        <v>200.20513325135988</v>
      </c>
      <c r="HA50" s="646">
        <v>0</v>
      </c>
      <c r="HB50" s="646">
        <v>0</v>
      </c>
      <c r="HC50" s="646">
        <v>68.103480135578451</v>
      </c>
      <c r="HD50" s="646">
        <v>34.109808688146451</v>
      </c>
      <c r="HE50" s="646">
        <v>3062.5</v>
      </c>
      <c r="HF50" s="563" t="s">
        <v>1587</v>
      </c>
      <c r="HG50" s="563">
        <v>6</v>
      </c>
      <c r="HH50" s="563">
        <v>0</v>
      </c>
      <c r="HI50" s="563">
        <v>0</v>
      </c>
      <c r="HJ50" s="563">
        <v>0</v>
      </c>
      <c r="HK50" s="650">
        <v>3784.7333577316276</v>
      </c>
      <c r="HL50" s="563">
        <v>0</v>
      </c>
      <c r="HM50" s="563">
        <v>0</v>
      </c>
      <c r="HN50" s="563">
        <v>0</v>
      </c>
      <c r="HO50" s="650">
        <v>3671.8923939418946</v>
      </c>
      <c r="HP50" s="564">
        <v>3671.8923939418946</v>
      </c>
      <c r="HQ50" s="565">
        <v>237.44089765719031</v>
      </c>
      <c r="HR50" s="649">
        <v>33.700050000000005</v>
      </c>
      <c r="HS50" s="646">
        <v>193.46512325135987</v>
      </c>
      <c r="HT50" s="646">
        <v>0</v>
      </c>
      <c r="HU50" s="646">
        <v>0</v>
      </c>
      <c r="HV50" s="646">
        <v>67.253545092569397</v>
      </c>
      <c r="HW50" s="646">
        <v>32.628665162482385</v>
      </c>
      <c r="HX50" s="646">
        <v>2450</v>
      </c>
      <c r="HY50" s="563" t="s">
        <v>68</v>
      </c>
      <c r="HZ50" s="563">
        <v>5</v>
      </c>
      <c r="IA50" s="563">
        <v>0</v>
      </c>
      <c r="IB50" s="563">
        <v>0</v>
      </c>
      <c r="IC50" s="563">
        <v>0</v>
      </c>
      <c r="ID50" s="650">
        <v>2911.580313212663</v>
      </c>
      <c r="IE50" s="563">
        <v>0</v>
      </c>
      <c r="IF50" s="563">
        <v>0</v>
      </c>
      <c r="IG50" s="563">
        <v>0</v>
      </c>
      <c r="IH50" s="650">
        <v>2769.8458084363265</v>
      </c>
      <c r="II50" s="564">
        <v>2769.8458084363265</v>
      </c>
      <c r="IJ50" s="565">
        <v>179.11055242582762</v>
      </c>
      <c r="IK50" s="649">
        <v>26.960040000000003</v>
      </c>
      <c r="IL50" s="646">
        <v>198.85281119998766</v>
      </c>
      <c r="IM50" s="646">
        <v>2.684407518207212</v>
      </c>
      <c r="IN50" s="646">
        <v>9.4432904304205785</v>
      </c>
      <c r="IO50" s="646">
        <v>66.70285873475639</v>
      </c>
      <c r="IP50" s="646">
        <v>34.391760313154656</v>
      </c>
      <c r="IQ50" s="646">
        <v>3062.5</v>
      </c>
      <c r="IR50" s="563" t="s">
        <v>68</v>
      </c>
      <c r="IS50" s="563">
        <v>4</v>
      </c>
      <c r="IT50" s="563">
        <v>1</v>
      </c>
      <c r="IU50" s="563">
        <v>6</v>
      </c>
      <c r="IV50" s="563">
        <v>82.200733801855634</v>
      </c>
      <c r="IW50" s="650">
        <v>5526.7334850218922</v>
      </c>
      <c r="IX50" s="563">
        <v>1</v>
      </c>
      <c r="IY50" s="563">
        <v>6</v>
      </c>
      <c r="IZ50" s="563">
        <v>108.08053165111932</v>
      </c>
      <c r="JA50" s="650">
        <v>3704.521650620165</v>
      </c>
      <c r="JB50" s="564">
        <v>3704.521650620165</v>
      </c>
      <c r="JC50" s="565">
        <v>239.55085055460029</v>
      </c>
      <c r="JD50" s="649">
        <v>26.960040000000003</v>
      </c>
      <c r="JE50" s="646">
        <v>186.72511325135986</v>
      </c>
      <c r="JF50" s="646">
        <v>0</v>
      </c>
      <c r="JG50" s="646">
        <v>0</v>
      </c>
      <c r="JH50" s="646">
        <v>66.342251718166295</v>
      </c>
      <c r="JI50" s="646">
        <v>31.147521636818325</v>
      </c>
      <c r="JJ50" s="646">
        <v>2450</v>
      </c>
      <c r="JK50" s="563" t="s">
        <v>67</v>
      </c>
      <c r="JL50" s="563">
        <v>4</v>
      </c>
      <c r="JM50" s="563">
        <v>0</v>
      </c>
      <c r="JN50" s="563">
        <v>0</v>
      </c>
      <c r="JO50" s="563">
        <v>0</v>
      </c>
      <c r="JP50" s="650">
        <v>3436.5410760561695</v>
      </c>
      <c r="JQ50" s="563">
        <v>0</v>
      </c>
      <c r="JR50" s="563">
        <v>0</v>
      </c>
      <c r="JS50" s="563">
        <v>0</v>
      </c>
      <c r="JT50" s="650">
        <v>3228.88763315198</v>
      </c>
      <c r="JU50" s="564">
        <v>3228.88763315198</v>
      </c>
      <c r="JV50" s="565">
        <v>208.79423899096395</v>
      </c>
      <c r="JW50" s="649">
        <v>33.700050000000005</v>
      </c>
      <c r="JX50" s="646">
        <v>193.46512325135987</v>
      </c>
      <c r="JY50" s="646">
        <v>0</v>
      </c>
      <c r="JZ50" s="646">
        <v>0</v>
      </c>
      <c r="KA50" s="646">
        <v>67.253545092569397</v>
      </c>
      <c r="KB50" s="646">
        <v>32.628665162482385</v>
      </c>
      <c r="KC50" s="646">
        <v>3062.5</v>
      </c>
      <c r="KD50" s="563" t="s">
        <v>67</v>
      </c>
      <c r="KE50" s="563">
        <v>5</v>
      </c>
      <c r="KF50" s="563">
        <v>0</v>
      </c>
      <c r="KG50" s="563">
        <v>0</v>
      </c>
      <c r="KH50" s="563">
        <v>0</v>
      </c>
      <c r="KI50" s="650">
        <v>3967.8151412105549</v>
      </c>
      <c r="KJ50" s="563">
        <v>0</v>
      </c>
      <c r="KK50" s="563">
        <v>0</v>
      </c>
      <c r="KL50" s="563">
        <v>0</v>
      </c>
      <c r="KM50" s="650">
        <v>3774.6635693540347</v>
      </c>
      <c r="KN50" s="564">
        <v>3774.6635693540347</v>
      </c>
      <c r="KO50" s="566">
        <v>244.08653906634572</v>
      </c>
    </row>
    <row r="51" spans="1:301" ht="15" customHeight="1">
      <c r="A51" s="663" t="s">
        <v>828</v>
      </c>
      <c r="B51" s="629" t="s">
        <v>387</v>
      </c>
      <c r="C51" s="629">
        <v>545</v>
      </c>
      <c r="D51" s="629">
        <v>1235</v>
      </c>
      <c r="E51" s="629">
        <v>560</v>
      </c>
      <c r="F51" s="629">
        <v>500</v>
      </c>
      <c r="G51" s="629">
        <v>319</v>
      </c>
      <c r="H51" s="629">
        <v>215</v>
      </c>
      <c r="I51" s="629">
        <v>152</v>
      </c>
      <c r="J51" s="629">
        <v>34.9</v>
      </c>
      <c r="K51" s="629">
        <v>42.35</v>
      </c>
      <c r="L51" s="629">
        <v>10</v>
      </c>
      <c r="M51" s="629">
        <v>520</v>
      </c>
      <c r="N51" s="629">
        <v>6</v>
      </c>
      <c r="O51" s="623">
        <v>44.820739142115009</v>
      </c>
      <c r="P51" s="629">
        <v>6</v>
      </c>
      <c r="Q51" s="623">
        <v>30.555225508477392</v>
      </c>
      <c r="R51" s="629">
        <v>18.000000000000004</v>
      </c>
      <c r="S51" s="629">
        <v>836.20282289980662</v>
      </c>
      <c r="T51" s="645">
        <v>77.598852989968307</v>
      </c>
      <c r="U51" s="645">
        <v>125.43042343497099</v>
      </c>
      <c r="V51" s="645">
        <v>122.5</v>
      </c>
      <c r="W51" s="793">
        <v>8.911743273066671</v>
      </c>
      <c r="X51" s="646">
        <v>0</v>
      </c>
      <c r="Y51" s="646">
        <v>0</v>
      </c>
      <c r="Z51" s="646">
        <v>0</v>
      </c>
      <c r="AA51" s="646">
        <v>0</v>
      </c>
      <c r="AB51" s="647">
        <v>45.604486769194466</v>
      </c>
      <c r="AC51" s="784">
        <v>4000</v>
      </c>
      <c r="AD51" s="631">
        <v>0.22801980946694117</v>
      </c>
      <c r="AE51" s="631">
        <v>0.69760966264445146</v>
      </c>
      <c r="AF51" s="631">
        <v>-0.32089746306405309</v>
      </c>
      <c r="AG51" s="631">
        <v>1.0538003632140107</v>
      </c>
      <c r="AH51" s="629"/>
      <c r="AI51" s="648">
        <v>6.2334698761052394</v>
      </c>
      <c r="AJ51" s="649">
        <v>59.923760000000016</v>
      </c>
      <c r="AK51" s="646">
        <v>221.81032091362741</v>
      </c>
      <c r="AL51" s="646">
        <v>0</v>
      </c>
      <c r="AM51" s="646">
        <v>0</v>
      </c>
      <c r="AN51" s="646">
        <v>78.509253639492542</v>
      </c>
      <c r="AO51" s="646">
        <v>39.230286954200466</v>
      </c>
      <c r="AP51" s="801">
        <v>2550</v>
      </c>
      <c r="AQ51" s="563" t="s">
        <v>71</v>
      </c>
      <c r="AR51" s="563">
        <v>8</v>
      </c>
      <c r="AS51" s="563">
        <v>0</v>
      </c>
      <c r="AT51" s="563">
        <v>0</v>
      </c>
      <c r="AU51" s="563">
        <v>0</v>
      </c>
      <c r="AV51" s="650">
        <v>3010.4593142241729</v>
      </c>
      <c r="AW51" s="563">
        <v>0</v>
      </c>
      <c r="AX51" s="563">
        <v>0</v>
      </c>
      <c r="AY51" s="563">
        <v>0</v>
      </c>
      <c r="AZ51" s="650">
        <v>3161.4666065001798</v>
      </c>
      <c r="BA51" s="564">
        <v>3010.4593142241729</v>
      </c>
      <c r="BB51" s="565">
        <v>194.66969214815953</v>
      </c>
      <c r="BC51" s="649">
        <v>44.942820000000012</v>
      </c>
      <c r="BD51" s="646">
        <v>206.8293809136274</v>
      </c>
      <c r="BE51" s="646">
        <v>0</v>
      </c>
      <c r="BF51" s="646">
        <v>0</v>
      </c>
      <c r="BG51" s="646">
        <v>76.409413520726488</v>
      </c>
      <c r="BH51" s="646">
        <v>35.817909714825468</v>
      </c>
      <c r="BI51" s="646">
        <v>3187.5</v>
      </c>
      <c r="BJ51" s="563" t="s">
        <v>67</v>
      </c>
      <c r="BK51" s="563">
        <v>6</v>
      </c>
      <c r="BL51" s="563">
        <v>0</v>
      </c>
      <c r="BM51" s="563">
        <v>0</v>
      </c>
      <c r="BN51" s="563">
        <v>0</v>
      </c>
      <c r="BO51" s="650">
        <v>3641.0481292011063</v>
      </c>
      <c r="BP51" s="563">
        <v>0</v>
      </c>
      <c r="BQ51" s="563">
        <v>0</v>
      </c>
      <c r="BR51" s="563">
        <v>0</v>
      </c>
      <c r="BS51" s="650">
        <v>3528.3955033927887</v>
      </c>
      <c r="BT51" s="564">
        <v>3528.3955033927887</v>
      </c>
      <c r="BU51" s="565">
        <v>228.16175032727145</v>
      </c>
      <c r="BV51" s="649">
        <v>59.923760000000016</v>
      </c>
      <c r="BW51" s="646">
        <v>221.81032091362741</v>
      </c>
      <c r="BX51" s="646">
        <v>0</v>
      </c>
      <c r="BY51" s="646">
        <v>0</v>
      </c>
      <c r="BZ51" s="646">
        <v>78.509253639492542</v>
      </c>
      <c r="CA51" s="646">
        <v>39.230286954200466</v>
      </c>
      <c r="CB51" s="646">
        <v>2550</v>
      </c>
      <c r="CC51" s="563" t="s">
        <v>1584</v>
      </c>
      <c r="CD51" s="563">
        <v>8</v>
      </c>
      <c r="CE51" s="563">
        <v>0</v>
      </c>
      <c r="CF51" s="563">
        <v>0</v>
      </c>
      <c r="CG51" s="563">
        <v>0</v>
      </c>
      <c r="CH51" s="650">
        <v>2949.6356845032769</v>
      </c>
      <c r="CI51" s="563">
        <v>0</v>
      </c>
      <c r="CJ51" s="563">
        <v>0</v>
      </c>
      <c r="CK51" s="563">
        <v>0</v>
      </c>
      <c r="CL51" s="650">
        <v>3097.5920099094933</v>
      </c>
      <c r="CM51" s="564">
        <v>2949.6356845032769</v>
      </c>
      <c r="CN51" s="565">
        <v>190.73656565907032</v>
      </c>
      <c r="CO51" s="649">
        <v>29.961880000000008</v>
      </c>
      <c r="CP51" s="646">
        <v>-1181.1687304322591</v>
      </c>
      <c r="CQ51" s="646">
        <v>2.9812291899495431</v>
      </c>
      <c r="CR51" s="646">
        <v>-1375.998400535836</v>
      </c>
      <c r="CS51" s="646">
        <v>76.248323662767234</v>
      </c>
      <c r="CT51" s="646">
        <v>-418.23618654541968</v>
      </c>
      <c r="CU51" s="646">
        <v>3187.5</v>
      </c>
      <c r="CV51" s="563" t="s">
        <v>1588</v>
      </c>
      <c r="CW51" s="563">
        <v>4</v>
      </c>
      <c r="CX51" s="563">
        <v>1</v>
      </c>
      <c r="CY51" s="563">
        <v>6</v>
      </c>
      <c r="CZ51" s="563">
        <v>79.774930540658218</v>
      </c>
      <c r="DA51" s="650">
        <v>3805.5539847707505</v>
      </c>
      <c r="DB51" s="563">
        <v>1</v>
      </c>
      <c r="DC51" s="563">
        <v>-1000</v>
      </c>
      <c r="DD51" s="563">
        <v>93.92883752701708</v>
      </c>
      <c r="DE51" s="650">
        <v>-1</v>
      </c>
      <c r="DF51" s="564">
        <v>-1</v>
      </c>
      <c r="DG51" s="565">
        <v>-6.4664448786389911E-2</v>
      </c>
      <c r="DH51" s="649">
        <v>59.923760000000016</v>
      </c>
      <c r="DI51" s="646">
        <v>221.81032091362741</v>
      </c>
      <c r="DJ51" s="646">
        <v>0</v>
      </c>
      <c r="DK51" s="646">
        <v>0</v>
      </c>
      <c r="DL51" s="646">
        <v>78.509253639492542</v>
      </c>
      <c r="DM51" s="646">
        <v>39.230286954200466</v>
      </c>
      <c r="DN51" s="646">
        <v>2550</v>
      </c>
      <c r="DO51" s="563" t="s">
        <v>1588</v>
      </c>
      <c r="DP51" s="563">
        <v>8</v>
      </c>
      <c r="DQ51" s="563">
        <v>0</v>
      </c>
      <c r="DR51" s="563">
        <v>0</v>
      </c>
      <c r="DS51" s="563">
        <v>0</v>
      </c>
      <c r="DT51" s="650">
        <v>3070.0781576212421</v>
      </c>
      <c r="DU51" s="563">
        <v>0</v>
      </c>
      <c r="DV51" s="563">
        <v>0</v>
      </c>
      <c r="DW51" s="563">
        <v>0</v>
      </c>
      <c r="DX51" s="650">
        <v>3224.075983623276</v>
      </c>
      <c r="DY51" s="564">
        <v>3070.0781576212421</v>
      </c>
      <c r="DZ51" s="565">
        <v>198.52491179371313</v>
      </c>
      <c r="EA51" s="649">
        <v>29.961880000000008</v>
      </c>
      <c r="EB51" s="646">
        <v>282.89356773787046</v>
      </c>
      <c r="EC51" s="646">
        <v>2.9812291899495431</v>
      </c>
      <c r="ED51" s="646">
        <v>88.063897634293511</v>
      </c>
      <c r="EE51" s="646">
        <v>74.96317138691947</v>
      </c>
      <c r="EF51" s="646">
        <v>61.561194504094104</v>
      </c>
      <c r="EG51" s="646">
        <v>3187.5</v>
      </c>
      <c r="EH51" s="563" t="s">
        <v>1589</v>
      </c>
      <c r="EI51" s="563">
        <v>4</v>
      </c>
      <c r="EJ51" s="563">
        <v>1</v>
      </c>
      <c r="EK51" s="563">
        <v>6</v>
      </c>
      <c r="EL51" s="563">
        <v>79.774930540658218</v>
      </c>
      <c r="EM51" s="650">
        <v>4053.6124125213864</v>
      </c>
      <c r="EN51" s="563">
        <v>1</v>
      </c>
      <c r="EO51" s="563">
        <v>64</v>
      </c>
      <c r="EP51" s="563">
        <v>93.92883752701708</v>
      </c>
      <c r="EQ51" s="650">
        <v>-1</v>
      </c>
      <c r="ER51" s="564">
        <v>-1</v>
      </c>
      <c r="ES51" s="565">
        <v>-6.4664448786389911E-2</v>
      </c>
      <c r="ET51" s="649">
        <v>59.923760000000016</v>
      </c>
      <c r="EU51" s="646">
        <v>221.81032091362741</v>
      </c>
      <c r="EV51" s="646">
        <v>0</v>
      </c>
      <c r="EW51" s="646">
        <v>0</v>
      </c>
      <c r="EX51" s="646">
        <v>78.509253639492542</v>
      </c>
      <c r="EY51" s="646">
        <v>39.230286954200466</v>
      </c>
      <c r="EZ51" s="646">
        <v>2550</v>
      </c>
      <c r="FA51" s="563" t="s">
        <v>1589</v>
      </c>
      <c r="FB51" s="563">
        <v>8</v>
      </c>
      <c r="FC51" s="563">
        <v>0</v>
      </c>
      <c r="FD51" s="563">
        <v>0</v>
      </c>
      <c r="FE51" s="563">
        <v>0</v>
      </c>
      <c r="FF51" s="650">
        <v>3270.1958708106331</v>
      </c>
      <c r="FG51" s="563">
        <v>0</v>
      </c>
      <c r="FH51" s="563">
        <v>0</v>
      </c>
      <c r="FI51" s="563">
        <v>0</v>
      </c>
      <c r="FJ51" s="650">
        <v>3434.2317776671111</v>
      </c>
      <c r="FK51" s="564">
        <v>3270.1958708106331</v>
      </c>
      <c r="FL51" s="565">
        <v>211.46541340949796</v>
      </c>
      <c r="FM51" s="649">
        <v>59.923760000000016</v>
      </c>
      <c r="FN51" s="646">
        <v>221.81032091362741</v>
      </c>
      <c r="FO51" s="646">
        <v>0</v>
      </c>
      <c r="FP51" s="646">
        <v>0</v>
      </c>
      <c r="FQ51" s="646">
        <v>78.509253639492542</v>
      </c>
      <c r="FR51" s="646">
        <v>39.230286954200466</v>
      </c>
      <c r="FS51" s="646">
        <v>3187.5</v>
      </c>
      <c r="FT51" s="563" t="s">
        <v>1587</v>
      </c>
      <c r="FU51" s="563">
        <v>8</v>
      </c>
      <c r="FV51" s="563">
        <v>0</v>
      </c>
      <c r="FW51" s="563">
        <v>0</v>
      </c>
      <c r="FX51" s="563">
        <v>0</v>
      </c>
      <c r="FY51" s="650">
        <v>4038.9550020615911</v>
      </c>
      <c r="FZ51" s="563">
        <v>0</v>
      </c>
      <c r="GA51" s="563">
        <v>0</v>
      </c>
      <c r="GB51" s="563">
        <v>0</v>
      </c>
      <c r="GC51" s="650">
        <v>4241.5525444379891</v>
      </c>
      <c r="GD51" s="564">
        <v>4000</v>
      </c>
      <c r="GE51" s="565">
        <v>258.65779514555965</v>
      </c>
      <c r="GF51" s="649">
        <v>44.942820000000012</v>
      </c>
      <c r="GG51" s="646">
        <v>206.8293809136274</v>
      </c>
      <c r="GH51" s="646">
        <v>0</v>
      </c>
      <c r="GI51" s="646">
        <v>0</v>
      </c>
      <c r="GJ51" s="646">
        <v>76.409413520726488</v>
      </c>
      <c r="GK51" s="646">
        <v>35.817909714825468</v>
      </c>
      <c r="GL51" s="646">
        <v>2550</v>
      </c>
      <c r="GM51" s="563" t="s">
        <v>1587</v>
      </c>
      <c r="GN51" s="563">
        <v>6</v>
      </c>
      <c r="GO51" s="563">
        <v>0</v>
      </c>
      <c r="GP51" s="563">
        <v>0</v>
      </c>
      <c r="GQ51" s="563">
        <v>0</v>
      </c>
      <c r="GR51" s="650">
        <v>3029.5351676000359</v>
      </c>
      <c r="GS51" s="563">
        <v>0</v>
      </c>
      <c r="GT51" s="563">
        <v>0</v>
      </c>
      <c r="GU51" s="563">
        <v>0</v>
      </c>
      <c r="GV51" s="650">
        <v>2935.8025171382933</v>
      </c>
      <c r="GW51" s="564">
        <v>2935.8025171382933</v>
      </c>
      <c r="GX51" s="565">
        <v>189.84205151644377</v>
      </c>
      <c r="GY51" s="649">
        <v>59.923760000000016</v>
      </c>
      <c r="GZ51" s="646">
        <v>221.81032091362741</v>
      </c>
      <c r="HA51" s="646">
        <v>0</v>
      </c>
      <c r="HB51" s="646">
        <v>0</v>
      </c>
      <c r="HC51" s="646">
        <v>78.509253639492542</v>
      </c>
      <c r="HD51" s="646">
        <v>39.230286954200466</v>
      </c>
      <c r="HE51" s="646">
        <v>3187.5</v>
      </c>
      <c r="HF51" s="563" t="s">
        <v>1587</v>
      </c>
      <c r="HG51" s="563">
        <v>8</v>
      </c>
      <c r="HH51" s="563">
        <v>0</v>
      </c>
      <c r="HI51" s="563">
        <v>0</v>
      </c>
      <c r="HJ51" s="563">
        <v>0</v>
      </c>
      <c r="HK51" s="650">
        <v>4038.9550020615911</v>
      </c>
      <c r="HL51" s="563">
        <v>0</v>
      </c>
      <c r="HM51" s="563">
        <v>0</v>
      </c>
      <c r="HN51" s="563">
        <v>0</v>
      </c>
      <c r="HO51" s="650">
        <v>4241.5525444379891</v>
      </c>
      <c r="HP51" s="564">
        <v>4000</v>
      </c>
      <c r="HQ51" s="565">
        <v>258.65779514555965</v>
      </c>
      <c r="HR51" s="649">
        <v>29.961880000000008</v>
      </c>
      <c r="HS51" s="646">
        <v>203.08566050679195</v>
      </c>
      <c r="HT51" s="646">
        <v>2.9812291899495431</v>
      </c>
      <c r="HU51" s="646">
        <v>8.2559904032150158</v>
      </c>
      <c r="HV51" s="646">
        <v>74.555722030028548</v>
      </c>
      <c r="HW51" s="646">
        <v>35.406825988237145</v>
      </c>
      <c r="HX51" s="646">
        <v>2550</v>
      </c>
      <c r="HY51" s="563" t="s">
        <v>68</v>
      </c>
      <c r="HZ51" s="563">
        <v>4</v>
      </c>
      <c r="IA51" s="563">
        <v>1</v>
      </c>
      <c r="IB51" s="563">
        <v>6</v>
      </c>
      <c r="IC51" s="563">
        <v>79.774930540658218</v>
      </c>
      <c r="ID51" s="650">
        <v>4415.3510165590669</v>
      </c>
      <c r="IE51" s="563">
        <v>1</v>
      </c>
      <c r="IF51" s="563">
        <v>6</v>
      </c>
      <c r="IG51" s="563">
        <v>93.92883752701708</v>
      </c>
      <c r="IH51" s="650">
        <v>3550.4606324460456</v>
      </c>
      <c r="II51" s="564">
        <v>3550.4606324460456</v>
      </c>
      <c r="IJ51" s="565">
        <v>229.58857973490086</v>
      </c>
      <c r="IK51" s="649">
        <v>29.961880000000008</v>
      </c>
      <c r="IL51" s="646">
        <v>203.08566050679195</v>
      </c>
      <c r="IM51" s="646">
        <v>2.9812291899495431</v>
      </c>
      <c r="IN51" s="646">
        <v>8.2559904032150158</v>
      </c>
      <c r="IO51" s="646">
        <v>74.555722030028548</v>
      </c>
      <c r="IP51" s="646">
        <v>35.406825988237145</v>
      </c>
      <c r="IQ51" s="646">
        <v>3187.5</v>
      </c>
      <c r="IR51" s="563" t="s">
        <v>68</v>
      </c>
      <c r="IS51" s="563">
        <v>4</v>
      </c>
      <c r="IT51" s="563">
        <v>1</v>
      </c>
      <c r="IU51" s="563">
        <v>6</v>
      </c>
      <c r="IV51" s="563">
        <v>79.774930540658218</v>
      </c>
      <c r="IW51" s="650">
        <v>4415.3510165590669</v>
      </c>
      <c r="IX51" s="563">
        <v>1</v>
      </c>
      <c r="IY51" s="563">
        <v>6</v>
      </c>
      <c r="IZ51" s="563">
        <v>93.92883752701708</v>
      </c>
      <c r="JA51" s="650">
        <v>3550.4606324460456</v>
      </c>
      <c r="JB51" s="564">
        <v>3550.4606324460456</v>
      </c>
      <c r="JC51" s="565">
        <v>229.58857973490086</v>
      </c>
      <c r="JD51" s="649">
        <v>37.45235000000001</v>
      </c>
      <c r="JE51" s="646">
        <v>199.33891091362739</v>
      </c>
      <c r="JF51" s="646">
        <v>0</v>
      </c>
      <c r="JG51" s="646">
        <v>0</v>
      </c>
      <c r="JH51" s="646">
        <v>75.241136317655432</v>
      </c>
      <c r="JI51" s="646">
        <v>34.111721095137966</v>
      </c>
      <c r="JJ51" s="646">
        <v>2550</v>
      </c>
      <c r="JK51" s="563" t="s">
        <v>67</v>
      </c>
      <c r="JL51" s="563">
        <v>5</v>
      </c>
      <c r="JM51" s="563">
        <v>0</v>
      </c>
      <c r="JN51" s="563">
        <v>0</v>
      </c>
      <c r="JO51" s="563">
        <v>0</v>
      </c>
      <c r="JP51" s="650">
        <v>3199.100795115417</v>
      </c>
      <c r="JQ51" s="563">
        <v>0</v>
      </c>
      <c r="JR51" s="563">
        <v>0</v>
      </c>
      <c r="JS51" s="563">
        <v>0</v>
      </c>
      <c r="JT51" s="650">
        <v>3050.7156508529674</v>
      </c>
      <c r="JU51" s="564">
        <v>3050.7156508529674</v>
      </c>
      <c r="JV51" s="565">
        <v>197.27284596641988</v>
      </c>
      <c r="JW51" s="649">
        <v>44.942820000000012</v>
      </c>
      <c r="JX51" s="646">
        <v>206.8293809136274</v>
      </c>
      <c r="JY51" s="646">
        <v>0</v>
      </c>
      <c r="JZ51" s="646">
        <v>0</v>
      </c>
      <c r="KA51" s="646">
        <v>76.409413520726488</v>
      </c>
      <c r="KB51" s="646">
        <v>35.817909714825468</v>
      </c>
      <c r="KC51" s="646">
        <v>3187.5</v>
      </c>
      <c r="KD51" s="563" t="s">
        <v>67</v>
      </c>
      <c r="KE51" s="563">
        <v>6</v>
      </c>
      <c r="KF51" s="563">
        <v>0</v>
      </c>
      <c r="KG51" s="563">
        <v>0</v>
      </c>
      <c r="KH51" s="563">
        <v>0</v>
      </c>
      <c r="KI51" s="650">
        <v>3641.0481292011063</v>
      </c>
      <c r="KJ51" s="563">
        <v>0</v>
      </c>
      <c r="KK51" s="563">
        <v>0</v>
      </c>
      <c r="KL51" s="563">
        <v>0</v>
      </c>
      <c r="KM51" s="650">
        <v>3528.3955033927887</v>
      </c>
      <c r="KN51" s="564">
        <v>3528.3955033927887</v>
      </c>
      <c r="KO51" s="566">
        <v>228.16175032727145</v>
      </c>
    </row>
    <row r="52" spans="1:301" ht="15" customHeight="1">
      <c r="A52" s="663" t="s">
        <v>829</v>
      </c>
      <c r="B52" s="629" t="s">
        <v>388</v>
      </c>
      <c r="C52" s="629">
        <v>608</v>
      </c>
      <c r="D52" s="629">
        <v>1235</v>
      </c>
      <c r="E52" s="629">
        <v>630</v>
      </c>
      <c r="F52" s="629">
        <v>560</v>
      </c>
      <c r="G52" s="629">
        <v>344</v>
      </c>
      <c r="H52" s="629">
        <v>235</v>
      </c>
      <c r="I52" s="629">
        <v>159</v>
      </c>
      <c r="J52" s="629">
        <v>35.11</v>
      </c>
      <c r="K52" s="629">
        <v>46.25</v>
      </c>
      <c r="L52" s="629">
        <v>10</v>
      </c>
      <c r="M52" s="629">
        <v>498</v>
      </c>
      <c r="N52" s="629">
        <v>6</v>
      </c>
      <c r="O52" s="623">
        <v>41.739284425896557</v>
      </c>
      <c r="P52" s="629">
        <v>6</v>
      </c>
      <c r="Q52" s="623">
        <v>29.169694911946468</v>
      </c>
      <c r="R52" s="629">
        <v>18.000000000000004</v>
      </c>
      <c r="S52" s="629">
        <v>858.30634134274305</v>
      </c>
      <c r="T52" s="645">
        <v>81.755444779561088</v>
      </c>
      <c r="U52" s="645">
        <v>128.74595120141146</v>
      </c>
      <c r="V52" s="645">
        <v>135</v>
      </c>
      <c r="W52" s="793">
        <v>10.347173479913199</v>
      </c>
      <c r="X52" s="646">
        <v>0</v>
      </c>
      <c r="Y52" s="646">
        <v>0</v>
      </c>
      <c r="Z52" s="646">
        <v>0</v>
      </c>
      <c r="AA52" s="646">
        <v>0</v>
      </c>
      <c r="AB52" s="647">
        <v>39.078896121766903</v>
      </c>
      <c r="AC52" s="784">
        <v>3517.7868805001731</v>
      </c>
      <c r="AD52" s="631">
        <v>0.39417283128172559</v>
      </c>
      <c r="AE52" s="631">
        <v>0.70307254571432942</v>
      </c>
      <c r="AF52" s="631">
        <v>-0.34362615339724906</v>
      </c>
      <c r="AG52" s="631">
        <v>0.85726127023619103</v>
      </c>
      <c r="AH52" s="629"/>
      <c r="AI52" s="648">
        <v>6.1730888017231837</v>
      </c>
      <c r="AJ52" s="649">
        <v>38.506605000000008</v>
      </c>
      <c r="AK52" s="646">
        <v>201.51820259731733</v>
      </c>
      <c r="AL52" s="646">
        <v>0</v>
      </c>
      <c r="AM52" s="646">
        <v>0</v>
      </c>
      <c r="AN52" s="646">
        <v>78.677757249125008</v>
      </c>
      <c r="AO52" s="646">
        <v>34.925203563447319</v>
      </c>
      <c r="AP52" s="801">
        <v>2400</v>
      </c>
      <c r="AQ52" s="563" t="s">
        <v>67</v>
      </c>
      <c r="AR52" s="563">
        <v>5</v>
      </c>
      <c r="AS52" s="563">
        <v>0</v>
      </c>
      <c r="AT52" s="563">
        <v>0</v>
      </c>
      <c r="AU52" s="563">
        <v>0</v>
      </c>
      <c r="AV52" s="650">
        <v>2812.4499923374415</v>
      </c>
      <c r="AW52" s="563">
        <v>0</v>
      </c>
      <c r="AX52" s="563">
        <v>0</v>
      </c>
      <c r="AY52" s="563">
        <v>0</v>
      </c>
      <c r="AZ52" s="650">
        <v>2995.8057399574727</v>
      </c>
      <c r="BA52" s="564">
        <v>2812.4499923374415</v>
      </c>
      <c r="BB52" s="565">
        <v>181.8655284937872</v>
      </c>
      <c r="BC52" s="649">
        <v>46.207926000000008</v>
      </c>
      <c r="BD52" s="646">
        <v>213.18775375630301</v>
      </c>
      <c r="BE52" s="646">
        <v>3.9682301589856834</v>
      </c>
      <c r="BF52" s="646">
        <v>0</v>
      </c>
      <c r="BG52" s="646">
        <v>80.802823721778822</v>
      </c>
      <c r="BH52" s="646">
        <v>37.210564012973848</v>
      </c>
      <c r="BI52" s="646">
        <v>3000</v>
      </c>
      <c r="BJ52" s="563" t="s">
        <v>67</v>
      </c>
      <c r="BK52" s="563">
        <v>6</v>
      </c>
      <c r="BL52" s="563">
        <v>1</v>
      </c>
      <c r="BM52" s="563">
        <v>8</v>
      </c>
      <c r="BN52" s="563">
        <v>70.217462216034889</v>
      </c>
      <c r="BO52" s="650">
        <v>7482.8429399786837</v>
      </c>
      <c r="BP52" s="563">
        <v>0</v>
      </c>
      <c r="BQ52" s="563">
        <v>0</v>
      </c>
      <c r="BR52" s="563">
        <v>0</v>
      </c>
      <c r="BS52" s="650">
        <v>3454.0780157745289</v>
      </c>
      <c r="BT52" s="564">
        <v>3454.0780157745289</v>
      </c>
      <c r="BU52" s="565">
        <v>223.3560509552473</v>
      </c>
      <c r="BV52" s="649">
        <v>61.610568000000008</v>
      </c>
      <c r="BW52" s="646">
        <v>224.62216559731732</v>
      </c>
      <c r="BX52" s="646">
        <v>0</v>
      </c>
      <c r="BY52" s="646">
        <v>0</v>
      </c>
      <c r="BZ52" s="646">
        <v>82.670896829575852</v>
      </c>
      <c r="CA52" s="646">
        <v>40.397634231585691</v>
      </c>
      <c r="CB52" s="646">
        <v>2400</v>
      </c>
      <c r="CC52" s="563" t="s">
        <v>1588</v>
      </c>
      <c r="CD52" s="563">
        <v>8</v>
      </c>
      <c r="CE52" s="563">
        <v>0</v>
      </c>
      <c r="CF52" s="563">
        <v>0</v>
      </c>
      <c r="CG52" s="563">
        <v>0</v>
      </c>
      <c r="CH52" s="650">
        <v>2654.1983922499849</v>
      </c>
      <c r="CI52" s="563">
        <v>0</v>
      </c>
      <c r="CJ52" s="563">
        <v>0</v>
      </c>
      <c r="CK52" s="563">
        <v>0</v>
      </c>
      <c r="CL52" s="650">
        <v>3103.2556255367394</v>
      </c>
      <c r="CM52" s="564">
        <v>2654.1983922499849</v>
      </c>
      <c r="CN52" s="565">
        <v>171.63227600456761</v>
      </c>
      <c r="CO52" s="649">
        <v>30.805284000000004</v>
      </c>
      <c r="CP52" s="646">
        <v>-1098.2616949661383</v>
      </c>
      <c r="CQ52" s="646">
        <v>2.9761726192392621</v>
      </c>
      <c r="CR52" s="646">
        <v>-1295.0547491826949</v>
      </c>
      <c r="CS52" s="646">
        <v>79.814362707273119</v>
      </c>
      <c r="CT52" s="646">
        <v>-394.87610014234986</v>
      </c>
      <c r="CU52" s="646">
        <v>3000</v>
      </c>
      <c r="CV52" s="563" t="s">
        <v>1588</v>
      </c>
      <c r="CW52" s="563">
        <v>4</v>
      </c>
      <c r="CX52" s="563">
        <v>1</v>
      </c>
      <c r="CY52" s="563">
        <v>6</v>
      </c>
      <c r="CZ52" s="563">
        <v>70.217462216034889</v>
      </c>
      <c r="DA52" s="650">
        <v>3332.5361744061743</v>
      </c>
      <c r="DB52" s="563">
        <v>1</v>
      </c>
      <c r="DC52" s="563">
        <v>-1000</v>
      </c>
      <c r="DD52" s="563">
        <v>88.190449968365456</v>
      </c>
      <c r="DE52" s="650">
        <v>-1</v>
      </c>
      <c r="DF52" s="564">
        <v>-1</v>
      </c>
      <c r="DG52" s="565">
        <v>-6.4664448786389911E-2</v>
      </c>
      <c r="DH52" s="649">
        <v>61.610568000000008</v>
      </c>
      <c r="DI52" s="646">
        <v>224.62216559731732</v>
      </c>
      <c r="DJ52" s="646">
        <v>0</v>
      </c>
      <c r="DK52" s="646">
        <v>0</v>
      </c>
      <c r="DL52" s="646">
        <v>82.670896829575852</v>
      </c>
      <c r="DM52" s="646">
        <v>40.397634231585691</v>
      </c>
      <c r="DN52" s="646">
        <v>2400</v>
      </c>
      <c r="DO52" s="563" t="s">
        <v>1588</v>
      </c>
      <c r="DP52" s="563">
        <v>8</v>
      </c>
      <c r="DQ52" s="563">
        <v>0</v>
      </c>
      <c r="DR52" s="563">
        <v>0</v>
      </c>
      <c r="DS52" s="563">
        <v>0</v>
      </c>
      <c r="DT52" s="650">
        <v>2654.1983922499849</v>
      </c>
      <c r="DU52" s="563">
        <v>0</v>
      </c>
      <c r="DV52" s="563">
        <v>0</v>
      </c>
      <c r="DW52" s="563">
        <v>0</v>
      </c>
      <c r="DX52" s="650">
        <v>3103.2556255367394</v>
      </c>
      <c r="DY52" s="564">
        <v>2654.1983922499849</v>
      </c>
      <c r="DZ52" s="565">
        <v>171.63227600456761</v>
      </c>
      <c r="EA52" s="649">
        <v>61.610568000000008</v>
      </c>
      <c r="EB52" s="646">
        <v>229.58245329604944</v>
      </c>
      <c r="EC52" s="646">
        <v>4.9602876987321034</v>
      </c>
      <c r="ED52" s="646">
        <v>0</v>
      </c>
      <c r="EE52" s="646">
        <v>83.423403693814933</v>
      </c>
      <c r="EF52" s="646">
        <v>40.974155348436199</v>
      </c>
      <c r="EG52" s="646">
        <v>3000</v>
      </c>
      <c r="EH52" s="563" t="s">
        <v>1589</v>
      </c>
      <c r="EI52" s="563">
        <v>8</v>
      </c>
      <c r="EJ52" s="563">
        <v>1</v>
      </c>
      <c r="EK52" s="563">
        <v>10</v>
      </c>
      <c r="EL52" s="563">
        <v>70.217462216034889</v>
      </c>
      <c r="EM52" s="650">
        <v>5051.4539912816545</v>
      </c>
      <c r="EN52" s="563">
        <v>0</v>
      </c>
      <c r="EO52" s="563">
        <v>0</v>
      </c>
      <c r="EP52" s="563">
        <v>0</v>
      </c>
      <c r="EQ52" s="650">
        <v>3305.535954356023</v>
      </c>
      <c r="ER52" s="564">
        <v>3305.535954356023</v>
      </c>
      <c r="ES52" s="565">
        <v>213.75066043202557</v>
      </c>
      <c r="ET52" s="649">
        <v>61.610568000000008</v>
      </c>
      <c r="EU52" s="646">
        <v>224.62216559731732</v>
      </c>
      <c r="EV52" s="646">
        <v>0</v>
      </c>
      <c r="EW52" s="646">
        <v>0</v>
      </c>
      <c r="EX52" s="646">
        <v>82.670896829575852</v>
      </c>
      <c r="EY52" s="646">
        <v>40.397634231585691</v>
      </c>
      <c r="EZ52" s="646">
        <v>2400</v>
      </c>
      <c r="FA52" s="563" t="s">
        <v>1589</v>
      </c>
      <c r="FB52" s="563">
        <v>8</v>
      </c>
      <c r="FC52" s="563">
        <v>0</v>
      </c>
      <c r="FD52" s="563">
        <v>0</v>
      </c>
      <c r="FE52" s="563">
        <v>0</v>
      </c>
      <c r="FF52" s="650">
        <v>2827.2077051528099</v>
      </c>
      <c r="FG52" s="563">
        <v>0</v>
      </c>
      <c r="FH52" s="563">
        <v>0</v>
      </c>
      <c r="FI52" s="563">
        <v>0</v>
      </c>
      <c r="FJ52" s="650">
        <v>3305.535954356023</v>
      </c>
      <c r="FK52" s="564">
        <v>2827.2077051528099</v>
      </c>
      <c r="FL52" s="565">
        <v>182.81982785834083</v>
      </c>
      <c r="FM52" s="649">
        <v>61.610568000000008</v>
      </c>
      <c r="FN52" s="646">
        <v>224.62216559731732</v>
      </c>
      <c r="FO52" s="646">
        <v>0</v>
      </c>
      <c r="FP52" s="646">
        <v>0</v>
      </c>
      <c r="FQ52" s="646">
        <v>82.670896829575852</v>
      </c>
      <c r="FR52" s="646">
        <v>40.397634231585691</v>
      </c>
      <c r="FS52" s="646">
        <v>3000</v>
      </c>
      <c r="FT52" s="563" t="s">
        <v>1587</v>
      </c>
      <c r="FU52" s="563">
        <v>8</v>
      </c>
      <c r="FV52" s="563">
        <v>0</v>
      </c>
      <c r="FW52" s="563">
        <v>0</v>
      </c>
      <c r="FX52" s="563">
        <v>0</v>
      </c>
      <c r="FY52" s="650">
        <v>3491.8289771320096</v>
      </c>
      <c r="FZ52" s="563">
        <v>0</v>
      </c>
      <c r="GA52" s="563">
        <v>0</v>
      </c>
      <c r="GB52" s="563">
        <v>0</v>
      </c>
      <c r="GC52" s="650">
        <v>4082.6028485049742</v>
      </c>
      <c r="GD52" s="564">
        <v>3491.8289771320096</v>
      </c>
      <c r="GE52" s="565">
        <v>225.7971960625851</v>
      </c>
      <c r="GF52" s="649">
        <v>46.207926000000008</v>
      </c>
      <c r="GG52" s="646">
        <v>209.21952359731733</v>
      </c>
      <c r="GH52" s="646">
        <v>0</v>
      </c>
      <c r="GI52" s="646">
        <v>0</v>
      </c>
      <c r="GJ52" s="646">
        <v>80.106794789330181</v>
      </c>
      <c r="GK52" s="646">
        <v>36.749347119493443</v>
      </c>
      <c r="GL52" s="646">
        <v>2400</v>
      </c>
      <c r="GM52" s="563" t="s">
        <v>1587</v>
      </c>
      <c r="GN52" s="563">
        <v>6</v>
      </c>
      <c r="GO52" s="563">
        <v>0</v>
      </c>
      <c r="GP52" s="563">
        <v>0</v>
      </c>
      <c r="GQ52" s="563">
        <v>0</v>
      </c>
      <c r="GR52" s="650">
        <v>2655.2292315063792</v>
      </c>
      <c r="GS52" s="563">
        <v>0</v>
      </c>
      <c r="GT52" s="563">
        <v>0</v>
      </c>
      <c r="GU52" s="563">
        <v>0</v>
      </c>
      <c r="GV52" s="650">
        <v>2873.9666296910723</v>
      </c>
      <c r="GW52" s="564">
        <v>2655.2292315063792</v>
      </c>
      <c r="GX52" s="565">
        <v>171.69893465686971</v>
      </c>
      <c r="GY52" s="649">
        <v>61.610568000000008</v>
      </c>
      <c r="GZ52" s="646">
        <v>224.62216559731732</v>
      </c>
      <c r="HA52" s="646">
        <v>0</v>
      </c>
      <c r="HB52" s="646">
        <v>0</v>
      </c>
      <c r="HC52" s="646">
        <v>82.670896829575852</v>
      </c>
      <c r="HD52" s="646">
        <v>40.397634231585691</v>
      </c>
      <c r="HE52" s="646">
        <v>3000</v>
      </c>
      <c r="HF52" s="563" t="s">
        <v>1587</v>
      </c>
      <c r="HG52" s="563">
        <v>8</v>
      </c>
      <c r="HH52" s="563">
        <v>0</v>
      </c>
      <c r="HI52" s="563">
        <v>0</v>
      </c>
      <c r="HJ52" s="563">
        <v>0</v>
      </c>
      <c r="HK52" s="650">
        <v>3491.8289771320096</v>
      </c>
      <c r="HL52" s="563">
        <v>0</v>
      </c>
      <c r="HM52" s="563">
        <v>0</v>
      </c>
      <c r="HN52" s="563">
        <v>0</v>
      </c>
      <c r="HO52" s="650">
        <v>4082.6028485049742</v>
      </c>
      <c r="HP52" s="564">
        <v>3491.8289771320096</v>
      </c>
      <c r="HQ52" s="565">
        <v>225.7971960625851</v>
      </c>
      <c r="HR52" s="649">
        <v>30.805284000000004</v>
      </c>
      <c r="HS52" s="646">
        <v>204.56338271165276</v>
      </c>
      <c r="HT52" s="646">
        <v>2.9761726192392621</v>
      </c>
      <c r="HU52" s="646">
        <v>7.7703284950961695</v>
      </c>
      <c r="HV52" s="646">
        <v>77.812246722031517</v>
      </c>
      <c r="HW52" s="646">
        <v>36.016911114430663</v>
      </c>
      <c r="HX52" s="646">
        <v>2400</v>
      </c>
      <c r="HY52" s="563" t="s">
        <v>68</v>
      </c>
      <c r="HZ52" s="563">
        <v>4</v>
      </c>
      <c r="IA52" s="563">
        <v>1</v>
      </c>
      <c r="IB52" s="563">
        <v>6</v>
      </c>
      <c r="IC52" s="563">
        <v>70.217462216034889</v>
      </c>
      <c r="ID52" s="650">
        <v>3866.5374461296901</v>
      </c>
      <c r="IE52" s="563">
        <v>1</v>
      </c>
      <c r="IF52" s="563">
        <v>6</v>
      </c>
      <c r="IG52" s="563">
        <v>88.190449968365456</v>
      </c>
      <c r="IH52" s="650">
        <v>3517.7868805001731</v>
      </c>
      <c r="II52" s="564">
        <v>3517.7868805001731</v>
      </c>
      <c r="IJ52" s="565">
        <v>227.47574957553778</v>
      </c>
      <c r="IK52" s="649">
        <v>30.805284000000004</v>
      </c>
      <c r="IL52" s="646">
        <v>204.56338271165276</v>
      </c>
      <c r="IM52" s="646">
        <v>2.9761726192392621</v>
      </c>
      <c r="IN52" s="646">
        <v>7.7703284950961695</v>
      </c>
      <c r="IO52" s="646">
        <v>77.812246722031517</v>
      </c>
      <c r="IP52" s="646">
        <v>36.016911114430663</v>
      </c>
      <c r="IQ52" s="646">
        <v>3000</v>
      </c>
      <c r="IR52" s="563" t="s">
        <v>68</v>
      </c>
      <c r="IS52" s="563">
        <v>4</v>
      </c>
      <c r="IT52" s="563">
        <v>1</v>
      </c>
      <c r="IU52" s="563">
        <v>6</v>
      </c>
      <c r="IV52" s="563">
        <v>70.217462216034889</v>
      </c>
      <c r="IW52" s="650">
        <v>3866.5374461296901</v>
      </c>
      <c r="IX52" s="563">
        <v>1</v>
      </c>
      <c r="IY52" s="563">
        <v>6</v>
      </c>
      <c r="IZ52" s="563">
        <v>88.190449968365456</v>
      </c>
      <c r="JA52" s="650">
        <v>3517.7868805001731</v>
      </c>
      <c r="JB52" s="564">
        <v>3517.7868805001731</v>
      </c>
      <c r="JC52" s="565">
        <v>227.47574957553778</v>
      </c>
      <c r="JD52" s="649">
        <v>38.506605000000008</v>
      </c>
      <c r="JE52" s="646">
        <v>201.51820259731733</v>
      </c>
      <c r="JF52" s="646">
        <v>0</v>
      </c>
      <c r="JG52" s="646">
        <v>0</v>
      </c>
      <c r="JH52" s="646">
        <v>78.677757249125008</v>
      </c>
      <c r="JI52" s="646">
        <v>34.925203563447319</v>
      </c>
      <c r="JJ52" s="646">
        <v>2400</v>
      </c>
      <c r="JK52" s="563" t="s">
        <v>67</v>
      </c>
      <c r="JL52" s="563">
        <v>5</v>
      </c>
      <c r="JM52" s="563">
        <v>0</v>
      </c>
      <c r="JN52" s="563">
        <v>0</v>
      </c>
      <c r="JO52" s="563">
        <v>0</v>
      </c>
      <c r="JP52" s="650">
        <v>2812.4499923374415</v>
      </c>
      <c r="JQ52" s="563">
        <v>0</v>
      </c>
      <c r="JR52" s="563">
        <v>0</v>
      </c>
      <c r="JS52" s="563">
        <v>0</v>
      </c>
      <c r="JT52" s="650">
        <v>2995.8057399574727</v>
      </c>
      <c r="JU52" s="564">
        <v>2812.4499923374415</v>
      </c>
      <c r="JV52" s="565">
        <v>181.8655284937872</v>
      </c>
      <c r="JW52" s="649">
        <v>46.207926000000008</v>
      </c>
      <c r="JX52" s="646">
        <v>213.18775375630301</v>
      </c>
      <c r="JY52" s="646">
        <v>3.9682301589856834</v>
      </c>
      <c r="JZ52" s="646">
        <v>0</v>
      </c>
      <c r="KA52" s="646">
        <v>80.802823721778822</v>
      </c>
      <c r="KB52" s="646">
        <v>37.210564012973848</v>
      </c>
      <c r="KC52" s="646">
        <v>3000</v>
      </c>
      <c r="KD52" s="563" t="s">
        <v>67</v>
      </c>
      <c r="KE52" s="563">
        <v>6</v>
      </c>
      <c r="KF52" s="563">
        <v>1</v>
      </c>
      <c r="KG52" s="563">
        <v>8</v>
      </c>
      <c r="KH52" s="563">
        <v>70.217462216034889</v>
      </c>
      <c r="KI52" s="650">
        <v>7482.8429399786837</v>
      </c>
      <c r="KJ52" s="563">
        <v>0</v>
      </c>
      <c r="KK52" s="563">
        <v>0</v>
      </c>
      <c r="KL52" s="563">
        <v>0</v>
      </c>
      <c r="KM52" s="650">
        <v>3454.0780157745289</v>
      </c>
      <c r="KN52" s="564">
        <v>3454.0780157745289</v>
      </c>
      <c r="KO52" s="566">
        <v>223.3560509552473</v>
      </c>
    </row>
    <row r="53" spans="1:301" ht="15" customHeight="1">
      <c r="A53" s="663" t="s">
        <v>830</v>
      </c>
      <c r="B53" s="629" t="s">
        <v>389</v>
      </c>
      <c r="C53" s="629">
        <v>680</v>
      </c>
      <c r="D53" s="629">
        <v>1235</v>
      </c>
      <c r="E53" s="629">
        <v>700</v>
      </c>
      <c r="F53" s="629">
        <v>625</v>
      </c>
      <c r="G53" s="629">
        <v>373</v>
      </c>
      <c r="H53" s="629">
        <v>256</v>
      </c>
      <c r="I53" s="629">
        <v>176</v>
      </c>
      <c r="J53" s="629">
        <v>35.049999999999997</v>
      </c>
      <c r="K53" s="629">
        <v>44.83</v>
      </c>
      <c r="L53" s="629">
        <v>12</v>
      </c>
      <c r="M53" s="629">
        <v>470</v>
      </c>
      <c r="N53" s="629">
        <v>6</v>
      </c>
      <c r="O53" s="623">
        <v>38.295305625417114</v>
      </c>
      <c r="P53" s="629">
        <v>6</v>
      </c>
      <c r="Q53" s="623">
        <v>27.204526499407574</v>
      </c>
      <c r="R53" s="629">
        <v>18.000000000000004</v>
      </c>
      <c r="S53" s="629">
        <v>888.71455352474118</v>
      </c>
      <c r="T53" s="645">
        <v>87.650950017177763</v>
      </c>
      <c r="U53" s="645">
        <v>133.30718302871117</v>
      </c>
      <c r="V53" s="645">
        <v>147.5</v>
      </c>
      <c r="W53" s="793">
        <v>12.120482932062858</v>
      </c>
      <c r="X53" s="646">
        <v>0</v>
      </c>
      <c r="Y53" s="646">
        <v>0</v>
      </c>
      <c r="Z53" s="646">
        <v>0</v>
      </c>
      <c r="AA53" s="646">
        <v>0</v>
      </c>
      <c r="AB53" s="647">
        <v>37.239775267515057</v>
      </c>
      <c r="AC53" s="784">
        <v>3344.7153570583328</v>
      </c>
      <c r="AD53" s="631">
        <v>0.40186478843626722</v>
      </c>
      <c r="AE53" s="631">
        <v>0.7015088575925843</v>
      </c>
      <c r="AF53" s="631">
        <v>-0.33543057886124455</v>
      </c>
      <c r="AG53" s="631">
        <v>0.7339657083511012</v>
      </c>
      <c r="AH53" s="629"/>
      <c r="AI53" s="648">
        <v>6.5017794335615324</v>
      </c>
      <c r="AJ53" s="649">
        <v>47.815920000000006</v>
      </c>
      <c r="AK53" s="646">
        <v>213.08718507406533</v>
      </c>
      <c r="AL53" s="646">
        <v>0</v>
      </c>
      <c r="AM53" s="646">
        <v>0</v>
      </c>
      <c r="AN53" s="646">
        <v>83.010124423254567</v>
      </c>
      <c r="AO53" s="646">
        <v>38.052651465226134</v>
      </c>
      <c r="AP53" s="801">
        <v>2050</v>
      </c>
      <c r="AQ53" s="563" t="s">
        <v>67</v>
      </c>
      <c r="AR53" s="563">
        <v>5</v>
      </c>
      <c r="AS53" s="563">
        <v>0</v>
      </c>
      <c r="AT53" s="563">
        <v>0</v>
      </c>
      <c r="AU53" s="563">
        <v>0</v>
      </c>
      <c r="AV53" s="650">
        <v>2442.6542638771366</v>
      </c>
      <c r="AW53" s="563">
        <v>0</v>
      </c>
      <c r="AX53" s="563">
        <v>0</v>
      </c>
      <c r="AY53" s="563">
        <v>0</v>
      </c>
      <c r="AZ53" s="650">
        <v>2637.5155499310749</v>
      </c>
      <c r="BA53" s="564">
        <v>2442.6542638771366</v>
      </c>
      <c r="BB53" s="565">
        <v>157.95289154934005</v>
      </c>
      <c r="BC53" s="649">
        <v>57.379104000000012</v>
      </c>
      <c r="BD53" s="646">
        <v>226.67784660176289</v>
      </c>
      <c r="BE53" s="646">
        <v>4.0274775276975632</v>
      </c>
      <c r="BF53" s="646">
        <v>0</v>
      </c>
      <c r="BG53" s="646">
        <v>85.707530368754774</v>
      </c>
      <c r="BH53" s="646">
        <v>40.988418467490241</v>
      </c>
      <c r="BI53" s="646">
        <v>2562.5</v>
      </c>
      <c r="BJ53" s="563" t="s">
        <v>67</v>
      </c>
      <c r="BK53" s="563">
        <v>6</v>
      </c>
      <c r="BL53" s="563">
        <v>1</v>
      </c>
      <c r="BM53" s="563">
        <v>8</v>
      </c>
      <c r="BN53" s="563">
        <v>62.954745357261586</v>
      </c>
      <c r="BO53" s="650">
        <v>6373.4209438015805</v>
      </c>
      <c r="BP53" s="563">
        <v>0</v>
      </c>
      <c r="BQ53" s="563">
        <v>0</v>
      </c>
      <c r="BR53" s="563">
        <v>0</v>
      </c>
      <c r="BS53" s="650">
        <v>3021.9611304221476</v>
      </c>
      <c r="BT53" s="564">
        <v>3021.9611304221476</v>
      </c>
      <c r="BU53" s="565">
        <v>195.41345075264391</v>
      </c>
      <c r="BV53" s="649">
        <v>76.505472000000012</v>
      </c>
      <c r="BW53" s="646">
        <v>241.77673707406535</v>
      </c>
      <c r="BX53" s="646">
        <v>0</v>
      </c>
      <c r="BY53" s="646">
        <v>0</v>
      </c>
      <c r="BZ53" s="646">
        <v>88.348683419677656</v>
      </c>
      <c r="CA53" s="646">
        <v>45.180660314476143</v>
      </c>
      <c r="CB53" s="646">
        <v>2050</v>
      </c>
      <c r="CC53" s="563" t="s">
        <v>1588</v>
      </c>
      <c r="CD53" s="563">
        <v>8</v>
      </c>
      <c r="CE53" s="563">
        <v>0</v>
      </c>
      <c r="CF53" s="563">
        <v>0</v>
      </c>
      <c r="CG53" s="563">
        <v>0</v>
      </c>
      <c r="CH53" s="650">
        <v>2267.2388045086705</v>
      </c>
      <c r="CI53" s="563">
        <v>0</v>
      </c>
      <c r="CJ53" s="563">
        <v>0</v>
      </c>
      <c r="CK53" s="563">
        <v>0</v>
      </c>
      <c r="CL53" s="650">
        <v>2629.5303903999566</v>
      </c>
      <c r="CM53" s="564">
        <v>2267.2388045086705</v>
      </c>
      <c r="CN53" s="565">
        <v>146.60974756066679</v>
      </c>
      <c r="CO53" s="649">
        <v>47.815920000000006</v>
      </c>
      <c r="CP53" s="646">
        <v>228.51557787272935</v>
      </c>
      <c r="CQ53" s="646">
        <v>4.0274775276975632</v>
      </c>
      <c r="CR53" s="646">
        <v>11.400915270966458</v>
      </c>
      <c r="CS53" s="646">
        <v>84.052000271451632</v>
      </c>
      <c r="CT53" s="646">
        <v>42.449619797771433</v>
      </c>
      <c r="CU53" s="646">
        <v>2562.5</v>
      </c>
      <c r="CV53" s="563" t="s">
        <v>1584</v>
      </c>
      <c r="CW53" s="563">
        <v>5</v>
      </c>
      <c r="CX53" s="563">
        <v>1</v>
      </c>
      <c r="CY53" s="563">
        <v>8</v>
      </c>
      <c r="CZ53" s="563">
        <v>62.954745357261586</v>
      </c>
      <c r="DA53" s="650">
        <v>3265.6037670538958</v>
      </c>
      <c r="DB53" s="563">
        <v>1</v>
      </c>
      <c r="DC53" s="563">
        <v>10</v>
      </c>
      <c r="DD53" s="563">
        <v>77.283895999192239</v>
      </c>
      <c r="DE53" s="650">
        <v>2857.0404187308536</v>
      </c>
      <c r="DF53" s="564">
        <v>2857.0404187308536</v>
      </c>
      <c r="DG53" s="565">
        <v>184.7489438376673</v>
      </c>
      <c r="DH53" s="649">
        <v>76.505472000000012</v>
      </c>
      <c r="DI53" s="646">
        <v>241.77673707406535</v>
      </c>
      <c r="DJ53" s="646">
        <v>0</v>
      </c>
      <c r="DK53" s="646">
        <v>0</v>
      </c>
      <c r="DL53" s="646">
        <v>88.348683419677656</v>
      </c>
      <c r="DM53" s="646">
        <v>45.180660314476143</v>
      </c>
      <c r="DN53" s="646">
        <v>2050</v>
      </c>
      <c r="DO53" s="563" t="s">
        <v>1588</v>
      </c>
      <c r="DP53" s="563">
        <v>8</v>
      </c>
      <c r="DQ53" s="563">
        <v>0</v>
      </c>
      <c r="DR53" s="563">
        <v>0</v>
      </c>
      <c r="DS53" s="563">
        <v>0</v>
      </c>
      <c r="DT53" s="650">
        <v>2267.2388045086705</v>
      </c>
      <c r="DU53" s="563">
        <v>0</v>
      </c>
      <c r="DV53" s="563">
        <v>0</v>
      </c>
      <c r="DW53" s="563">
        <v>0</v>
      </c>
      <c r="DX53" s="650">
        <v>2629.5303903999566</v>
      </c>
      <c r="DY53" s="564">
        <v>2267.2388045086705</v>
      </c>
      <c r="DZ53" s="565">
        <v>146.60974756066679</v>
      </c>
      <c r="EA53" s="649">
        <v>38.252736000000006</v>
      </c>
      <c r="EB53" s="646">
        <v>213.38515838241835</v>
      </c>
      <c r="EC53" s="646">
        <v>3.0206081457731719</v>
      </c>
      <c r="ED53" s="646">
        <v>6.8405491625798751</v>
      </c>
      <c r="EE53" s="646">
        <v>81.790657303761435</v>
      </c>
      <c r="EF53" s="646">
        <v>38.398794122880432</v>
      </c>
      <c r="EG53" s="646">
        <v>2562.5</v>
      </c>
      <c r="EH53" s="563" t="s">
        <v>1588</v>
      </c>
      <c r="EI53" s="563">
        <v>4</v>
      </c>
      <c r="EJ53" s="563">
        <v>1</v>
      </c>
      <c r="EK53" s="563">
        <v>6</v>
      </c>
      <c r="EL53" s="563">
        <v>62.954745357261586</v>
      </c>
      <c r="EM53" s="650">
        <v>2882.7820952945945</v>
      </c>
      <c r="EN53" s="563">
        <v>1</v>
      </c>
      <c r="EO53" s="563">
        <v>6</v>
      </c>
      <c r="EP53" s="563">
        <v>77.283895999192239</v>
      </c>
      <c r="EQ53" s="650">
        <v>2904.085085266096</v>
      </c>
      <c r="ER53" s="564">
        <v>2882.7820952945945</v>
      </c>
      <c r="ES53" s="565">
        <v>186.41351516349911</v>
      </c>
      <c r="ET53" s="649">
        <v>76.505472000000012</v>
      </c>
      <c r="EU53" s="646">
        <v>241.77673707406535</v>
      </c>
      <c r="EV53" s="646">
        <v>0</v>
      </c>
      <c r="EW53" s="646">
        <v>0</v>
      </c>
      <c r="EX53" s="646">
        <v>88.348683419677656</v>
      </c>
      <c r="EY53" s="646">
        <v>45.180660314476143</v>
      </c>
      <c r="EZ53" s="646">
        <v>2050</v>
      </c>
      <c r="FA53" s="563" t="s">
        <v>1589</v>
      </c>
      <c r="FB53" s="563">
        <v>8</v>
      </c>
      <c r="FC53" s="563">
        <v>0</v>
      </c>
      <c r="FD53" s="563">
        <v>0</v>
      </c>
      <c r="FE53" s="563">
        <v>0</v>
      </c>
      <c r="FF53" s="650">
        <v>2415.0248286807941</v>
      </c>
      <c r="FG53" s="563">
        <v>0</v>
      </c>
      <c r="FH53" s="563">
        <v>0</v>
      </c>
      <c r="FI53" s="563">
        <v>0</v>
      </c>
      <c r="FJ53" s="650">
        <v>2800.9317624407804</v>
      </c>
      <c r="FK53" s="564">
        <v>2415.0248286807941</v>
      </c>
      <c r="FL53" s="565">
        <v>156.1662493520893</v>
      </c>
      <c r="FM53" s="649">
        <v>76.505472000000012</v>
      </c>
      <c r="FN53" s="646">
        <v>241.77673707406535</v>
      </c>
      <c r="FO53" s="646">
        <v>0</v>
      </c>
      <c r="FP53" s="646">
        <v>0</v>
      </c>
      <c r="FQ53" s="646">
        <v>88.348683419677656</v>
      </c>
      <c r="FR53" s="646">
        <v>45.180660314476143</v>
      </c>
      <c r="FS53" s="646">
        <v>2562.5</v>
      </c>
      <c r="FT53" s="563" t="s">
        <v>1587</v>
      </c>
      <c r="FU53" s="563">
        <v>8</v>
      </c>
      <c r="FV53" s="563">
        <v>0</v>
      </c>
      <c r="FW53" s="563">
        <v>0</v>
      </c>
      <c r="FX53" s="563">
        <v>0</v>
      </c>
      <c r="FY53" s="650">
        <v>2982.7499627676166</v>
      </c>
      <c r="FZ53" s="563">
        <v>0</v>
      </c>
      <c r="GA53" s="563">
        <v>0</v>
      </c>
      <c r="GB53" s="563">
        <v>0</v>
      </c>
      <c r="GC53" s="650">
        <v>3459.3760738677388</v>
      </c>
      <c r="GD53" s="564">
        <v>2982.7499627676166</v>
      </c>
      <c r="GE53" s="565">
        <v>192.87788220999298</v>
      </c>
      <c r="GF53" s="649">
        <v>57.379104000000012</v>
      </c>
      <c r="GG53" s="646">
        <v>222.65036907406534</v>
      </c>
      <c r="GH53" s="646">
        <v>0</v>
      </c>
      <c r="GI53" s="646">
        <v>0</v>
      </c>
      <c r="GJ53" s="646">
        <v>84.942510433063532</v>
      </c>
      <c r="GK53" s="646">
        <v>40.428654414976137</v>
      </c>
      <c r="GL53" s="646">
        <v>2050</v>
      </c>
      <c r="GM53" s="563" t="s">
        <v>1587</v>
      </c>
      <c r="GN53" s="563">
        <v>6</v>
      </c>
      <c r="GO53" s="563">
        <v>0</v>
      </c>
      <c r="GP53" s="563">
        <v>0</v>
      </c>
      <c r="GQ53" s="563">
        <v>0</v>
      </c>
      <c r="GR53" s="650">
        <v>2298.9116527542142</v>
      </c>
      <c r="GS53" s="563">
        <v>0</v>
      </c>
      <c r="GT53" s="563">
        <v>0</v>
      </c>
      <c r="GU53" s="563">
        <v>0</v>
      </c>
      <c r="GV53" s="650">
        <v>2514.4236480452705</v>
      </c>
      <c r="GW53" s="564">
        <v>2298.9116527542142</v>
      </c>
      <c r="GX53" s="565">
        <v>148.65785483395987</v>
      </c>
      <c r="GY53" s="649">
        <v>76.505472000000012</v>
      </c>
      <c r="GZ53" s="646">
        <v>241.77673707406535</v>
      </c>
      <c r="HA53" s="646">
        <v>0</v>
      </c>
      <c r="HB53" s="646">
        <v>0</v>
      </c>
      <c r="HC53" s="646">
        <v>88.348683419677656</v>
      </c>
      <c r="HD53" s="646">
        <v>45.180660314476143</v>
      </c>
      <c r="HE53" s="646">
        <v>2562.5</v>
      </c>
      <c r="HF53" s="563" t="s">
        <v>1587</v>
      </c>
      <c r="HG53" s="563">
        <v>8</v>
      </c>
      <c r="HH53" s="563">
        <v>0</v>
      </c>
      <c r="HI53" s="563">
        <v>0</v>
      </c>
      <c r="HJ53" s="563">
        <v>0</v>
      </c>
      <c r="HK53" s="650">
        <v>2982.7499627676166</v>
      </c>
      <c r="HL53" s="563">
        <v>0</v>
      </c>
      <c r="HM53" s="563">
        <v>0</v>
      </c>
      <c r="HN53" s="563">
        <v>0</v>
      </c>
      <c r="HO53" s="650">
        <v>3459.3760738677388</v>
      </c>
      <c r="HP53" s="564">
        <v>2982.7499627676166</v>
      </c>
      <c r="HQ53" s="565">
        <v>192.87788220999298</v>
      </c>
      <c r="HR53" s="649">
        <v>38.252736000000006</v>
      </c>
      <c r="HS53" s="646">
        <v>213.38515838241835</v>
      </c>
      <c r="HT53" s="646">
        <v>3.0206081457731719</v>
      </c>
      <c r="HU53" s="646">
        <v>6.8405491625798751</v>
      </c>
      <c r="HV53" s="646">
        <v>81.790657303761435</v>
      </c>
      <c r="HW53" s="646">
        <v>38.398794122880432</v>
      </c>
      <c r="HX53" s="646">
        <v>2050</v>
      </c>
      <c r="HY53" s="563" t="s">
        <v>68</v>
      </c>
      <c r="HZ53" s="563">
        <v>4</v>
      </c>
      <c r="IA53" s="563">
        <v>1</v>
      </c>
      <c r="IB53" s="563">
        <v>6</v>
      </c>
      <c r="IC53" s="563">
        <v>62.954745357261586</v>
      </c>
      <c r="ID53" s="650">
        <v>3344.7153570583328</v>
      </c>
      <c r="IE53" s="563">
        <v>1</v>
      </c>
      <c r="IF53" s="563">
        <v>6</v>
      </c>
      <c r="IG53" s="563">
        <v>77.283895999192239</v>
      </c>
      <c r="IH53" s="650">
        <v>3369.4319104965002</v>
      </c>
      <c r="II53" s="564">
        <v>3344.7153570583328</v>
      </c>
      <c r="IJ53" s="565">
        <v>216.28417491155042</v>
      </c>
      <c r="IK53" s="649">
        <v>38.252736000000006</v>
      </c>
      <c r="IL53" s="646">
        <v>213.38515838241835</v>
      </c>
      <c r="IM53" s="646">
        <v>3.0206081457731719</v>
      </c>
      <c r="IN53" s="646">
        <v>6.8405491625798751</v>
      </c>
      <c r="IO53" s="646">
        <v>81.790657303761435</v>
      </c>
      <c r="IP53" s="646">
        <v>38.398794122880432</v>
      </c>
      <c r="IQ53" s="646">
        <v>2562.5</v>
      </c>
      <c r="IR53" s="563" t="s">
        <v>68</v>
      </c>
      <c r="IS53" s="563">
        <v>4</v>
      </c>
      <c r="IT53" s="563">
        <v>1</v>
      </c>
      <c r="IU53" s="563">
        <v>6</v>
      </c>
      <c r="IV53" s="563">
        <v>62.954745357261586</v>
      </c>
      <c r="IW53" s="650">
        <v>3344.7153570583328</v>
      </c>
      <c r="IX53" s="563">
        <v>1</v>
      </c>
      <c r="IY53" s="563">
        <v>6</v>
      </c>
      <c r="IZ53" s="563">
        <v>77.283895999192239</v>
      </c>
      <c r="JA53" s="650">
        <v>3369.4319104965002</v>
      </c>
      <c r="JB53" s="564">
        <v>3344.7153570583328</v>
      </c>
      <c r="JC53" s="565">
        <v>216.28417491155042</v>
      </c>
      <c r="JD53" s="649">
        <v>47.815920000000006</v>
      </c>
      <c r="JE53" s="646">
        <v>213.08718507406533</v>
      </c>
      <c r="JF53" s="646">
        <v>0</v>
      </c>
      <c r="JG53" s="646">
        <v>0</v>
      </c>
      <c r="JH53" s="646">
        <v>83.010124423254567</v>
      </c>
      <c r="JI53" s="646">
        <v>38.052651465226134</v>
      </c>
      <c r="JJ53" s="646">
        <v>2050</v>
      </c>
      <c r="JK53" s="563" t="s">
        <v>67</v>
      </c>
      <c r="JL53" s="563">
        <v>5</v>
      </c>
      <c r="JM53" s="563">
        <v>0</v>
      </c>
      <c r="JN53" s="563">
        <v>0</v>
      </c>
      <c r="JO53" s="563">
        <v>0</v>
      </c>
      <c r="JP53" s="650">
        <v>2442.6542638771366</v>
      </c>
      <c r="JQ53" s="563">
        <v>0</v>
      </c>
      <c r="JR53" s="563">
        <v>0</v>
      </c>
      <c r="JS53" s="563">
        <v>0</v>
      </c>
      <c r="JT53" s="650">
        <v>2637.5155499310749</v>
      </c>
      <c r="JU53" s="564">
        <v>2442.6542638771366</v>
      </c>
      <c r="JV53" s="565">
        <v>157.95289154934005</v>
      </c>
      <c r="JW53" s="649">
        <v>57.379104000000012</v>
      </c>
      <c r="JX53" s="646">
        <v>226.67784660176289</v>
      </c>
      <c r="JY53" s="646">
        <v>4.0274775276975632</v>
      </c>
      <c r="JZ53" s="646">
        <v>0</v>
      </c>
      <c r="KA53" s="646">
        <v>85.707530368754774</v>
      </c>
      <c r="KB53" s="646">
        <v>40.988418467490241</v>
      </c>
      <c r="KC53" s="646">
        <v>2562.5</v>
      </c>
      <c r="KD53" s="563" t="s">
        <v>67</v>
      </c>
      <c r="KE53" s="563">
        <v>6</v>
      </c>
      <c r="KF53" s="563">
        <v>1</v>
      </c>
      <c r="KG53" s="563">
        <v>8</v>
      </c>
      <c r="KH53" s="563">
        <v>62.954745357261586</v>
      </c>
      <c r="KI53" s="650">
        <v>6373.4209438015805</v>
      </c>
      <c r="KJ53" s="563">
        <v>0</v>
      </c>
      <c r="KK53" s="563">
        <v>0</v>
      </c>
      <c r="KL53" s="563">
        <v>0</v>
      </c>
      <c r="KM53" s="650">
        <v>3021.9611304221476</v>
      </c>
      <c r="KN53" s="564">
        <v>3021.9611304221476</v>
      </c>
      <c r="KO53" s="566">
        <v>195.41345075264391</v>
      </c>
    </row>
    <row r="54" spans="1:301" ht="15" customHeight="1">
      <c r="A54" s="663" t="s">
        <v>831</v>
      </c>
      <c r="B54" s="629" t="s">
        <v>390</v>
      </c>
      <c r="C54" s="629">
        <v>818.5</v>
      </c>
      <c r="D54" s="629">
        <v>1235</v>
      </c>
      <c r="E54" s="629">
        <v>800</v>
      </c>
      <c r="F54" s="629">
        <v>800</v>
      </c>
      <c r="G54" s="629">
        <v>451</v>
      </c>
      <c r="H54" s="629">
        <v>324</v>
      </c>
      <c r="I54" s="629">
        <v>249</v>
      </c>
      <c r="J54" s="629">
        <v>23.11</v>
      </c>
      <c r="K54" s="629">
        <v>31.11</v>
      </c>
      <c r="L54" s="629">
        <v>8</v>
      </c>
      <c r="M54" s="629">
        <v>479</v>
      </c>
      <c r="N54" s="629">
        <v>6</v>
      </c>
      <c r="O54" s="623">
        <v>32.746467601014146</v>
      </c>
      <c r="P54" s="629">
        <v>6</v>
      </c>
      <c r="Q54" s="623">
        <v>22.481329671626035</v>
      </c>
      <c r="R54" s="629">
        <v>18.000000000000004</v>
      </c>
      <c r="S54" s="629">
        <v>957.85920564108744</v>
      </c>
      <c r="T54" s="645">
        <v>101.82054050052238</v>
      </c>
      <c r="U54" s="645">
        <v>143.67888084616311</v>
      </c>
      <c r="V54" s="645">
        <v>185</v>
      </c>
      <c r="W54" s="793">
        <v>17.659499993059345</v>
      </c>
      <c r="X54" s="646">
        <v>0</v>
      </c>
      <c r="Y54" s="646">
        <v>0</v>
      </c>
      <c r="Z54" s="646">
        <v>0</v>
      </c>
      <c r="AA54" s="646">
        <v>0</v>
      </c>
      <c r="AB54" s="647">
        <v>38.985824897650836</v>
      </c>
      <c r="AC54" s="784">
        <v>2964.2197925697214</v>
      </c>
      <c r="AD54" s="631">
        <v>0.34249593105165443</v>
      </c>
      <c r="AE54" s="631">
        <v>0.42674244773782455</v>
      </c>
      <c r="AF54" s="631">
        <v>-0.45721382189883258</v>
      </c>
      <c r="AG54" s="631">
        <v>0.825898254874327</v>
      </c>
      <c r="AH54" s="629"/>
      <c r="AI54" s="648">
        <v>5.9350288296067841</v>
      </c>
      <c r="AJ54" s="649">
        <v>43.091319000000006</v>
      </c>
      <c r="AK54" s="646">
        <v>228.63085754867407</v>
      </c>
      <c r="AL54" s="646">
        <v>3.618286719670524</v>
      </c>
      <c r="AM54" s="646">
        <v>7.2134140627816628</v>
      </c>
      <c r="AN54" s="646">
        <v>94.878768839814029</v>
      </c>
      <c r="AO54" s="646">
        <v>42.400499048072035</v>
      </c>
      <c r="AP54" s="801">
        <v>1750</v>
      </c>
      <c r="AQ54" s="563" t="s">
        <v>71</v>
      </c>
      <c r="AR54" s="563">
        <v>5</v>
      </c>
      <c r="AS54" s="563">
        <v>1</v>
      </c>
      <c r="AT54" s="563">
        <v>8</v>
      </c>
      <c r="AU54" s="563">
        <v>46.111987748288605</v>
      </c>
      <c r="AV54" s="650">
        <v>2136.8491964439895</v>
      </c>
      <c r="AW54" s="563">
        <v>1</v>
      </c>
      <c r="AX54" s="563">
        <v>8</v>
      </c>
      <c r="AY54" s="563">
        <v>60.701686934383666</v>
      </c>
      <c r="AZ54" s="650">
        <v>2218.1041856851593</v>
      </c>
      <c r="BA54" s="564">
        <v>2136.8491964439895</v>
      </c>
      <c r="BB54" s="565">
        <v>138.1781754276908</v>
      </c>
      <c r="BC54" s="649">
        <v>51.709582800000007</v>
      </c>
      <c r="BD54" s="646">
        <v>237.24912134867407</v>
      </c>
      <c r="BE54" s="646">
        <v>3.618286719670524</v>
      </c>
      <c r="BF54" s="646">
        <v>7.2134140627816628</v>
      </c>
      <c r="BG54" s="646">
        <v>97.317001164683703</v>
      </c>
      <c r="BH54" s="646">
        <v>44.765315353774611</v>
      </c>
      <c r="BI54" s="646">
        <v>2187.5</v>
      </c>
      <c r="BJ54" s="563" t="s">
        <v>71</v>
      </c>
      <c r="BK54" s="563">
        <v>6</v>
      </c>
      <c r="BL54" s="563">
        <v>1</v>
      </c>
      <c r="BM54" s="563">
        <v>8</v>
      </c>
      <c r="BN54" s="563">
        <v>46.111987748288605</v>
      </c>
      <c r="BO54" s="650">
        <v>2475.4527592730806</v>
      </c>
      <c r="BP54" s="563">
        <v>1</v>
      </c>
      <c r="BQ54" s="563">
        <v>8</v>
      </c>
      <c r="BR54" s="563">
        <v>60.701686934383666</v>
      </c>
      <c r="BS54" s="650">
        <v>2609.7814092465519</v>
      </c>
      <c r="BT54" s="564">
        <v>2475.4527592730806</v>
      </c>
      <c r="BU54" s="565">
        <v>160.07378817514171</v>
      </c>
      <c r="BV54" s="649">
        <v>43.091319000000006</v>
      </c>
      <c r="BW54" s="646">
        <v>228.63085754867407</v>
      </c>
      <c r="BX54" s="646">
        <v>3.618286719670524</v>
      </c>
      <c r="BY54" s="646">
        <v>7.2134140627816628</v>
      </c>
      <c r="BZ54" s="646">
        <v>94.878768839814029</v>
      </c>
      <c r="CA54" s="646">
        <v>42.400499048072035</v>
      </c>
      <c r="CB54" s="646">
        <v>1750</v>
      </c>
      <c r="CC54" s="563" t="s">
        <v>1584</v>
      </c>
      <c r="CD54" s="563">
        <v>5</v>
      </c>
      <c r="CE54" s="563">
        <v>1</v>
      </c>
      <c r="CF54" s="563">
        <v>8</v>
      </c>
      <c r="CG54" s="563">
        <v>46.111987748288605</v>
      </c>
      <c r="CH54" s="650">
        <v>2093.676075425612</v>
      </c>
      <c r="CI54" s="563">
        <v>1</v>
      </c>
      <c r="CJ54" s="563">
        <v>8</v>
      </c>
      <c r="CK54" s="563">
        <v>60.701686934383666</v>
      </c>
      <c r="CL54" s="650">
        <v>2173.2893805040917</v>
      </c>
      <c r="CM54" s="564">
        <v>2093.676075425612</v>
      </c>
      <c r="CN54" s="565">
        <v>135.38640935464932</v>
      </c>
      <c r="CO54" s="649">
        <v>51.709582800000007</v>
      </c>
      <c r="CP54" s="646">
        <v>237.24912134867407</v>
      </c>
      <c r="CQ54" s="646">
        <v>3.618286719670524</v>
      </c>
      <c r="CR54" s="646">
        <v>7.2134140627816628</v>
      </c>
      <c r="CS54" s="646">
        <v>97.317001164683703</v>
      </c>
      <c r="CT54" s="646">
        <v>44.765315353774611</v>
      </c>
      <c r="CU54" s="646">
        <v>2187.5</v>
      </c>
      <c r="CV54" s="563" t="s">
        <v>1584</v>
      </c>
      <c r="CW54" s="563">
        <v>6</v>
      </c>
      <c r="CX54" s="563">
        <v>1</v>
      </c>
      <c r="CY54" s="563">
        <v>8</v>
      </c>
      <c r="CZ54" s="563">
        <v>46.111987748288605</v>
      </c>
      <c r="DA54" s="650">
        <v>2425.4384570334905</v>
      </c>
      <c r="DB54" s="563">
        <v>1</v>
      </c>
      <c r="DC54" s="563">
        <v>8</v>
      </c>
      <c r="DD54" s="563">
        <v>60.701686934383666</v>
      </c>
      <c r="DE54" s="650">
        <v>2557.0531171422631</v>
      </c>
      <c r="DF54" s="564">
        <v>2425.4384570334905</v>
      </c>
      <c r="DG54" s="565">
        <v>156.83964088938271</v>
      </c>
      <c r="DH54" s="649">
        <v>43.091319000000006</v>
      </c>
      <c r="DI54" s="646">
        <v>228.63085754867407</v>
      </c>
      <c r="DJ54" s="646">
        <v>3.618286719670524</v>
      </c>
      <c r="DK54" s="646">
        <v>7.2134140627816628</v>
      </c>
      <c r="DL54" s="646">
        <v>94.878768839814029</v>
      </c>
      <c r="DM54" s="646">
        <v>42.400499048072035</v>
      </c>
      <c r="DN54" s="646">
        <v>1750</v>
      </c>
      <c r="DO54" s="563" t="s">
        <v>1588</v>
      </c>
      <c r="DP54" s="563">
        <v>5</v>
      </c>
      <c r="DQ54" s="563">
        <v>1</v>
      </c>
      <c r="DR54" s="563">
        <v>8</v>
      </c>
      <c r="DS54" s="563">
        <v>46.111987748288605</v>
      </c>
      <c r="DT54" s="650">
        <v>2179.1671500545935</v>
      </c>
      <c r="DU54" s="563">
        <v>1</v>
      </c>
      <c r="DV54" s="563">
        <v>8</v>
      </c>
      <c r="DW54" s="563">
        <v>60.701686934383666</v>
      </c>
      <c r="DX54" s="650">
        <v>2262.0313051980916</v>
      </c>
      <c r="DY54" s="564">
        <v>2179.1671500545935</v>
      </c>
      <c r="DZ54" s="565">
        <v>140.91464257168852</v>
      </c>
      <c r="EA54" s="649">
        <v>51.709582800000007</v>
      </c>
      <c r="EB54" s="646">
        <v>237.24912134867407</v>
      </c>
      <c r="EC54" s="646">
        <v>3.618286719670524</v>
      </c>
      <c r="ED54" s="646">
        <v>7.2134140627816628</v>
      </c>
      <c r="EE54" s="646">
        <v>97.317001164683703</v>
      </c>
      <c r="EF54" s="646">
        <v>44.765315353774611</v>
      </c>
      <c r="EG54" s="646">
        <v>2187.5</v>
      </c>
      <c r="EH54" s="563" t="s">
        <v>1588</v>
      </c>
      <c r="EI54" s="563">
        <v>6</v>
      </c>
      <c r="EJ54" s="563">
        <v>1</v>
      </c>
      <c r="EK54" s="563">
        <v>8</v>
      </c>
      <c r="EL54" s="563">
        <v>46.111987748288605</v>
      </c>
      <c r="EM54" s="650">
        <v>2524.4763849021078</v>
      </c>
      <c r="EN54" s="563">
        <v>1</v>
      </c>
      <c r="EO54" s="563">
        <v>8</v>
      </c>
      <c r="EP54" s="563">
        <v>60.701686934383666</v>
      </c>
      <c r="EQ54" s="650">
        <v>2661.4652663919696</v>
      </c>
      <c r="ER54" s="564">
        <v>2524.4763849021078</v>
      </c>
      <c r="ES54" s="565">
        <v>163.2438739039531</v>
      </c>
      <c r="ET54" s="649">
        <v>68.946110400000009</v>
      </c>
      <c r="EU54" s="646">
        <v>248.17680656581007</v>
      </c>
      <c r="EV54" s="646">
        <v>4.5228583995881548</v>
      </c>
      <c r="EW54" s="646">
        <v>0</v>
      </c>
      <c r="EX54" s="646">
        <v>101.25507455297129</v>
      </c>
      <c r="EY54" s="646">
        <v>47.171055858467582</v>
      </c>
      <c r="EZ54" s="646">
        <v>1750</v>
      </c>
      <c r="FA54" s="563" t="s">
        <v>1587</v>
      </c>
      <c r="FB54" s="563">
        <v>8</v>
      </c>
      <c r="FC54" s="563">
        <v>1</v>
      </c>
      <c r="FD54" s="563">
        <v>10</v>
      </c>
      <c r="FE54" s="563">
        <v>46.111987748288605</v>
      </c>
      <c r="FF54" s="650">
        <v>4448.1669356088605</v>
      </c>
      <c r="FG54" s="563">
        <v>0</v>
      </c>
      <c r="FH54" s="563">
        <v>0</v>
      </c>
      <c r="FI54" s="563">
        <v>0</v>
      </c>
      <c r="FJ54" s="650">
        <v>1974.0635930492583</v>
      </c>
      <c r="FK54" s="564">
        <v>1974.0635930492583</v>
      </c>
      <c r="FL54" s="565">
        <v>127.65173411381062</v>
      </c>
      <c r="FM54" s="649">
        <v>51.709582800000007</v>
      </c>
      <c r="FN54" s="646">
        <v>237.24912134867407</v>
      </c>
      <c r="FO54" s="646">
        <v>3.618286719670524</v>
      </c>
      <c r="FP54" s="646">
        <v>7.2134140627816628</v>
      </c>
      <c r="FQ54" s="646">
        <v>97.317001164683703</v>
      </c>
      <c r="FR54" s="646">
        <v>44.765315353774611</v>
      </c>
      <c r="FS54" s="646">
        <v>2187.5</v>
      </c>
      <c r="FT54" s="563" t="s">
        <v>1589</v>
      </c>
      <c r="FU54" s="563">
        <v>6</v>
      </c>
      <c r="FV54" s="563">
        <v>1</v>
      </c>
      <c r="FW54" s="563">
        <v>8</v>
      </c>
      <c r="FX54" s="563">
        <v>46.111987748288605</v>
      </c>
      <c r="FY54" s="650">
        <v>2689.029994031936</v>
      </c>
      <c r="FZ54" s="563">
        <v>1</v>
      </c>
      <c r="GA54" s="563">
        <v>8</v>
      </c>
      <c r="GB54" s="563">
        <v>60.701686934383666</v>
      </c>
      <c r="GC54" s="650">
        <v>2834.9482578660463</v>
      </c>
      <c r="GD54" s="564">
        <v>2689.029994031936</v>
      </c>
      <c r="GE54" s="565">
        <v>173.8846423341445</v>
      </c>
      <c r="GF54" s="649">
        <v>68.946110400000009</v>
      </c>
      <c r="GG54" s="646">
        <v>248.17680656581007</v>
      </c>
      <c r="GH54" s="646">
        <v>4.5228583995881548</v>
      </c>
      <c r="GI54" s="646">
        <v>0</v>
      </c>
      <c r="GJ54" s="646">
        <v>101.25507455297129</v>
      </c>
      <c r="GK54" s="646">
        <v>47.171055858467582</v>
      </c>
      <c r="GL54" s="646">
        <v>1750</v>
      </c>
      <c r="GM54" s="563" t="s">
        <v>1587</v>
      </c>
      <c r="GN54" s="563">
        <v>8</v>
      </c>
      <c r="GO54" s="563">
        <v>1</v>
      </c>
      <c r="GP54" s="563">
        <v>10</v>
      </c>
      <c r="GQ54" s="563">
        <v>46.111987748288605</v>
      </c>
      <c r="GR54" s="650">
        <v>4448.1669356088605</v>
      </c>
      <c r="GS54" s="563">
        <v>0</v>
      </c>
      <c r="GT54" s="563">
        <v>0</v>
      </c>
      <c r="GU54" s="563">
        <v>0</v>
      </c>
      <c r="GV54" s="650">
        <v>1974.0635930492583</v>
      </c>
      <c r="GW54" s="564">
        <v>1974.0635930492583</v>
      </c>
      <c r="GX54" s="565">
        <v>127.65173411381062</v>
      </c>
      <c r="GY54" s="649">
        <v>34.473055200000005</v>
      </c>
      <c r="GZ54" s="646">
        <v>217.30466855306105</v>
      </c>
      <c r="HA54" s="646">
        <v>2.7137150397528926</v>
      </c>
      <c r="HB54" s="646">
        <v>5.4100605470862471</v>
      </c>
      <c r="HC54" s="646">
        <v>91.691529479004785</v>
      </c>
      <c r="HD54" s="646">
        <v>39.242791127494002</v>
      </c>
      <c r="HE54" s="646">
        <v>2187.5</v>
      </c>
      <c r="HF54" s="563" t="s">
        <v>1587</v>
      </c>
      <c r="HG54" s="563">
        <v>4</v>
      </c>
      <c r="HH54" s="563">
        <v>1</v>
      </c>
      <c r="HI54" s="563">
        <v>6</v>
      </c>
      <c r="HJ54" s="563">
        <v>46.111987748288605</v>
      </c>
      <c r="HK54" s="650">
        <v>2466.3799508920888</v>
      </c>
      <c r="HL54" s="563">
        <v>1</v>
      </c>
      <c r="HM54" s="563">
        <v>6</v>
      </c>
      <c r="HN54" s="563">
        <v>60.701686934383666</v>
      </c>
      <c r="HO54" s="650">
        <v>2535.8299943909387</v>
      </c>
      <c r="HP54" s="564">
        <v>2466.3799508920888</v>
      </c>
      <c r="HQ54" s="565">
        <v>159.48710002224033</v>
      </c>
      <c r="HR54" s="649">
        <v>34.473055200000005</v>
      </c>
      <c r="HS54" s="646">
        <v>217.30466855306105</v>
      </c>
      <c r="HT54" s="646">
        <v>2.7137150397528926</v>
      </c>
      <c r="HU54" s="646">
        <v>5.4100605470862471</v>
      </c>
      <c r="HV54" s="646">
        <v>91.691529479004785</v>
      </c>
      <c r="HW54" s="646">
        <v>39.242791127494002</v>
      </c>
      <c r="HX54" s="646">
        <v>1750</v>
      </c>
      <c r="HY54" s="563" t="s">
        <v>68</v>
      </c>
      <c r="HZ54" s="563">
        <v>4</v>
      </c>
      <c r="IA54" s="563">
        <v>1</v>
      </c>
      <c r="IB54" s="563">
        <v>6</v>
      </c>
      <c r="IC54" s="563">
        <v>46.111987748288605</v>
      </c>
      <c r="ID54" s="650">
        <v>2175.1426628853883</v>
      </c>
      <c r="IE54" s="563">
        <v>1</v>
      </c>
      <c r="IF54" s="563">
        <v>6</v>
      </c>
      <c r="IG54" s="563">
        <v>60.701686934383666</v>
      </c>
      <c r="IH54" s="650">
        <v>2236.3918440989137</v>
      </c>
      <c r="II54" s="564">
        <v>2175.1426628853883</v>
      </c>
      <c r="IJ54" s="565">
        <v>140.65440132724399</v>
      </c>
      <c r="IK54" s="649">
        <v>43.091319000000006</v>
      </c>
      <c r="IL54" s="646">
        <v>228.63085754867407</v>
      </c>
      <c r="IM54" s="646">
        <v>3.618286719670524</v>
      </c>
      <c r="IN54" s="646">
        <v>7.2134140627816628</v>
      </c>
      <c r="IO54" s="646">
        <v>94.878768839814029</v>
      </c>
      <c r="IP54" s="646">
        <v>42.400499048072035</v>
      </c>
      <c r="IQ54" s="646">
        <v>2187.5</v>
      </c>
      <c r="IR54" s="563" t="s">
        <v>68</v>
      </c>
      <c r="IS54" s="563">
        <v>5</v>
      </c>
      <c r="IT54" s="563">
        <v>1</v>
      </c>
      <c r="IU54" s="563">
        <v>8</v>
      </c>
      <c r="IV54" s="563">
        <v>46.111987748288605</v>
      </c>
      <c r="IW54" s="650">
        <v>2528.3540661229895</v>
      </c>
      <c r="IX54" s="563">
        <v>1</v>
      </c>
      <c r="IY54" s="563">
        <v>8</v>
      </c>
      <c r="IZ54" s="563">
        <v>60.701686934383666</v>
      </c>
      <c r="JA54" s="650">
        <v>2624.4962659481212</v>
      </c>
      <c r="JB54" s="564">
        <v>2528.3540661229895</v>
      </c>
      <c r="JC54" s="565">
        <v>163.49462202267074</v>
      </c>
      <c r="JD54" s="649">
        <v>34.473055200000005</v>
      </c>
      <c r="JE54" s="646">
        <v>217.30466855306105</v>
      </c>
      <c r="JF54" s="646">
        <v>2.7137150397528926</v>
      </c>
      <c r="JG54" s="646">
        <v>5.4100605470862471</v>
      </c>
      <c r="JH54" s="646">
        <v>91.691529479004785</v>
      </c>
      <c r="JI54" s="646">
        <v>39.242791127494002</v>
      </c>
      <c r="JJ54" s="646">
        <v>1750</v>
      </c>
      <c r="JK54" s="563" t="s">
        <v>67</v>
      </c>
      <c r="JL54" s="563">
        <v>4</v>
      </c>
      <c r="JM54" s="563">
        <v>1</v>
      </c>
      <c r="JN54" s="563">
        <v>6</v>
      </c>
      <c r="JO54" s="563">
        <v>46.111987748288605</v>
      </c>
      <c r="JP54" s="650">
        <v>2964.2197925697214</v>
      </c>
      <c r="JQ54" s="563">
        <v>1</v>
      </c>
      <c r="JR54" s="563">
        <v>6</v>
      </c>
      <c r="JS54" s="563">
        <v>60.701686934383666</v>
      </c>
      <c r="JT54" s="650">
        <v>3047.688356878697</v>
      </c>
      <c r="JU54" s="564">
        <v>2964.2197925697214</v>
      </c>
      <c r="JV54" s="565">
        <v>191.67963896822809</v>
      </c>
      <c r="JW54" s="649">
        <v>34.473055200000005</v>
      </c>
      <c r="JX54" s="646">
        <v>217.30466855306105</v>
      </c>
      <c r="JY54" s="646">
        <v>2.7137150397528926</v>
      </c>
      <c r="JZ54" s="646">
        <v>5.4100605470862471</v>
      </c>
      <c r="KA54" s="646">
        <v>91.691529479004785</v>
      </c>
      <c r="KB54" s="646">
        <v>39.242791127494002</v>
      </c>
      <c r="KC54" s="646">
        <v>2187.5</v>
      </c>
      <c r="KD54" s="563" t="s">
        <v>67</v>
      </c>
      <c r="KE54" s="563">
        <v>4</v>
      </c>
      <c r="KF54" s="563">
        <v>1</v>
      </c>
      <c r="KG54" s="563">
        <v>6</v>
      </c>
      <c r="KH54" s="563">
        <v>46.111987748288605</v>
      </c>
      <c r="KI54" s="650">
        <v>2964.2197925697214</v>
      </c>
      <c r="KJ54" s="563">
        <v>1</v>
      </c>
      <c r="KK54" s="563">
        <v>6</v>
      </c>
      <c r="KL54" s="563">
        <v>60.701686934383666</v>
      </c>
      <c r="KM54" s="650">
        <v>3047.688356878697</v>
      </c>
      <c r="KN54" s="564">
        <v>2964.2197925697214</v>
      </c>
      <c r="KO54" s="566">
        <v>191.67963896822809</v>
      </c>
    </row>
    <row r="55" spans="1:301" ht="15" customHeight="1">
      <c r="A55" s="663" t="s">
        <v>832</v>
      </c>
      <c r="B55" s="629" t="s">
        <v>387</v>
      </c>
      <c r="C55" s="629">
        <v>546</v>
      </c>
      <c r="D55" s="629">
        <v>1400</v>
      </c>
      <c r="E55" s="629">
        <v>450</v>
      </c>
      <c r="F55" s="629">
        <v>450</v>
      </c>
      <c r="G55" s="629">
        <v>208</v>
      </c>
      <c r="H55" s="629">
        <v>142</v>
      </c>
      <c r="I55" s="629">
        <v>90</v>
      </c>
      <c r="J55" s="629">
        <v>34.92</v>
      </c>
      <c r="K55" s="629">
        <v>49.08</v>
      </c>
      <c r="L55" s="629">
        <v>10</v>
      </c>
      <c r="M55" s="629">
        <v>535</v>
      </c>
      <c r="N55" s="629">
        <v>6</v>
      </c>
      <c r="O55" s="623">
        <v>65.013885519254828</v>
      </c>
      <c r="P55" s="629">
        <v>6</v>
      </c>
      <c r="Q55" s="623">
        <v>40.533459715376082</v>
      </c>
      <c r="R55" s="629">
        <v>20</v>
      </c>
      <c r="S55" s="629">
        <v>929.66213305934332</v>
      </c>
      <c r="T55" s="645">
        <v>106.57119045607588</v>
      </c>
      <c r="U55" s="645">
        <v>139.4493199589015</v>
      </c>
      <c r="V55" s="645">
        <v>110</v>
      </c>
      <c r="W55" s="793">
        <v>9.891138614204543</v>
      </c>
      <c r="X55" s="646">
        <v>0</v>
      </c>
      <c r="Y55" s="646">
        <v>0</v>
      </c>
      <c r="Z55" s="646">
        <v>0</v>
      </c>
      <c r="AA55" s="646">
        <v>0</v>
      </c>
      <c r="AB55" s="647">
        <v>29.798147109935304</v>
      </c>
      <c r="AC55" s="784">
        <v>4000</v>
      </c>
      <c r="AD55" s="631">
        <v>0.34319378796888306</v>
      </c>
      <c r="AE55" s="631">
        <v>0.6981287310371237</v>
      </c>
      <c r="AF55" s="631">
        <v>-0.25299842747872126</v>
      </c>
      <c r="AG55" s="631">
        <v>1.1147617139494936</v>
      </c>
      <c r="AH55" s="629"/>
      <c r="AI55" s="648">
        <v>6.9304420832772067</v>
      </c>
      <c r="AJ55" s="649">
        <v>19.486840000000004</v>
      </c>
      <c r="AK55" s="646">
        <v>241.49651430491133</v>
      </c>
      <c r="AL55" s="646">
        <v>0</v>
      </c>
      <c r="AM55" s="646">
        <v>0</v>
      </c>
      <c r="AN55" s="646">
        <v>51.126461707986749</v>
      </c>
      <c r="AO55" s="646">
        <v>48.897504631545587</v>
      </c>
      <c r="AP55" s="801">
        <v>2350</v>
      </c>
      <c r="AQ55" s="563" t="s">
        <v>71</v>
      </c>
      <c r="AR55" s="563">
        <v>4</v>
      </c>
      <c r="AS55" s="563">
        <v>0</v>
      </c>
      <c r="AT55" s="563">
        <v>0</v>
      </c>
      <c r="AU55" s="563">
        <v>0</v>
      </c>
      <c r="AV55" s="650">
        <v>2654.0986373442338</v>
      </c>
      <c r="AW55" s="563">
        <v>0</v>
      </c>
      <c r="AX55" s="563">
        <v>0</v>
      </c>
      <c r="AY55" s="563">
        <v>0</v>
      </c>
      <c r="AZ55" s="650">
        <v>2952.2364450520899</v>
      </c>
      <c r="BA55" s="564">
        <v>2654.0986373442338</v>
      </c>
      <c r="BB55" s="565">
        <v>194.55559155627759</v>
      </c>
      <c r="BC55" s="649">
        <v>29.230260000000008</v>
      </c>
      <c r="BD55" s="646">
        <v>251.23993430491134</v>
      </c>
      <c r="BE55" s="646">
        <v>0</v>
      </c>
      <c r="BF55" s="646">
        <v>0</v>
      </c>
      <c r="BG55" s="646">
        <v>51.89718404956389</v>
      </c>
      <c r="BH55" s="646">
        <v>51.647726206135587</v>
      </c>
      <c r="BI55" s="646">
        <v>2937.5</v>
      </c>
      <c r="BJ55" s="563" t="s">
        <v>71</v>
      </c>
      <c r="BK55" s="563">
        <v>6</v>
      </c>
      <c r="BL55" s="563">
        <v>0</v>
      </c>
      <c r="BM55" s="563">
        <v>0</v>
      </c>
      <c r="BN55" s="563">
        <v>0</v>
      </c>
      <c r="BO55" s="650">
        <v>3619.8904259080323</v>
      </c>
      <c r="BP55" s="563">
        <v>0</v>
      </c>
      <c r="BQ55" s="563">
        <v>0</v>
      </c>
      <c r="BR55" s="563">
        <v>0</v>
      </c>
      <c r="BS55" s="650">
        <v>4386.0387644360944</v>
      </c>
      <c r="BT55" s="564">
        <v>3619.8904259080323</v>
      </c>
      <c r="BU55" s="565">
        <v>265.35182727276305</v>
      </c>
      <c r="BV55" s="649">
        <v>19.486840000000004</v>
      </c>
      <c r="BW55" s="646">
        <v>241.49651430491133</v>
      </c>
      <c r="BX55" s="646">
        <v>0</v>
      </c>
      <c r="BY55" s="646">
        <v>0</v>
      </c>
      <c r="BZ55" s="646">
        <v>51.126461707986749</v>
      </c>
      <c r="CA55" s="646">
        <v>48.897504631545587</v>
      </c>
      <c r="CB55" s="646">
        <v>2350</v>
      </c>
      <c r="CC55" s="563" t="s">
        <v>1584</v>
      </c>
      <c r="CD55" s="563">
        <v>4</v>
      </c>
      <c r="CE55" s="563">
        <v>0</v>
      </c>
      <c r="CF55" s="563">
        <v>0</v>
      </c>
      <c r="CG55" s="563">
        <v>0</v>
      </c>
      <c r="CH55" s="650">
        <v>2600.4749554038044</v>
      </c>
      <c r="CI55" s="563">
        <v>0</v>
      </c>
      <c r="CJ55" s="563">
        <v>0</v>
      </c>
      <c r="CK55" s="563">
        <v>0</v>
      </c>
      <c r="CL55" s="650">
        <v>2892.589156170307</v>
      </c>
      <c r="CM55" s="564">
        <v>2600.4749554038044</v>
      </c>
      <c r="CN55" s="565">
        <v>190.6247703672862</v>
      </c>
      <c r="CO55" s="649">
        <v>29.230260000000008</v>
      </c>
      <c r="CP55" s="646">
        <v>251.23993430491134</v>
      </c>
      <c r="CQ55" s="646">
        <v>0</v>
      </c>
      <c r="CR55" s="646">
        <v>0</v>
      </c>
      <c r="CS55" s="646">
        <v>51.89718404956389</v>
      </c>
      <c r="CT55" s="646">
        <v>51.647726206135587</v>
      </c>
      <c r="CU55" s="646">
        <v>2937.5</v>
      </c>
      <c r="CV55" s="563" t="s">
        <v>1584</v>
      </c>
      <c r="CW55" s="563">
        <v>6</v>
      </c>
      <c r="CX55" s="563">
        <v>0</v>
      </c>
      <c r="CY55" s="563">
        <v>0</v>
      </c>
      <c r="CZ55" s="563">
        <v>0</v>
      </c>
      <c r="DA55" s="650">
        <v>3546.7537873043016</v>
      </c>
      <c r="DB55" s="563">
        <v>0</v>
      </c>
      <c r="DC55" s="563">
        <v>0</v>
      </c>
      <c r="DD55" s="563">
        <v>0</v>
      </c>
      <c r="DE55" s="650">
        <v>4297.4227859742468</v>
      </c>
      <c r="DF55" s="564">
        <v>3546.7537873043016</v>
      </c>
      <c r="DG55" s="565">
        <v>259.99063165336264</v>
      </c>
      <c r="DH55" s="649">
        <v>19.486840000000004</v>
      </c>
      <c r="DI55" s="646">
        <v>241.49651430491133</v>
      </c>
      <c r="DJ55" s="646">
        <v>0</v>
      </c>
      <c r="DK55" s="646">
        <v>0</v>
      </c>
      <c r="DL55" s="646">
        <v>51.126461707986749</v>
      </c>
      <c r="DM55" s="646">
        <v>48.897504631545587</v>
      </c>
      <c r="DN55" s="646">
        <v>2350</v>
      </c>
      <c r="DO55" s="563" t="s">
        <v>1588</v>
      </c>
      <c r="DP55" s="563">
        <v>4</v>
      </c>
      <c r="DQ55" s="563">
        <v>0</v>
      </c>
      <c r="DR55" s="563">
        <v>0</v>
      </c>
      <c r="DS55" s="563">
        <v>0</v>
      </c>
      <c r="DT55" s="650">
        <v>2706.6601485636534</v>
      </c>
      <c r="DU55" s="563">
        <v>0</v>
      </c>
      <c r="DV55" s="563">
        <v>0</v>
      </c>
      <c r="DW55" s="563">
        <v>0</v>
      </c>
      <c r="DX55" s="650">
        <v>3010.7022484120798</v>
      </c>
      <c r="DY55" s="564">
        <v>2706.6601485636534</v>
      </c>
      <c r="DZ55" s="565">
        <v>198.40855156480939</v>
      </c>
      <c r="EA55" s="649">
        <v>29.230260000000008</v>
      </c>
      <c r="EB55" s="646">
        <v>251.23993430491134</v>
      </c>
      <c r="EC55" s="646">
        <v>0</v>
      </c>
      <c r="ED55" s="646">
        <v>0</v>
      </c>
      <c r="EE55" s="646">
        <v>51.89718404956389</v>
      </c>
      <c r="EF55" s="646">
        <v>51.647726206135587</v>
      </c>
      <c r="EG55" s="646">
        <v>2937.5</v>
      </c>
      <c r="EH55" s="563" t="s">
        <v>1588</v>
      </c>
      <c r="EI55" s="563">
        <v>6</v>
      </c>
      <c r="EJ55" s="563">
        <v>0</v>
      </c>
      <c r="EK55" s="563">
        <v>0</v>
      </c>
      <c r="EL55" s="563">
        <v>0</v>
      </c>
      <c r="EM55" s="650">
        <v>3691.5783837545514</v>
      </c>
      <c r="EN55" s="563">
        <v>0</v>
      </c>
      <c r="EO55" s="563">
        <v>0</v>
      </c>
      <c r="EP55" s="563">
        <v>0</v>
      </c>
      <c r="EQ55" s="650">
        <v>4472.899449446807</v>
      </c>
      <c r="ER55" s="564">
        <v>3691.5783837545514</v>
      </c>
      <c r="ES55" s="565">
        <v>270.60682904626424</v>
      </c>
      <c r="ET55" s="649">
        <v>19.486840000000004</v>
      </c>
      <c r="EU55" s="646">
        <v>241.49651430491133</v>
      </c>
      <c r="EV55" s="646">
        <v>0</v>
      </c>
      <c r="EW55" s="646">
        <v>0</v>
      </c>
      <c r="EX55" s="646">
        <v>51.126461707986749</v>
      </c>
      <c r="EY55" s="646">
        <v>48.897504631545587</v>
      </c>
      <c r="EZ55" s="646">
        <v>2350</v>
      </c>
      <c r="FA55" s="563" t="s">
        <v>1589</v>
      </c>
      <c r="FB55" s="563">
        <v>4</v>
      </c>
      <c r="FC55" s="563">
        <v>0</v>
      </c>
      <c r="FD55" s="563">
        <v>0</v>
      </c>
      <c r="FE55" s="563">
        <v>0</v>
      </c>
      <c r="FF55" s="650">
        <v>2883.0890899464025</v>
      </c>
      <c r="FG55" s="563">
        <v>0</v>
      </c>
      <c r="FH55" s="563">
        <v>0</v>
      </c>
      <c r="FI55" s="563">
        <v>0</v>
      </c>
      <c r="FJ55" s="650">
        <v>3206.9496460722116</v>
      </c>
      <c r="FK55" s="564">
        <v>2883.0890899464025</v>
      </c>
      <c r="FL55" s="565">
        <v>211.341468441145</v>
      </c>
      <c r="FM55" s="649">
        <v>24.358550000000005</v>
      </c>
      <c r="FN55" s="646">
        <v>246.36822430491134</v>
      </c>
      <c r="FO55" s="646">
        <v>0</v>
      </c>
      <c r="FP55" s="646">
        <v>0</v>
      </c>
      <c r="FQ55" s="646">
        <v>51.519443049252416</v>
      </c>
      <c r="FR55" s="646">
        <v>50.272615418840587</v>
      </c>
      <c r="FS55" s="646">
        <v>2937.5</v>
      </c>
      <c r="FT55" s="563" t="s">
        <v>1589</v>
      </c>
      <c r="FU55" s="563">
        <v>5</v>
      </c>
      <c r="FV55" s="563">
        <v>0</v>
      </c>
      <c r="FW55" s="563">
        <v>0</v>
      </c>
      <c r="FX55" s="563">
        <v>0</v>
      </c>
      <c r="FY55" s="650">
        <v>3367.7331169071072</v>
      </c>
      <c r="FZ55" s="563">
        <v>0</v>
      </c>
      <c r="GA55" s="563">
        <v>0</v>
      </c>
      <c r="GB55" s="563">
        <v>0</v>
      </c>
      <c r="GC55" s="650">
        <v>3863.379650361122</v>
      </c>
      <c r="GD55" s="564">
        <v>3367.7331169071072</v>
      </c>
      <c r="GE55" s="565">
        <v>246.86773111761656</v>
      </c>
      <c r="GF55" s="649">
        <v>19.486840000000004</v>
      </c>
      <c r="GG55" s="646">
        <v>241.49651430491133</v>
      </c>
      <c r="GH55" s="646">
        <v>0</v>
      </c>
      <c r="GI55" s="646">
        <v>0</v>
      </c>
      <c r="GJ55" s="646">
        <v>51.126461707986749</v>
      </c>
      <c r="GK55" s="646">
        <v>48.897504631545587</v>
      </c>
      <c r="GL55" s="646">
        <v>2350</v>
      </c>
      <c r="GM55" s="563" t="s">
        <v>1587</v>
      </c>
      <c r="GN55" s="563">
        <v>4</v>
      </c>
      <c r="GO55" s="563">
        <v>0</v>
      </c>
      <c r="GP55" s="563">
        <v>0</v>
      </c>
      <c r="GQ55" s="563">
        <v>0</v>
      </c>
      <c r="GR55" s="650">
        <v>3560.8469832547617</v>
      </c>
      <c r="GS55" s="563">
        <v>0</v>
      </c>
      <c r="GT55" s="563">
        <v>0</v>
      </c>
      <c r="GU55" s="563">
        <v>0</v>
      </c>
      <c r="GV55" s="650">
        <v>3960.8408260732772</v>
      </c>
      <c r="GW55" s="564">
        <v>3560.8469832547617</v>
      </c>
      <c r="GX55" s="565">
        <v>261.02371687351251</v>
      </c>
      <c r="GY55" s="649">
        <v>19.486840000000004</v>
      </c>
      <c r="GZ55" s="646">
        <v>241.49651430491133</v>
      </c>
      <c r="HA55" s="646">
        <v>0</v>
      </c>
      <c r="HB55" s="646">
        <v>0</v>
      </c>
      <c r="HC55" s="646">
        <v>51.126461707986749</v>
      </c>
      <c r="HD55" s="646">
        <v>48.897504631545587</v>
      </c>
      <c r="HE55" s="646">
        <v>2937.5</v>
      </c>
      <c r="HF55" s="563" t="s">
        <v>1587</v>
      </c>
      <c r="HG55" s="563">
        <v>4</v>
      </c>
      <c r="HH55" s="563">
        <v>0</v>
      </c>
      <c r="HI55" s="563">
        <v>0</v>
      </c>
      <c r="HJ55" s="563">
        <v>0</v>
      </c>
      <c r="HK55" s="650">
        <v>3560.8469832547617</v>
      </c>
      <c r="HL55" s="563">
        <v>0</v>
      </c>
      <c r="HM55" s="563">
        <v>0</v>
      </c>
      <c r="HN55" s="563">
        <v>0</v>
      </c>
      <c r="HO55" s="650">
        <v>3960.8408260732772</v>
      </c>
      <c r="HP55" s="564">
        <v>3560.8469832547617</v>
      </c>
      <c r="HQ55" s="565">
        <v>261.02371687351251</v>
      </c>
      <c r="HR55" s="649">
        <v>19.486840000000004</v>
      </c>
      <c r="HS55" s="646">
        <v>241.49651430491133</v>
      </c>
      <c r="HT55" s="646">
        <v>0</v>
      </c>
      <c r="HU55" s="646">
        <v>0</v>
      </c>
      <c r="HV55" s="646">
        <v>51.126461707986749</v>
      </c>
      <c r="HW55" s="646">
        <v>48.897504631545587</v>
      </c>
      <c r="HX55" s="646">
        <v>2350</v>
      </c>
      <c r="HY55" s="563" t="s">
        <v>68</v>
      </c>
      <c r="HZ55" s="563">
        <v>4</v>
      </c>
      <c r="IA55" s="563">
        <v>0</v>
      </c>
      <c r="IB55" s="563">
        <v>0</v>
      </c>
      <c r="IC55" s="563">
        <v>0</v>
      </c>
      <c r="ID55" s="650">
        <v>3140.3718581488934</v>
      </c>
      <c r="IE55" s="563">
        <v>0</v>
      </c>
      <c r="IF55" s="563">
        <v>0</v>
      </c>
      <c r="IG55" s="563">
        <v>0</v>
      </c>
      <c r="IH55" s="650">
        <v>3493.1332695005099</v>
      </c>
      <c r="II55" s="564">
        <v>3140.3718581488934</v>
      </c>
      <c r="IJ55" s="565">
        <v>230.20128037901614</v>
      </c>
      <c r="IK55" s="649">
        <v>24.358550000000005</v>
      </c>
      <c r="IL55" s="646">
        <v>246.36822430491134</v>
      </c>
      <c r="IM55" s="646">
        <v>0</v>
      </c>
      <c r="IN55" s="646">
        <v>0</v>
      </c>
      <c r="IO55" s="646">
        <v>51.519443049252416</v>
      </c>
      <c r="IP55" s="646">
        <v>50.272615418840587</v>
      </c>
      <c r="IQ55" s="646">
        <v>2937.5</v>
      </c>
      <c r="IR55" s="563" t="s">
        <v>68</v>
      </c>
      <c r="IS55" s="563">
        <v>5</v>
      </c>
      <c r="IT55" s="563">
        <v>0</v>
      </c>
      <c r="IU55" s="563">
        <v>0</v>
      </c>
      <c r="IV55" s="563">
        <v>0</v>
      </c>
      <c r="IW55" s="650">
        <v>3668.2648285030086</v>
      </c>
      <c r="IX55" s="563">
        <v>0</v>
      </c>
      <c r="IY55" s="563">
        <v>0</v>
      </c>
      <c r="IZ55" s="563">
        <v>0</v>
      </c>
      <c r="JA55" s="650">
        <v>4208.1421533750536</v>
      </c>
      <c r="JB55" s="564">
        <v>3668.2648285030086</v>
      </c>
      <c r="JC55" s="565">
        <v>268.89785618842706</v>
      </c>
      <c r="JD55" s="649">
        <v>19.486840000000004</v>
      </c>
      <c r="JE55" s="646">
        <v>241.49651430491133</v>
      </c>
      <c r="JF55" s="646">
        <v>0</v>
      </c>
      <c r="JG55" s="646">
        <v>0</v>
      </c>
      <c r="JH55" s="646">
        <v>51.126461707986749</v>
      </c>
      <c r="JI55" s="646">
        <v>48.897504631545587</v>
      </c>
      <c r="JJ55" s="646">
        <v>2350</v>
      </c>
      <c r="JK55" s="563" t="s">
        <v>67</v>
      </c>
      <c r="JL55" s="563">
        <v>4</v>
      </c>
      <c r="JM55" s="563">
        <v>0</v>
      </c>
      <c r="JN55" s="563">
        <v>0</v>
      </c>
      <c r="JO55" s="563">
        <v>0</v>
      </c>
      <c r="JP55" s="650">
        <v>4279.6054607354345</v>
      </c>
      <c r="JQ55" s="563">
        <v>0</v>
      </c>
      <c r="JR55" s="563">
        <v>0</v>
      </c>
      <c r="JS55" s="563">
        <v>0</v>
      </c>
      <c r="JT55" s="650">
        <v>4760.3382307861157</v>
      </c>
      <c r="JU55" s="564">
        <v>4000</v>
      </c>
      <c r="JV55" s="565">
        <v>293.21531433504731</v>
      </c>
      <c r="JW55" s="649">
        <v>19.486840000000004</v>
      </c>
      <c r="JX55" s="646">
        <v>241.49651430491133</v>
      </c>
      <c r="JY55" s="646">
        <v>0</v>
      </c>
      <c r="JZ55" s="646">
        <v>0</v>
      </c>
      <c r="KA55" s="646">
        <v>51.126461707986749</v>
      </c>
      <c r="KB55" s="646">
        <v>48.897504631545587</v>
      </c>
      <c r="KC55" s="646">
        <v>2937.5</v>
      </c>
      <c r="KD55" s="563" t="s">
        <v>67</v>
      </c>
      <c r="KE55" s="563">
        <v>4</v>
      </c>
      <c r="KF55" s="563">
        <v>0</v>
      </c>
      <c r="KG55" s="563">
        <v>0</v>
      </c>
      <c r="KH55" s="563">
        <v>0</v>
      </c>
      <c r="KI55" s="650">
        <v>4279.6054607354345</v>
      </c>
      <c r="KJ55" s="563">
        <v>0</v>
      </c>
      <c r="KK55" s="563">
        <v>0</v>
      </c>
      <c r="KL55" s="563">
        <v>0</v>
      </c>
      <c r="KM55" s="650">
        <v>4760.3382307861157</v>
      </c>
      <c r="KN55" s="564">
        <v>4000</v>
      </c>
      <c r="KO55" s="566">
        <v>293.21531433504731</v>
      </c>
    </row>
    <row r="56" spans="1:301" ht="15" customHeight="1">
      <c r="A56" s="663" t="s">
        <v>833</v>
      </c>
      <c r="B56" s="629" t="s">
        <v>387</v>
      </c>
      <c r="C56" s="629">
        <v>546</v>
      </c>
      <c r="D56" s="629">
        <v>1400</v>
      </c>
      <c r="E56" s="629">
        <v>560</v>
      </c>
      <c r="F56" s="629">
        <v>500</v>
      </c>
      <c r="G56" s="629">
        <v>311</v>
      </c>
      <c r="H56" s="629">
        <v>212</v>
      </c>
      <c r="I56" s="629">
        <v>147</v>
      </c>
      <c r="J56" s="629">
        <v>34.92</v>
      </c>
      <c r="K56" s="629">
        <v>49.08</v>
      </c>
      <c r="L56" s="629">
        <v>9</v>
      </c>
      <c r="M56" s="629">
        <v>633</v>
      </c>
      <c r="N56" s="629">
        <v>6</v>
      </c>
      <c r="O56" s="623">
        <v>60.904046155847027</v>
      </c>
      <c r="P56" s="629">
        <v>6</v>
      </c>
      <c r="Q56" s="623">
        <v>41.176156273936641</v>
      </c>
      <c r="R56" s="629">
        <v>20</v>
      </c>
      <c r="S56" s="629">
        <v>920.27054006841547</v>
      </c>
      <c r="T56" s="645">
        <v>104.42886859420732</v>
      </c>
      <c r="U56" s="645">
        <v>138.04058101026231</v>
      </c>
      <c r="V56" s="645">
        <v>122.5</v>
      </c>
      <c r="W56" s="793">
        <v>10.793702589854398</v>
      </c>
      <c r="X56" s="646">
        <v>0</v>
      </c>
      <c r="Y56" s="646">
        <v>0</v>
      </c>
      <c r="Z56" s="646">
        <v>0</v>
      </c>
      <c r="AA56" s="646">
        <v>0</v>
      </c>
      <c r="AB56" s="647">
        <v>40.763316735747146</v>
      </c>
      <c r="AC56" s="784">
        <v>3317.5789281966872</v>
      </c>
      <c r="AD56" s="631">
        <v>0.34319378796888306</v>
      </c>
      <c r="AE56" s="631">
        <v>0.6981287310371237</v>
      </c>
      <c r="AF56" s="631">
        <v>-0.31559570661119724</v>
      </c>
      <c r="AG56" s="631">
        <v>1.1147617139494936</v>
      </c>
      <c r="AH56" s="629"/>
      <c r="AI56" s="648">
        <v>7.7344650832772066</v>
      </c>
      <c r="AJ56" s="649">
        <v>48.165001650000008</v>
      </c>
      <c r="AK56" s="646">
        <v>265.4677752638454</v>
      </c>
      <c r="AL56" s="646">
        <v>0</v>
      </c>
      <c r="AM56" s="646">
        <v>0</v>
      </c>
      <c r="AN56" s="646">
        <v>74.758902012145327</v>
      </c>
      <c r="AO56" s="646">
        <v>56.406431434510914</v>
      </c>
      <c r="AP56" s="801">
        <v>2000</v>
      </c>
      <c r="AQ56" s="563" t="s">
        <v>71</v>
      </c>
      <c r="AR56" s="563">
        <v>6</v>
      </c>
      <c r="AS56" s="563">
        <v>0</v>
      </c>
      <c r="AT56" s="563">
        <v>0</v>
      </c>
      <c r="AU56" s="563">
        <v>0</v>
      </c>
      <c r="AV56" s="650">
        <v>2285.3243037639277</v>
      </c>
      <c r="AW56" s="563">
        <v>0</v>
      </c>
      <c r="AX56" s="563">
        <v>0</v>
      </c>
      <c r="AY56" s="563">
        <v>0</v>
      </c>
      <c r="AZ56" s="650">
        <v>2274.2269254324219</v>
      </c>
      <c r="BA56" s="564">
        <v>2274.2269254324219</v>
      </c>
      <c r="BB56" s="565">
        <v>166.70954070247399</v>
      </c>
      <c r="BC56" s="649">
        <v>64.22000220000001</v>
      </c>
      <c r="BD56" s="646">
        <v>281.52277581384544</v>
      </c>
      <c r="BE56" s="646">
        <v>0</v>
      </c>
      <c r="BF56" s="646">
        <v>0</v>
      </c>
      <c r="BG56" s="646">
        <v>76.540554824880005</v>
      </c>
      <c r="BH56" s="646">
        <v>60.93818813725639</v>
      </c>
      <c r="BI56" s="646">
        <v>2500</v>
      </c>
      <c r="BJ56" s="563" t="s">
        <v>71</v>
      </c>
      <c r="BK56" s="563">
        <v>8</v>
      </c>
      <c r="BL56" s="563">
        <v>0</v>
      </c>
      <c r="BM56" s="563">
        <v>0</v>
      </c>
      <c r="BN56" s="563">
        <v>0</v>
      </c>
      <c r="BO56" s="650">
        <v>3054.0789541721947</v>
      </c>
      <c r="BP56" s="563">
        <v>0</v>
      </c>
      <c r="BQ56" s="563">
        <v>0</v>
      </c>
      <c r="BR56" s="563">
        <v>0</v>
      </c>
      <c r="BS56" s="650">
        <v>3331.7288544581929</v>
      </c>
      <c r="BT56" s="564">
        <v>3054.0789541721947</v>
      </c>
      <c r="BU56" s="565">
        <v>223.87568013791318</v>
      </c>
      <c r="BV56" s="649">
        <v>48.165001650000008</v>
      </c>
      <c r="BW56" s="646">
        <v>265.4677752638454</v>
      </c>
      <c r="BX56" s="646">
        <v>0</v>
      </c>
      <c r="BY56" s="646">
        <v>0</v>
      </c>
      <c r="BZ56" s="646">
        <v>74.758902012145327</v>
      </c>
      <c r="CA56" s="646">
        <v>56.406431434510914</v>
      </c>
      <c r="CB56" s="646">
        <v>2000</v>
      </c>
      <c r="CC56" s="563" t="s">
        <v>1584</v>
      </c>
      <c r="CD56" s="563">
        <v>6</v>
      </c>
      <c r="CE56" s="563">
        <v>0</v>
      </c>
      <c r="CF56" s="563">
        <v>0</v>
      </c>
      <c r="CG56" s="563">
        <v>0</v>
      </c>
      <c r="CH56" s="650">
        <v>2239.1513764011384</v>
      </c>
      <c r="CI56" s="563">
        <v>0</v>
      </c>
      <c r="CJ56" s="563">
        <v>0</v>
      </c>
      <c r="CK56" s="563">
        <v>0</v>
      </c>
      <c r="CL56" s="650">
        <v>2228.2782106432164</v>
      </c>
      <c r="CM56" s="564">
        <v>2228.2782106432164</v>
      </c>
      <c r="CN56" s="565">
        <v>163.3413239899219</v>
      </c>
      <c r="CO56" s="649">
        <v>64.22000220000001</v>
      </c>
      <c r="CP56" s="646">
        <v>281.52277581384544</v>
      </c>
      <c r="CQ56" s="646">
        <v>0</v>
      </c>
      <c r="CR56" s="646">
        <v>0</v>
      </c>
      <c r="CS56" s="646">
        <v>76.540554824880005</v>
      </c>
      <c r="CT56" s="646">
        <v>60.93818813725639</v>
      </c>
      <c r="CU56" s="646">
        <v>2500</v>
      </c>
      <c r="CV56" s="563" t="s">
        <v>1584</v>
      </c>
      <c r="CW56" s="563">
        <v>8</v>
      </c>
      <c r="CX56" s="563">
        <v>0</v>
      </c>
      <c r="CY56" s="563">
        <v>0</v>
      </c>
      <c r="CZ56" s="563">
        <v>0</v>
      </c>
      <c r="DA56" s="650">
        <v>2992.3740287579062</v>
      </c>
      <c r="DB56" s="563">
        <v>0</v>
      </c>
      <c r="DC56" s="563">
        <v>0</v>
      </c>
      <c r="DD56" s="563">
        <v>0</v>
      </c>
      <c r="DE56" s="650">
        <v>3264.4142618920364</v>
      </c>
      <c r="DF56" s="564">
        <v>2992.3740287579062</v>
      </c>
      <c r="DG56" s="565">
        <v>219.35247286257038</v>
      </c>
      <c r="DH56" s="649">
        <v>48.165001650000008</v>
      </c>
      <c r="DI56" s="646">
        <v>265.4677752638454</v>
      </c>
      <c r="DJ56" s="646">
        <v>0</v>
      </c>
      <c r="DK56" s="646">
        <v>0</v>
      </c>
      <c r="DL56" s="646">
        <v>74.758902012145327</v>
      </c>
      <c r="DM56" s="646">
        <v>56.406431434510914</v>
      </c>
      <c r="DN56" s="646">
        <v>2000</v>
      </c>
      <c r="DO56" s="563" t="s">
        <v>1588</v>
      </c>
      <c r="DP56" s="563">
        <v>6</v>
      </c>
      <c r="DQ56" s="563">
        <v>0</v>
      </c>
      <c r="DR56" s="563">
        <v>0</v>
      </c>
      <c r="DS56" s="563">
        <v>0</v>
      </c>
      <c r="DT56" s="650">
        <v>2330.5826439560219</v>
      </c>
      <c r="DU56" s="563">
        <v>0</v>
      </c>
      <c r="DV56" s="563">
        <v>0</v>
      </c>
      <c r="DW56" s="563">
        <v>0</v>
      </c>
      <c r="DX56" s="650">
        <v>2319.2654942236086</v>
      </c>
      <c r="DY56" s="564">
        <v>2319.2654942236086</v>
      </c>
      <c r="DZ56" s="565">
        <v>170.01104022880108</v>
      </c>
      <c r="EA56" s="649">
        <v>64.22000220000001</v>
      </c>
      <c r="EB56" s="646">
        <v>281.52277581384544</v>
      </c>
      <c r="EC56" s="646">
        <v>0</v>
      </c>
      <c r="ED56" s="646">
        <v>0</v>
      </c>
      <c r="EE56" s="646">
        <v>76.540554824880005</v>
      </c>
      <c r="EF56" s="646">
        <v>60.93818813725639</v>
      </c>
      <c r="EG56" s="646">
        <v>2500</v>
      </c>
      <c r="EH56" s="563" t="s">
        <v>1588</v>
      </c>
      <c r="EI56" s="563">
        <v>8</v>
      </c>
      <c r="EJ56" s="563">
        <v>0</v>
      </c>
      <c r="EK56" s="563">
        <v>0</v>
      </c>
      <c r="EL56" s="563">
        <v>0</v>
      </c>
      <c r="EM56" s="650">
        <v>3114.5616366754125</v>
      </c>
      <c r="EN56" s="563">
        <v>0</v>
      </c>
      <c r="EO56" s="563">
        <v>0</v>
      </c>
      <c r="EP56" s="563">
        <v>0</v>
      </c>
      <c r="EQ56" s="650">
        <v>3397.7100885764917</v>
      </c>
      <c r="ER56" s="564">
        <v>3114.5616366754125</v>
      </c>
      <c r="ES56" s="565">
        <v>228.30929232841515</v>
      </c>
      <c r="ET56" s="649">
        <v>48.165001650000008</v>
      </c>
      <c r="EU56" s="646">
        <v>265.4677752638454</v>
      </c>
      <c r="EV56" s="646">
        <v>0</v>
      </c>
      <c r="EW56" s="646">
        <v>0</v>
      </c>
      <c r="EX56" s="646">
        <v>74.758902012145327</v>
      </c>
      <c r="EY56" s="646">
        <v>56.406431434510914</v>
      </c>
      <c r="EZ56" s="646">
        <v>2000</v>
      </c>
      <c r="FA56" s="563" t="s">
        <v>1589</v>
      </c>
      <c r="FB56" s="563">
        <v>6</v>
      </c>
      <c r="FC56" s="563">
        <v>0</v>
      </c>
      <c r="FD56" s="563">
        <v>0</v>
      </c>
      <c r="FE56" s="563">
        <v>0</v>
      </c>
      <c r="FF56" s="650">
        <v>2482.4976262992504</v>
      </c>
      <c r="FG56" s="563">
        <v>0</v>
      </c>
      <c r="FH56" s="563">
        <v>0</v>
      </c>
      <c r="FI56" s="563">
        <v>0</v>
      </c>
      <c r="FJ56" s="650">
        <v>2470.4427878149563</v>
      </c>
      <c r="FK56" s="564">
        <v>2470.4427878149563</v>
      </c>
      <c r="FL56" s="565">
        <v>181.0929146439783</v>
      </c>
      <c r="FM56" s="649">
        <v>64.22000220000001</v>
      </c>
      <c r="FN56" s="646">
        <v>281.52277581384544</v>
      </c>
      <c r="FO56" s="646">
        <v>0</v>
      </c>
      <c r="FP56" s="646">
        <v>0</v>
      </c>
      <c r="FQ56" s="646">
        <v>76.540554824880005</v>
      </c>
      <c r="FR56" s="646">
        <v>60.93818813725639</v>
      </c>
      <c r="FS56" s="646">
        <v>2500</v>
      </c>
      <c r="FT56" s="563" t="s">
        <v>1589</v>
      </c>
      <c r="FU56" s="563">
        <v>8</v>
      </c>
      <c r="FV56" s="563">
        <v>0</v>
      </c>
      <c r="FW56" s="563">
        <v>0</v>
      </c>
      <c r="FX56" s="563">
        <v>0</v>
      </c>
      <c r="FY56" s="650">
        <v>3317.5789281966872</v>
      </c>
      <c r="FZ56" s="563">
        <v>0</v>
      </c>
      <c r="GA56" s="563">
        <v>0</v>
      </c>
      <c r="GB56" s="563">
        <v>0</v>
      </c>
      <c r="GC56" s="650">
        <v>3619.1839202177307</v>
      </c>
      <c r="GD56" s="564">
        <v>3317.5789281966872</v>
      </c>
      <c r="GE56" s="565">
        <v>243.1912370656303</v>
      </c>
      <c r="GF56" s="649">
        <v>32.110001100000005</v>
      </c>
      <c r="GG56" s="646">
        <v>249.41277471384541</v>
      </c>
      <c r="GH56" s="646">
        <v>0</v>
      </c>
      <c r="GI56" s="646">
        <v>0</v>
      </c>
      <c r="GJ56" s="646">
        <v>72.747874926812301</v>
      </c>
      <c r="GK56" s="646">
        <v>51.874674731765438</v>
      </c>
      <c r="GL56" s="646">
        <v>2000</v>
      </c>
      <c r="GM56" s="563" t="s">
        <v>1587</v>
      </c>
      <c r="GN56" s="563">
        <v>4</v>
      </c>
      <c r="GO56" s="563">
        <v>0</v>
      </c>
      <c r="GP56" s="563">
        <v>0</v>
      </c>
      <c r="GQ56" s="563">
        <v>0</v>
      </c>
      <c r="GR56" s="650">
        <v>2342.339059298361</v>
      </c>
      <c r="GS56" s="563">
        <v>0</v>
      </c>
      <c r="GT56" s="563">
        <v>0</v>
      </c>
      <c r="GU56" s="563">
        <v>0</v>
      </c>
      <c r="GV56" s="650">
        <v>2262.7440320331234</v>
      </c>
      <c r="GW56" s="564">
        <v>2262.7440320331234</v>
      </c>
      <c r="GX56" s="565">
        <v>165.86780065308619</v>
      </c>
      <c r="GY56" s="649">
        <v>48.165001650000008</v>
      </c>
      <c r="GZ56" s="646">
        <v>265.4677752638454</v>
      </c>
      <c r="HA56" s="646">
        <v>0</v>
      </c>
      <c r="HB56" s="646">
        <v>0</v>
      </c>
      <c r="HC56" s="646">
        <v>74.758902012145327</v>
      </c>
      <c r="HD56" s="646">
        <v>56.406431434510914</v>
      </c>
      <c r="HE56" s="646">
        <v>2500</v>
      </c>
      <c r="HF56" s="563" t="s">
        <v>1587</v>
      </c>
      <c r="HG56" s="563">
        <v>6</v>
      </c>
      <c r="HH56" s="563">
        <v>0</v>
      </c>
      <c r="HI56" s="563">
        <v>0</v>
      </c>
      <c r="HJ56" s="563">
        <v>0</v>
      </c>
      <c r="HK56" s="650">
        <v>3066.0842963091113</v>
      </c>
      <c r="HL56" s="563">
        <v>0</v>
      </c>
      <c r="HM56" s="563">
        <v>0</v>
      </c>
      <c r="HN56" s="563">
        <v>0</v>
      </c>
      <c r="HO56" s="650">
        <v>3051.1956009163446</v>
      </c>
      <c r="HP56" s="564">
        <v>3051.1956009163446</v>
      </c>
      <c r="HQ56" s="565">
        <v>223.66431930509992</v>
      </c>
      <c r="HR56" s="649">
        <v>40.137501375000006</v>
      </c>
      <c r="HS56" s="646">
        <v>257.44027498884543</v>
      </c>
      <c r="HT56" s="646">
        <v>0</v>
      </c>
      <c r="HU56" s="646">
        <v>0</v>
      </c>
      <c r="HV56" s="646">
        <v>73.784742383471553</v>
      </c>
      <c r="HW56" s="646">
        <v>54.140553083138172</v>
      </c>
      <c r="HX56" s="646">
        <v>2000</v>
      </c>
      <c r="HY56" s="563" t="s">
        <v>68</v>
      </c>
      <c r="HZ56" s="563">
        <v>5</v>
      </c>
      <c r="IA56" s="563">
        <v>0</v>
      </c>
      <c r="IB56" s="563">
        <v>0</v>
      </c>
      <c r="IC56" s="563">
        <v>0</v>
      </c>
      <c r="ID56" s="650">
        <v>2374.5710809609532</v>
      </c>
      <c r="IE56" s="563">
        <v>0</v>
      </c>
      <c r="IF56" s="563">
        <v>0</v>
      </c>
      <c r="IG56" s="563">
        <v>0</v>
      </c>
      <c r="IH56" s="650">
        <v>2320.8481896628036</v>
      </c>
      <c r="II56" s="564">
        <v>2320.8481896628036</v>
      </c>
      <c r="IJ56" s="565">
        <v>170.12705786397615</v>
      </c>
      <c r="IK56" s="649">
        <v>32.110001100000005</v>
      </c>
      <c r="IL56" s="646">
        <v>265.01968745862149</v>
      </c>
      <c r="IM56" s="646">
        <v>3.4393915901078485</v>
      </c>
      <c r="IN56" s="646">
        <v>12.167521154668222</v>
      </c>
      <c r="IO56" s="646">
        <v>73.213948139158788</v>
      </c>
      <c r="IP56" s="646">
        <v>57.240767156902827</v>
      </c>
      <c r="IQ56" s="646">
        <v>2500</v>
      </c>
      <c r="IR56" s="563" t="s">
        <v>68</v>
      </c>
      <c r="IS56" s="563">
        <v>4</v>
      </c>
      <c r="IT56" s="563">
        <v>1</v>
      </c>
      <c r="IU56" s="563">
        <v>6</v>
      </c>
      <c r="IV56" s="563">
        <v>93.076160242236909</v>
      </c>
      <c r="IW56" s="650">
        <v>4469.2632283218236</v>
      </c>
      <c r="IX56" s="563">
        <v>1</v>
      </c>
      <c r="IY56" s="563">
        <v>6</v>
      </c>
      <c r="IZ56" s="563">
        <v>122.86288425665474</v>
      </c>
      <c r="JA56" s="650">
        <v>3292.6206742717113</v>
      </c>
      <c r="JB56" s="564">
        <v>3292.6206742717113</v>
      </c>
      <c r="JC56" s="565">
        <v>241.36170149816385</v>
      </c>
      <c r="JD56" s="649">
        <v>32.110001100000005</v>
      </c>
      <c r="JE56" s="646">
        <v>249.41277471384541</v>
      </c>
      <c r="JF56" s="646">
        <v>0</v>
      </c>
      <c r="JG56" s="646">
        <v>0</v>
      </c>
      <c r="JH56" s="646">
        <v>72.747874926812301</v>
      </c>
      <c r="JI56" s="646">
        <v>51.874674731765438</v>
      </c>
      <c r="JJ56" s="646">
        <v>2000</v>
      </c>
      <c r="JK56" s="563" t="s">
        <v>67</v>
      </c>
      <c r="JL56" s="563">
        <v>4</v>
      </c>
      <c r="JM56" s="563">
        <v>0</v>
      </c>
      <c r="JN56" s="563">
        <v>0</v>
      </c>
      <c r="JO56" s="563">
        <v>0</v>
      </c>
      <c r="JP56" s="650">
        <v>2815.1411942741092</v>
      </c>
      <c r="JQ56" s="563">
        <v>0</v>
      </c>
      <c r="JR56" s="563">
        <v>0</v>
      </c>
      <c r="JS56" s="563">
        <v>0</v>
      </c>
      <c r="JT56" s="650">
        <v>2719.4798769123017</v>
      </c>
      <c r="JU56" s="564">
        <v>2719.4798769123017</v>
      </c>
      <c r="JV56" s="565">
        <v>199.34828673416911</v>
      </c>
      <c r="JW56" s="649">
        <v>40.137501375000006</v>
      </c>
      <c r="JX56" s="646">
        <v>257.44027498884543</v>
      </c>
      <c r="JY56" s="646">
        <v>0</v>
      </c>
      <c r="JZ56" s="646">
        <v>0</v>
      </c>
      <c r="KA56" s="646">
        <v>73.784742383471553</v>
      </c>
      <c r="KB56" s="646">
        <v>54.140553083138172</v>
      </c>
      <c r="KC56" s="646">
        <v>2500</v>
      </c>
      <c r="KD56" s="563" t="s">
        <v>67</v>
      </c>
      <c r="KE56" s="563">
        <v>5</v>
      </c>
      <c r="KF56" s="563">
        <v>0</v>
      </c>
      <c r="KG56" s="563">
        <v>0</v>
      </c>
      <c r="KH56" s="563">
        <v>0</v>
      </c>
      <c r="KI56" s="650">
        <v>3235.9949152538175</v>
      </c>
      <c r="KJ56" s="563">
        <v>0</v>
      </c>
      <c r="KK56" s="563">
        <v>0</v>
      </c>
      <c r="KL56" s="563">
        <v>0</v>
      </c>
      <c r="KM56" s="650">
        <v>3162.7829552241401</v>
      </c>
      <c r="KN56" s="564">
        <v>3162.7829552241401</v>
      </c>
      <c r="KO56" s="566">
        <v>231.84409959739406</v>
      </c>
    </row>
    <row r="57" spans="1:301" ht="15" customHeight="1">
      <c r="A57" s="663" t="s">
        <v>834</v>
      </c>
      <c r="B57" s="629" t="s">
        <v>389</v>
      </c>
      <c r="C57" s="629">
        <v>682</v>
      </c>
      <c r="D57" s="629">
        <v>1400</v>
      </c>
      <c r="E57" s="629">
        <v>700</v>
      </c>
      <c r="F57" s="629">
        <v>630</v>
      </c>
      <c r="G57" s="629">
        <v>375</v>
      </c>
      <c r="H57" s="629">
        <v>256</v>
      </c>
      <c r="I57" s="629">
        <v>174</v>
      </c>
      <c r="J57" s="629">
        <v>35.46</v>
      </c>
      <c r="K57" s="629">
        <v>46.65</v>
      </c>
      <c r="L57" s="629">
        <v>10</v>
      </c>
      <c r="M57" s="629">
        <v>563</v>
      </c>
      <c r="N57" s="629">
        <v>6</v>
      </c>
      <c r="O57" s="623">
        <v>54.378612639149132</v>
      </c>
      <c r="P57" s="629">
        <v>6</v>
      </c>
      <c r="Q57" s="623">
        <v>37.396305192992223</v>
      </c>
      <c r="R57" s="629">
        <v>20</v>
      </c>
      <c r="S57" s="629">
        <v>974.20603419150825</v>
      </c>
      <c r="T57" s="645">
        <v>117.0283721973554</v>
      </c>
      <c r="U57" s="645">
        <v>146.13090512872623</v>
      </c>
      <c r="V57" s="645">
        <v>147.5</v>
      </c>
      <c r="W57" s="793">
        <v>14.564546633623994</v>
      </c>
      <c r="X57" s="646">
        <v>0</v>
      </c>
      <c r="Y57" s="646">
        <v>0</v>
      </c>
      <c r="Z57" s="646">
        <v>0</v>
      </c>
      <c r="AA57" s="646">
        <v>0</v>
      </c>
      <c r="AB57" s="647">
        <v>47.072557858852292</v>
      </c>
      <c r="AC57" s="784">
        <v>3116.56265078044</v>
      </c>
      <c r="AD57" s="631">
        <v>0.34851321258044732</v>
      </c>
      <c r="AE57" s="631">
        <v>0.7122402599604194</v>
      </c>
      <c r="AF57" s="631">
        <v>-0.3164221031151806</v>
      </c>
      <c r="AG57" s="631">
        <v>0.85889087257992747</v>
      </c>
      <c r="AH57" s="629"/>
      <c r="AI57" s="648">
        <v>7.8478065303318436</v>
      </c>
      <c r="AJ57" s="649">
        <v>47.5101625</v>
      </c>
      <c r="AK57" s="646">
        <v>270.87799916312071</v>
      </c>
      <c r="AL57" s="646">
        <v>0</v>
      </c>
      <c r="AM57" s="646">
        <v>0</v>
      </c>
      <c r="AN57" s="646">
        <v>82.542080406981142</v>
      </c>
      <c r="AO57" s="646">
        <v>58.537920665692738</v>
      </c>
      <c r="AP57" s="801">
        <v>2050</v>
      </c>
      <c r="AQ57" s="563" t="s">
        <v>67</v>
      </c>
      <c r="AR57" s="563">
        <v>5</v>
      </c>
      <c r="AS57" s="563">
        <v>0</v>
      </c>
      <c r="AT57" s="563">
        <v>0</v>
      </c>
      <c r="AU57" s="563">
        <v>0</v>
      </c>
      <c r="AV57" s="650">
        <v>2409.1303155188489</v>
      </c>
      <c r="AW57" s="563">
        <v>0</v>
      </c>
      <c r="AX57" s="563">
        <v>0</v>
      </c>
      <c r="AY57" s="563">
        <v>0</v>
      </c>
      <c r="AZ57" s="650">
        <v>2550.4472920972566</v>
      </c>
      <c r="BA57" s="564">
        <v>2409.1303155188489</v>
      </c>
      <c r="BB57" s="565">
        <v>176.59847568473779</v>
      </c>
      <c r="BC57" s="649">
        <v>57.012195000000006</v>
      </c>
      <c r="BD57" s="646">
        <v>285.47219816487097</v>
      </c>
      <c r="BE57" s="646">
        <v>5.0921665017502287</v>
      </c>
      <c r="BF57" s="646">
        <v>0</v>
      </c>
      <c r="BG57" s="646">
        <v>84.866026237821458</v>
      </c>
      <c r="BH57" s="646">
        <v>62.16663185068343</v>
      </c>
      <c r="BI57" s="646">
        <v>2562.5</v>
      </c>
      <c r="BJ57" s="563" t="s">
        <v>67</v>
      </c>
      <c r="BK57" s="563">
        <v>6</v>
      </c>
      <c r="BL57" s="563">
        <v>1</v>
      </c>
      <c r="BM57" s="563">
        <v>8</v>
      </c>
      <c r="BN57" s="563">
        <v>80.433051393292104</v>
      </c>
      <c r="BO57" s="650">
        <v>6266.0060418604835</v>
      </c>
      <c r="BP57" s="563">
        <v>0</v>
      </c>
      <c r="BQ57" s="563">
        <v>0</v>
      </c>
      <c r="BR57" s="563">
        <v>0</v>
      </c>
      <c r="BS57" s="650">
        <v>2924.1222907460569</v>
      </c>
      <c r="BT57" s="564">
        <v>2924.1222907460569</v>
      </c>
      <c r="BU57" s="565">
        <v>214.34935915880595</v>
      </c>
      <c r="BV57" s="649">
        <v>76.016260000000003</v>
      </c>
      <c r="BW57" s="646">
        <v>305.74930479030849</v>
      </c>
      <c r="BX57" s="646">
        <v>6.3652081271877856</v>
      </c>
      <c r="BY57" s="646">
        <v>0</v>
      </c>
      <c r="BZ57" s="646">
        <v>87.726644958620767</v>
      </c>
      <c r="CA57" s="646">
        <v>68.114598692297037</v>
      </c>
      <c r="CB57" s="646">
        <v>2050</v>
      </c>
      <c r="CC57" s="563" t="s">
        <v>1588</v>
      </c>
      <c r="CD57" s="563">
        <v>8</v>
      </c>
      <c r="CE57" s="563">
        <v>1</v>
      </c>
      <c r="CF57" s="563">
        <v>10</v>
      </c>
      <c r="CG57" s="563">
        <v>80.433051393292104</v>
      </c>
      <c r="CH57" s="650">
        <v>4249.1762796980411</v>
      </c>
      <c r="CI57" s="563">
        <v>0</v>
      </c>
      <c r="CJ57" s="563">
        <v>0</v>
      </c>
      <c r="CK57" s="563">
        <v>0</v>
      </c>
      <c r="CL57" s="650">
        <v>2552.6456308329216</v>
      </c>
      <c r="CM57" s="564">
        <v>2552.6456308329216</v>
      </c>
      <c r="CN57" s="565">
        <v>187.11869775766507</v>
      </c>
      <c r="CO57" s="649">
        <v>47.5101625</v>
      </c>
      <c r="CP57" s="646">
        <v>-1401.8124899984186</v>
      </c>
      <c r="CQ57" s="646">
        <v>5.0921665017502287</v>
      </c>
      <c r="CR57" s="646">
        <v>-1677.7826556632895</v>
      </c>
      <c r="CS57" s="646">
        <v>87.712487240869422</v>
      </c>
      <c r="CT57" s="646">
        <v>-652.94711919225847</v>
      </c>
      <c r="CU57" s="646">
        <v>2562.5</v>
      </c>
      <c r="CV57" s="563" t="s">
        <v>1588</v>
      </c>
      <c r="CW57" s="563">
        <v>5</v>
      </c>
      <c r="CX57" s="563">
        <v>1</v>
      </c>
      <c r="CY57" s="563">
        <v>8</v>
      </c>
      <c r="CZ57" s="563">
        <v>80.433051393292104</v>
      </c>
      <c r="DA57" s="650">
        <v>3346.9612512780559</v>
      </c>
      <c r="DB57" s="563">
        <v>1</v>
      </c>
      <c r="DC57" s="563">
        <v>-1000</v>
      </c>
      <c r="DD57" s="563">
        <v>100.8194265370456</v>
      </c>
      <c r="DE57" s="650">
        <v>-1</v>
      </c>
      <c r="DF57" s="564">
        <v>-1</v>
      </c>
      <c r="DG57" s="565">
        <v>-7.3303828583761846E-2</v>
      </c>
      <c r="DH57" s="649">
        <v>76.016260000000003</v>
      </c>
      <c r="DI57" s="646">
        <v>299.38409666312072</v>
      </c>
      <c r="DJ57" s="646">
        <v>0</v>
      </c>
      <c r="DK57" s="646">
        <v>0</v>
      </c>
      <c r="DL57" s="646">
        <v>86.8703927739666</v>
      </c>
      <c r="DM57" s="646">
        <v>67.179273314891489</v>
      </c>
      <c r="DN57" s="646">
        <v>2050</v>
      </c>
      <c r="DO57" s="563" t="s">
        <v>1589</v>
      </c>
      <c r="DP57" s="563">
        <v>8</v>
      </c>
      <c r="DQ57" s="563">
        <v>0</v>
      </c>
      <c r="DR57" s="563">
        <v>0</v>
      </c>
      <c r="DS57" s="563">
        <v>0</v>
      </c>
      <c r="DT57" s="650">
        <v>2375.4404445339346</v>
      </c>
      <c r="DU57" s="563">
        <v>0</v>
      </c>
      <c r="DV57" s="563">
        <v>0</v>
      </c>
      <c r="DW57" s="563">
        <v>0</v>
      </c>
      <c r="DX57" s="650">
        <v>2719.035403339878</v>
      </c>
      <c r="DY57" s="564">
        <v>2375.4404445339346</v>
      </c>
      <c r="DZ57" s="565">
        <v>174.12887915705056</v>
      </c>
      <c r="EA57" s="649">
        <v>38.008130000000001</v>
      </c>
      <c r="EB57" s="646">
        <v>295.39517934137263</v>
      </c>
      <c r="EC57" s="646">
        <v>3.8191248763126708</v>
      </c>
      <c r="ED57" s="646">
        <v>30.200087801939215</v>
      </c>
      <c r="EE57" s="646">
        <v>82.123307172547186</v>
      </c>
      <c r="EF57" s="646">
        <v>69.038864411947586</v>
      </c>
      <c r="EG57" s="646">
        <v>2562.5</v>
      </c>
      <c r="EH57" s="563" t="s">
        <v>1588</v>
      </c>
      <c r="EI57" s="563">
        <v>4</v>
      </c>
      <c r="EJ57" s="563">
        <v>1</v>
      </c>
      <c r="EK57" s="563">
        <v>6</v>
      </c>
      <c r="EL57" s="563">
        <v>80.433051393292104</v>
      </c>
      <c r="EM57" s="650">
        <v>2841.3268514854917</v>
      </c>
      <c r="EN57" s="563">
        <v>1</v>
      </c>
      <c r="EO57" s="563">
        <v>18.000000000000004</v>
      </c>
      <c r="EP57" s="563">
        <v>100.8194265370456</v>
      </c>
      <c r="EQ57" s="650">
        <v>2823.4181352719802</v>
      </c>
      <c r="ER57" s="564">
        <v>2823.4181352719802</v>
      </c>
      <c r="ES57" s="565">
        <v>206.96735900826172</v>
      </c>
      <c r="ET57" s="649">
        <v>76.016260000000003</v>
      </c>
      <c r="EU57" s="646">
        <v>299.38409666312072</v>
      </c>
      <c r="EV57" s="646">
        <v>0</v>
      </c>
      <c r="EW57" s="646">
        <v>0</v>
      </c>
      <c r="EX57" s="646">
        <v>86.8703927739666</v>
      </c>
      <c r="EY57" s="646">
        <v>67.179273314891489</v>
      </c>
      <c r="EZ57" s="646">
        <v>2050</v>
      </c>
      <c r="FA57" s="563" t="s">
        <v>1589</v>
      </c>
      <c r="FB57" s="563">
        <v>8</v>
      </c>
      <c r="FC57" s="563">
        <v>0</v>
      </c>
      <c r="FD57" s="563">
        <v>0</v>
      </c>
      <c r="FE57" s="563">
        <v>0</v>
      </c>
      <c r="FF57" s="650">
        <v>2375.4404445339346</v>
      </c>
      <c r="FG57" s="563">
        <v>0</v>
      </c>
      <c r="FH57" s="563">
        <v>0</v>
      </c>
      <c r="FI57" s="563">
        <v>0</v>
      </c>
      <c r="FJ57" s="650">
        <v>2719.035403339878</v>
      </c>
      <c r="FK57" s="564">
        <v>2375.4404445339346</v>
      </c>
      <c r="FL57" s="565">
        <v>174.12887915705056</v>
      </c>
      <c r="FM57" s="649">
        <v>76.016260000000003</v>
      </c>
      <c r="FN57" s="646">
        <v>299.38409666312072</v>
      </c>
      <c r="FO57" s="646">
        <v>0</v>
      </c>
      <c r="FP57" s="646">
        <v>0</v>
      </c>
      <c r="FQ57" s="646">
        <v>86.8703927739666</v>
      </c>
      <c r="FR57" s="646">
        <v>67.179273314891489</v>
      </c>
      <c r="FS57" s="646">
        <v>2562.5</v>
      </c>
      <c r="FT57" s="563" t="s">
        <v>1587</v>
      </c>
      <c r="FU57" s="563">
        <v>8</v>
      </c>
      <c r="FV57" s="563">
        <v>0</v>
      </c>
      <c r="FW57" s="563">
        <v>0</v>
      </c>
      <c r="FX57" s="563">
        <v>0</v>
      </c>
      <c r="FY57" s="650">
        <v>2933.8600636088072</v>
      </c>
      <c r="FZ57" s="563">
        <v>0</v>
      </c>
      <c r="GA57" s="563">
        <v>0</v>
      </c>
      <c r="GB57" s="563">
        <v>0</v>
      </c>
      <c r="GC57" s="650">
        <v>3358.2274814565958</v>
      </c>
      <c r="GD57" s="564">
        <v>2933.8600636088072</v>
      </c>
      <c r="GE57" s="565">
        <v>215.06317519152464</v>
      </c>
      <c r="GF57" s="649">
        <v>57.012195000000006</v>
      </c>
      <c r="GG57" s="646">
        <v>280.38003166312075</v>
      </c>
      <c r="GH57" s="646">
        <v>0</v>
      </c>
      <c r="GI57" s="646">
        <v>0</v>
      </c>
      <c r="GJ57" s="646">
        <v>84.08264171868764</v>
      </c>
      <c r="GK57" s="646">
        <v>61.418371548758984</v>
      </c>
      <c r="GL57" s="646">
        <v>2050</v>
      </c>
      <c r="GM57" s="563" t="s">
        <v>1587</v>
      </c>
      <c r="GN57" s="563">
        <v>6</v>
      </c>
      <c r="GO57" s="563">
        <v>0</v>
      </c>
      <c r="GP57" s="563">
        <v>0</v>
      </c>
      <c r="GQ57" s="563">
        <v>0</v>
      </c>
      <c r="GR57" s="650">
        <v>2266.1875580181741</v>
      </c>
      <c r="GS57" s="563">
        <v>0</v>
      </c>
      <c r="GT57" s="563">
        <v>0</v>
      </c>
      <c r="GU57" s="563">
        <v>0</v>
      </c>
      <c r="GV57" s="650">
        <v>2433.0168126951066</v>
      </c>
      <c r="GW57" s="564">
        <v>2266.1875580181741</v>
      </c>
      <c r="GX57" s="565">
        <v>166.12022429161806</v>
      </c>
      <c r="GY57" s="649">
        <v>76.016260000000003</v>
      </c>
      <c r="GZ57" s="646">
        <v>299.38409666312072</v>
      </c>
      <c r="HA57" s="646">
        <v>0</v>
      </c>
      <c r="HB57" s="646">
        <v>0</v>
      </c>
      <c r="HC57" s="646">
        <v>86.8703927739666</v>
      </c>
      <c r="HD57" s="646">
        <v>67.179273314891489</v>
      </c>
      <c r="HE57" s="646">
        <v>2562.5</v>
      </c>
      <c r="HF57" s="563" t="s">
        <v>1587</v>
      </c>
      <c r="HG57" s="563">
        <v>8</v>
      </c>
      <c r="HH57" s="563">
        <v>0</v>
      </c>
      <c r="HI57" s="563">
        <v>0</v>
      </c>
      <c r="HJ57" s="563">
        <v>0</v>
      </c>
      <c r="HK57" s="650">
        <v>2933.8600636088072</v>
      </c>
      <c r="HL57" s="563">
        <v>0</v>
      </c>
      <c r="HM57" s="563">
        <v>0</v>
      </c>
      <c r="HN57" s="563">
        <v>0</v>
      </c>
      <c r="HO57" s="650">
        <v>3358.2274814565958</v>
      </c>
      <c r="HP57" s="564">
        <v>2933.8600636088072</v>
      </c>
      <c r="HQ57" s="565">
        <v>215.06317519152464</v>
      </c>
      <c r="HR57" s="649">
        <v>38.008130000000001</v>
      </c>
      <c r="HS57" s="646">
        <v>275.26178747341316</v>
      </c>
      <c r="HT57" s="646">
        <v>3.8191248763126708</v>
      </c>
      <c r="HU57" s="646">
        <v>10.066695933979737</v>
      </c>
      <c r="HV57" s="646">
        <v>81.766612665053074</v>
      </c>
      <c r="HW57" s="646">
        <v>60.492064810029078</v>
      </c>
      <c r="HX57" s="646">
        <v>2050</v>
      </c>
      <c r="HY57" s="563" t="s">
        <v>68</v>
      </c>
      <c r="HZ57" s="563">
        <v>4</v>
      </c>
      <c r="IA57" s="563">
        <v>1</v>
      </c>
      <c r="IB57" s="563">
        <v>6</v>
      </c>
      <c r="IC57" s="563">
        <v>80.433051393292104</v>
      </c>
      <c r="ID57" s="650">
        <v>3296.6173787806065</v>
      </c>
      <c r="IE57" s="563">
        <v>1</v>
      </c>
      <c r="IF57" s="563">
        <v>6</v>
      </c>
      <c r="IG57" s="563">
        <v>100.8194265370456</v>
      </c>
      <c r="IH57" s="650">
        <v>3116.56265078044</v>
      </c>
      <c r="II57" s="564">
        <v>3116.56265078044</v>
      </c>
      <c r="IJ57" s="565">
        <v>228.45597432336379</v>
      </c>
      <c r="IK57" s="649">
        <v>38.008130000000001</v>
      </c>
      <c r="IL57" s="646">
        <v>275.26178747341316</v>
      </c>
      <c r="IM57" s="646">
        <v>3.8191248763126708</v>
      </c>
      <c r="IN57" s="646">
        <v>10.066695933979737</v>
      </c>
      <c r="IO57" s="646">
        <v>81.766612665053074</v>
      </c>
      <c r="IP57" s="646">
        <v>60.492064810029078</v>
      </c>
      <c r="IQ57" s="646">
        <v>2562.5</v>
      </c>
      <c r="IR57" s="563" t="s">
        <v>68</v>
      </c>
      <c r="IS57" s="563">
        <v>4</v>
      </c>
      <c r="IT57" s="563">
        <v>1</v>
      </c>
      <c r="IU57" s="563">
        <v>6</v>
      </c>
      <c r="IV57" s="563">
        <v>80.433051393292104</v>
      </c>
      <c r="IW57" s="650">
        <v>3296.6173787806065</v>
      </c>
      <c r="IX57" s="563">
        <v>1</v>
      </c>
      <c r="IY57" s="563">
        <v>6</v>
      </c>
      <c r="IZ57" s="563">
        <v>100.8194265370456</v>
      </c>
      <c r="JA57" s="650">
        <v>3116.56265078044</v>
      </c>
      <c r="JB57" s="564">
        <v>3116.56265078044</v>
      </c>
      <c r="JC57" s="565">
        <v>228.45597432336379</v>
      </c>
      <c r="JD57" s="649">
        <v>47.5101625</v>
      </c>
      <c r="JE57" s="646">
        <v>270.87799916312071</v>
      </c>
      <c r="JF57" s="646">
        <v>0</v>
      </c>
      <c r="JG57" s="646">
        <v>0</v>
      </c>
      <c r="JH57" s="646">
        <v>82.542080406981142</v>
      </c>
      <c r="JI57" s="646">
        <v>58.537920665692738</v>
      </c>
      <c r="JJ57" s="646">
        <v>2050</v>
      </c>
      <c r="JK57" s="563" t="s">
        <v>67</v>
      </c>
      <c r="JL57" s="563">
        <v>5</v>
      </c>
      <c r="JM57" s="563">
        <v>0</v>
      </c>
      <c r="JN57" s="563">
        <v>0</v>
      </c>
      <c r="JO57" s="563">
        <v>0</v>
      </c>
      <c r="JP57" s="650">
        <v>2409.1303155188489</v>
      </c>
      <c r="JQ57" s="563">
        <v>0</v>
      </c>
      <c r="JR57" s="563">
        <v>0</v>
      </c>
      <c r="JS57" s="563">
        <v>0</v>
      </c>
      <c r="JT57" s="650">
        <v>2550.4472920972566</v>
      </c>
      <c r="JU57" s="564">
        <v>2409.1303155188489</v>
      </c>
      <c r="JV57" s="565">
        <v>176.59847568473779</v>
      </c>
      <c r="JW57" s="649">
        <v>57.012195000000006</v>
      </c>
      <c r="JX57" s="646">
        <v>285.47219816487097</v>
      </c>
      <c r="JY57" s="646">
        <v>5.0921665017502287</v>
      </c>
      <c r="JZ57" s="646">
        <v>0</v>
      </c>
      <c r="KA57" s="646">
        <v>84.866026237821458</v>
      </c>
      <c r="KB57" s="646">
        <v>62.16663185068343</v>
      </c>
      <c r="KC57" s="646">
        <v>2562.5</v>
      </c>
      <c r="KD57" s="563" t="s">
        <v>67</v>
      </c>
      <c r="KE57" s="563">
        <v>6</v>
      </c>
      <c r="KF57" s="563">
        <v>1</v>
      </c>
      <c r="KG57" s="563">
        <v>8</v>
      </c>
      <c r="KH57" s="563">
        <v>80.433051393292104</v>
      </c>
      <c r="KI57" s="650">
        <v>6266.0060418604835</v>
      </c>
      <c r="KJ57" s="563">
        <v>0</v>
      </c>
      <c r="KK57" s="563">
        <v>0</v>
      </c>
      <c r="KL57" s="563">
        <v>0</v>
      </c>
      <c r="KM57" s="650">
        <v>2924.1222907460569</v>
      </c>
      <c r="KN57" s="564">
        <v>2924.1222907460569</v>
      </c>
      <c r="KO57" s="566">
        <v>214.34935915880595</v>
      </c>
    </row>
    <row r="58" spans="1:301" ht="15" customHeight="1">
      <c r="A58" s="663" t="s">
        <v>835</v>
      </c>
      <c r="B58" s="629" t="s">
        <v>390</v>
      </c>
      <c r="C58" s="629">
        <v>774</v>
      </c>
      <c r="D58" s="629">
        <v>1400</v>
      </c>
      <c r="E58" s="629">
        <v>800</v>
      </c>
      <c r="F58" s="629">
        <v>710</v>
      </c>
      <c r="G58" s="629">
        <v>403</v>
      </c>
      <c r="H58" s="629">
        <v>288</v>
      </c>
      <c r="I58" s="629">
        <v>205</v>
      </c>
      <c r="J58" s="629">
        <v>30</v>
      </c>
      <c r="K58" s="629">
        <v>45</v>
      </c>
      <c r="L58" s="629">
        <v>12</v>
      </c>
      <c r="M58" s="629">
        <v>530.95929586801913</v>
      </c>
      <c r="N58" s="629">
        <v>6</v>
      </c>
      <c r="O58" s="623">
        <v>48.829774614746157</v>
      </c>
      <c r="P58" s="629">
        <v>6</v>
      </c>
      <c r="Q58" s="623">
        <v>34.866761886861127</v>
      </c>
      <c r="R58" s="629">
        <v>20</v>
      </c>
      <c r="S58" s="629">
        <v>1008.6911067350828</v>
      </c>
      <c r="T58" s="645">
        <v>125.46018321779236</v>
      </c>
      <c r="U58" s="645">
        <v>151.30366601026242</v>
      </c>
      <c r="V58" s="645">
        <v>172.5</v>
      </c>
      <c r="W58" s="793">
        <v>18.260337604277122</v>
      </c>
      <c r="X58" s="646">
        <v>473.33333333333331</v>
      </c>
      <c r="Y58" s="646">
        <v>63.414642208699036</v>
      </c>
      <c r="Z58" s="646">
        <v>6</v>
      </c>
      <c r="AA58" s="646">
        <v>8.5802746522521609</v>
      </c>
      <c r="AB58" s="647">
        <v>52.531826025991258</v>
      </c>
      <c r="AC58" s="784">
        <v>3599.204955034927</v>
      </c>
      <c r="AD58" s="631">
        <v>0.47833151218577513</v>
      </c>
      <c r="AE58" s="631">
        <v>0.57735026918962573</v>
      </c>
      <c r="AF58" s="631">
        <v>-0.41875652022475257</v>
      </c>
      <c r="AG58" s="631">
        <v>0.8151309306953296</v>
      </c>
      <c r="AH58" s="629"/>
      <c r="AI58" s="648">
        <v>8.3576504151202151</v>
      </c>
      <c r="AJ58" s="649">
        <v>73.974204827064995</v>
      </c>
      <c r="AK58" s="646">
        <v>309.97153680299391</v>
      </c>
      <c r="AL58" s="646">
        <v>0</v>
      </c>
      <c r="AM58" s="646">
        <v>0</v>
      </c>
      <c r="AN58" s="646">
        <v>90.077542705670922</v>
      </c>
      <c r="AO58" s="646">
        <v>68.706266874431748</v>
      </c>
      <c r="AP58" s="801">
        <v>1850</v>
      </c>
      <c r="AQ58" s="563" t="s">
        <v>67</v>
      </c>
      <c r="AR58" s="563">
        <v>6</v>
      </c>
      <c r="AS58" s="563">
        <v>0</v>
      </c>
      <c r="AT58" s="563">
        <v>0</v>
      </c>
      <c r="AU58" s="563">
        <v>0</v>
      </c>
      <c r="AV58" s="650">
        <v>2184.524972471519</v>
      </c>
      <c r="AW58" s="563">
        <v>0</v>
      </c>
      <c r="AX58" s="563">
        <v>0</v>
      </c>
      <c r="AY58" s="563">
        <v>0</v>
      </c>
      <c r="AZ58" s="650">
        <v>2380.6807331338341</v>
      </c>
      <c r="BA58" s="564">
        <v>2184.524972471519</v>
      </c>
      <c r="BB58" s="565">
        <v>160.13404411899927</v>
      </c>
      <c r="BC58" s="649">
        <v>61.645170689220834</v>
      </c>
      <c r="BD58" s="646">
        <v>315.02083060015082</v>
      </c>
      <c r="BE58" s="646">
        <v>4.8502101442387113</v>
      </c>
      <c r="BF58" s="646">
        <v>12.528117790762336</v>
      </c>
      <c r="BG58" s="646">
        <v>89.291415138483927</v>
      </c>
      <c r="BH58" s="646">
        <v>70.994902445982618</v>
      </c>
      <c r="BI58" s="646">
        <v>2312.5</v>
      </c>
      <c r="BJ58" s="563" t="s">
        <v>71</v>
      </c>
      <c r="BK58" s="563">
        <v>5</v>
      </c>
      <c r="BL58" s="563">
        <v>1</v>
      </c>
      <c r="BM58" s="563">
        <v>8</v>
      </c>
      <c r="BN58" s="563">
        <v>66.369911983502377</v>
      </c>
      <c r="BO58" s="650">
        <v>2611.0577001752199</v>
      </c>
      <c r="BP58" s="563">
        <v>1</v>
      </c>
      <c r="BQ58" s="563">
        <v>8</v>
      </c>
      <c r="BR58" s="563">
        <v>93.861229660577678</v>
      </c>
      <c r="BS58" s="650">
        <v>2548.2639972661491</v>
      </c>
      <c r="BT58" s="564">
        <v>2548.2639972661491</v>
      </c>
      <c r="BU58" s="565">
        <v>186.79750724176952</v>
      </c>
      <c r="BV58" s="649">
        <v>49.316136551376665</v>
      </c>
      <c r="BW58" s="646">
        <v>298.3472144785564</v>
      </c>
      <c r="BX58" s="646">
        <v>3.6376576081790337</v>
      </c>
      <c r="BY58" s="646">
        <v>9.3960883430717512</v>
      </c>
      <c r="BZ58" s="646">
        <v>86.669601752947329</v>
      </c>
      <c r="CA58" s="646">
        <v>65.492909902260877</v>
      </c>
      <c r="CB58" s="646">
        <v>1850</v>
      </c>
      <c r="CC58" s="563" t="s">
        <v>1584</v>
      </c>
      <c r="CD58" s="563">
        <v>4</v>
      </c>
      <c r="CE58" s="563">
        <v>1</v>
      </c>
      <c r="CF58" s="563">
        <v>6</v>
      </c>
      <c r="CG58" s="563">
        <v>66.369911983502377</v>
      </c>
      <c r="CH58" s="650">
        <v>2187.0339288998812</v>
      </c>
      <c r="CI58" s="563">
        <v>1</v>
      </c>
      <c r="CJ58" s="563">
        <v>6</v>
      </c>
      <c r="CK58" s="563">
        <v>93.861229660577678</v>
      </c>
      <c r="CL58" s="650">
        <v>2389.9024052343848</v>
      </c>
      <c r="CM58" s="564">
        <v>2187.0339288998812</v>
      </c>
      <c r="CN58" s="565">
        <v>160.31796023094805</v>
      </c>
      <c r="CO58" s="649">
        <v>61.645170689220834</v>
      </c>
      <c r="CP58" s="646">
        <v>321.28488949553196</v>
      </c>
      <c r="CQ58" s="646">
        <v>4.8502101442387113</v>
      </c>
      <c r="CR58" s="646">
        <v>18.792176686143502</v>
      </c>
      <c r="CS58" s="646">
        <v>89.548941577486673</v>
      </c>
      <c r="CT58" s="646">
        <v>73.680317676858166</v>
      </c>
      <c r="CU58" s="646">
        <v>2312.5</v>
      </c>
      <c r="CV58" s="563" t="s">
        <v>1584</v>
      </c>
      <c r="CW58" s="563">
        <v>5</v>
      </c>
      <c r="CX58" s="563">
        <v>1</v>
      </c>
      <c r="CY58" s="563">
        <v>8</v>
      </c>
      <c r="CZ58" s="563">
        <v>66.369911983502377</v>
      </c>
      <c r="DA58" s="650">
        <v>2558.3036217576941</v>
      </c>
      <c r="DB58" s="563">
        <v>1</v>
      </c>
      <c r="DC58" s="563">
        <v>12</v>
      </c>
      <c r="DD58" s="563">
        <v>93.861229660577678</v>
      </c>
      <c r="DE58" s="650">
        <v>2574.5352781756942</v>
      </c>
      <c r="DF58" s="564">
        <v>2558.3036217576941</v>
      </c>
      <c r="DG58" s="565">
        <v>187.53345015454309</v>
      </c>
      <c r="DH58" s="649">
        <v>98.632273102753331</v>
      </c>
      <c r="DI58" s="646">
        <v>340.69236775898059</v>
      </c>
      <c r="DJ58" s="646">
        <v>6.0627626802983894</v>
      </c>
      <c r="DK58" s="646">
        <v>0</v>
      </c>
      <c r="DL58" s="646">
        <v>94.939825668353578</v>
      </c>
      <c r="DM58" s="646">
        <v>77.671090753849924</v>
      </c>
      <c r="DN58" s="646">
        <v>1850</v>
      </c>
      <c r="DO58" s="563" t="s">
        <v>1589</v>
      </c>
      <c r="DP58" s="563">
        <v>8</v>
      </c>
      <c r="DQ58" s="563">
        <v>1</v>
      </c>
      <c r="DR58" s="563">
        <v>10</v>
      </c>
      <c r="DS58" s="563">
        <v>66.369911983502377</v>
      </c>
      <c r="DT58" s="650">
        <v>3762.8955965765608</v>
      </c>
      <c r="DU58" s="563">
        <v>0</v>
      </c>
      <c r="DV58" s="563">
        <v>0</v>
      </c>
      <c r="DW58" s="563">
        <v>0</v>
      </c>
      <c r="DX58" s="650">
        <v>2127.6342147732139</v>
      </c>
      <c r="DY58" s="564">
        <v>2127.6342147732139</v>
      </c>
      <c r="DZ58" s="565">
        <v>155.96373376868237</v>
      </c>
      <c r="EA58" s="649">
        <v>61.645170689220834</v>
      </c>
      <c r="EB58" s="646">
        <v>315.02083060015082</v>
      </c>
      <c r="EC58" s="646">
        <v>4.8502101442387113</v>
      </c>
      <c r="ED58" s="646">
        <v>12.528117790762336</v>
      </c>
      <c r="EE58" s="646">
        <v>89.291415138483927</v>
      </c>
      <c r="EF58" s="646">
        <v>70.994902445982618</v>
      </c>
      <c r="EG58" s="646">
        <v>2312.5</v>
      </c>
      <c r="EH58" s="563" t="s">
        <v>1588</v>
      </c>
      <c r="EI58" s="563">
        <v>5</v>
      </c>
      <c r="EJ58" s="563">
        <v>1</v>
      </c>
      <c r="EK58" s="563">
        <v>8</v>
      </c>
      <c r="EL58" s="563">
        <v>66.369911983502377</v>
      </c>
      <c r="EM58" s="650">
        <v>2662.7668328620289</v>
      </c>
      <c r="EN58" s="563">
        <v>1</v>
      </c>
      <c r="EO58" s="563">
        <v>8</v>
      </c>
      <c r="EP58" s="563">
        <v>93.861229660577678</v>
      </c>
      <c r="EQ58" s="650">
        <v>2598.7295695692096</v>
      </c>
      <c r="ER58" s="564">
        <v>2598.7295695692096</v>
      </c>
      <c r="ES58" s="565">
        <v>190.49682690325454</v>
      </c>
      <c r="ET58" s="649">
        <v>98.632273102753331</v>
      </c>
      <c r="EU58" s="646">
        <v>334.62960507868223</v>
      </c>
      <c r="EV58" s="646">
        <v>0</v>
      </c>
      <c r="EW58" s="646">
        <v>0</v>
      </c>
      <c r="EX58" s="646">
        <v>94.050961713961655</v>
      </c>
      <c r="EY58" s="646">
        <v>76.594000715766185</v>
      </c>
      <c r="EZ58" s="646">
        <v>1850</v>
      </c>
      <c r="FA58" s="563" t="s">
        <v>1587</v>
      </c>
      <c r="FB58" s="563">
        <v>8</v>
      </c>
      <c r="FC58" s="563">
        <v>0</v>
      </c>
      <c r="FD58" s="563">
        <v>0</v>
      </c>
      <c r="FE58" s="563">
        <v>0</v>
      </c>
      <c r="FF58" s="650">
        <v>2315.1516008956314</v>
      </c>
      <c r="FG58" s="563">
        <v>0</v>
      </c>
      <c r="FH58" s="563">
        <v>0</v>
      </c>
      <c r="FI58" s="563">
        <v>0</v>
      </c>
      <c r="FJ58" s="650">
        <v>2627.7994327555302</v>
      </c>
      <c r="FK58" s="564">
        <v>2315.1516008956314</v>
      </c>
      <c r="FL58" s="565">
        <v>169.70947609747518</v>
      </c>
      <c r="FM58" s="649">
        <v>98.632273102753331</v>
      </c>
      <c r="FN58" s="646">
        <v>340.69236775898059</v>
      </c>
      <c r="FO58" s="646">
        <v>6.0627626802983894</v>
      </c>
      <c r="FP58" s="646">
        <v>0</v>
      </c>
      <c r="FQ58" s="646">
        <v>94.939825668353578</v>
      </c>
      <c r="FR58" s="646">
        <v>77.671090753849924</v>
      </c>
      <c r="FS58" s="646">
        <v>2312.5</v>
      </c>
      <c r="FT58" s="563" t="s">
        <v>1587</v>
      </c>
      <c r="FU58" s="563">
        <v>8</v>
      </c>
      <c r="FV58" s="563">
        <v>1</v>
      </c>
      <c r="FW58" s="563">
        <v>10</v>
      </c>
      <c r="FX58" s="563">
        <v>66.369911983502377</v>
      </c>
      <c r="FY58" s="650">
        <v>4647.4788032378719</v>
      </c>
      <c r="FZ58" s="563">
        <v>0</v>
      </c>
      <c r="GA58" s="563">
        <v>0</v>
      </c>
      <c r="GB58" s="563">
        <v>0</v>
      </c>
      <c r="GC58" s="650">
        <v>2627.7994327555302</v>
      </c>
      <c r="GD58" s="564">
        <v>2627.7994327555302</v>
      </c>
      <c r="GE58" s="565">
        <v>192.62775917121797</v>
      </c>
      <c r="GF58" s="649">
        <v>98.632273102753331</v>
      </c>
      <c r="GG58" s="646">
        <v>334.62960507868223</v>
      </c>
      <c r="GH58" s="646">
        <v>0</v>
      </c>
      <c r="GI58" s="646">
        <v>0</v>
      </c>
      <c r="GJ58" s="646">
        <v>94.050961713961655</v>
      </c>
      <c r="GK58" s="646">
        <v>76.594000715766185</v>
      </c>
      <c r="GL58" s="646">
        <v>1850</v>
      </c>
      <c r="GM58" s="563" t="s">
        <v>1587</v>
      </c>
      <c r="GN58" s="563">
        <v>8</v>
      </c>
      <c r="GO58" s="563">
        <v>0</v>
      </c>
      <c r="GP58" s="563">
        <v>0</v>
      </c>
      <c r="GQ58" s="563">
        <v>0</v>
      </c>
      <c r="GR58" s="650">
        <v>2315.1516008956314</v>
      </c>
      <c r="GS58" s="563">
        <v>0</v>
      </c>
      <c r="GT58" s="563">
        <v>0</v>
      </c>
      <c r="GU58" s="563">
        <v>0</v>
      </c>
      <c r="GV58" s="650">
        <v>2627.7994327555302</v>
      </c>
      <c r="GW58" s="564">
        <v>2315.1516008956314</v>
      </c>
      <c r="GX58" s="565">
        <v>169.70947609747518</v>
      </c>
      <c r="GY58" s="649">
        <v>98.632273102753331</v>
      </c>
      <c r="GZ58" s="646">
        <v>340.69236775898059</v>
      </c>
      <c r="HA58" s="646">
        <v>6.0627626802983894</v>
      </c>
      <c r="HB58" s="646">
        <v>0</v>
      </c>
      <c r="HC58" s="646">
        <v>94.939825668353578</v>
      </c>
      <c r="HD58" s="646">
        <v>77.671090753849924</v>
      </c>
      <c r="HE58" s="646">
        <v>2312.5</v>
      </c>
      <c r="HF58" s="563" t="s">
        <v>1587</v>
      </c>
      <c r="HG58" s="563">
        <v>8</v>
      </c>
      <c r="HH58" s="563">
        <v>1</v>
      </c>
      <c r="HI58" s="563">
        <v>10</v>
      </c>
      <c r="HJ58" s="563">
        <v>66.369911983502377</v>
      </c>
      <c r="HK58" s="650">
        <v>4647.4788032378719</v>
      </c>
      <c r="HL58" s="563">
        <v>0</v>
      </c>
      <c r="HM58" s="563">
        <v>0</v>
      </c>
      <c r="HN58" s="563">
        <v>0</v>
      </c>
      <c r="HO58" s="650">
        <v>2627.7994327555302</v>
      </c>
      <c r="HP58" s="564">
        <v>2627.7994327555302</v>
      </c>
      <c r="HQ58" s="565">
        <v>192.62775917121797</v>
      </c>
      <c r="HR58" s="649">
        <v>49.316136551376665</v>
      </c>
      <c r="HS58" s="646">
        <v>298.3472144785564</v>
      </c>
      <c r="HT58" s="646">
        <v>3.6376576081790337</v>
      </c>
      <c r="HU58" s="646">
        <v>9.3960883430717512</v>
      </c>
      <c r="HV58" s="646">
        <v>86.669601752947329</v>
      </c>
      <c r="HW58" s="646">
        <v>65.492909902260877</v>
      </c>
      <c r="HX58" s="646">
        <v>1850</v>
      </c>
      <c r="HY58" s="563" t="s">
        <v>68</v>
      </c>
      <c r="HZ58" s="563">
        <v>4</v>
      </c>
      <c r="IA58" s="563">
        <v>1</v>
      </c>
      <c r="IB58" s="563">
        <v>6</v>
      </c>
      <c r="IC58" s="563">
        <v>66.369911983502377</v>
      </c>
      <c r="ID58" s="650">
        <v>2641.0943850322551</v>
      </c>
      <c r="IE58" s="563">
        <v>1</v>
      </c>
      <c r="IF58" s="563">
        <v>6</v>
      </c>
      <c r="IG58" s="563">
        <v>93.861229660577678</v>
      </c>
      <c r="IH58" s="650">
        <v>2886.0813450729815</v>
      </c>
      <c r="II58" s="564">
        <v>2641.0943850322551</v>
      </c>
      <c r="IJ58" s="565">
        <v>193.60233007394032</v>
      </c>
      <c r="IK58" s="649">
        <v>49.316136551376665</v>
      </c>
      <c r="IL58" s="646">
        <v>298.3472144785564</v>
      </c>
      <c r="IM58" s="646">
        <v>3.6376576081790337</v>
      </c>
      <c r="IN58" s="646">
        <v>9.3960883430717512</v>
      </c>
      <c r="IO58" s="646">
        <v>86.669601752947329</v>
      </c>
      <c r="IP58" s="646">
        <v>65.492909902260877</v>
      </c>
      <c r="IQ58" s="646">
        <v>2312.5</v>
      </c>
      <c r="IR58" s="563" t="s">
        <v>68</v>
      </c>
      <c r="IS58" s="563">
        <v>4</v>
      </c>
      <c r="IT58" s="563">
        <v>1</v>
      </c>
      <c r="IU58" s="563">
        <v>6</v>
      </c>
      <c r="IV58" s="563">
        <v>66.369911983502377</v>
      </c>
      <c r="IW58" s="650">
        <v>2641.0943850322551</v>
      </c>
      <c r="IX58" s="563">
        <v>1</v>
      </c>
      <c r="IY58" s="563">
        <v>6</v>
      </c>
      <c r="IZ58" s="563">
        <v>93.861229660577678</v>
      </c>
      <c r="JA58" s="650">
        <v>2886.0813450729815</v>
      </c>
      <c r="JB58" s="564">
        <v>2641.0943850322551</v>
      </c>
      <c r="JC58" s="565">
        <v>193.60233007394032</v>
      </c>
      <c r="JD58" s="649">
        <v>73.974204827064995</v>
      </c>
      <c r="JE58" s="646">
        <v>309.97153680299391</v>
      </c>
      <c r="JF58" s="646">
        <v>0</v>
      </c>
      <c r="JG58" s="646">
        <v>0</v>
      </c>
      <c r="JH58" s="646">
        <v>90.077542705670922</v>
      </c>
      <c r="JI58" s="646">
        <v>68.706266874431748</v>
      </c>
      <c r="JJ58" s="646">
        <v>1850</v>
      </c>
      <c r="JK58" s="563" t="s">
        <v>67</v>
      </c>
      <c r="JL58" s="563">
        <v>6</v>
      </c>
      <c r="JM58" s="563">
        <v>0</v>
      </c>
      <c r="JN58" s="563">
        <v>0</v>
      </c>
      <c r="JO58" s="563">
        <v>0</v>
      </c>
      <c r="JP58" s="650">
        <v>2184.524972471519</v>
      </c>
      <c r="JQ58" s="563">
        <v>0</v>
      </c>
      <c r="JR58" s="563">
        <v>0</v>
      </c>
      <c r="JS58" s="563">
        <v>0</v>
      </c>
      <c r="JT58" s="650">
        <v>2380.6807331338341</v>
      </c>
      <c r="JU58" s="564">
        <v>2184.524972471519</v>
      </c>
      <c r="JV58" s="565">
        <v>160.13404411899927</v>
      </c>
      <c r="JW58" s="649">
        <v>49.316136551376665</v>
      </c>
      <c r="JX58" s="646">
        <v>298.3472144785564</v>
      </c>
      <c r="JY58" s="646">
        <v>3.6376576081790337</v>
      </c>
      <c r="JZ58" s="646">
        <v>9.3960883430717512</v>
      </c>
      <c r="KA58" s="646">
        <v>86.669601752947329</v>
      </c>
      <c r="KB58" s="646">
        <v>65.492909902260877</v>
      </c>
      <c r="KC58" s="646">
        <v>2312.5</v>
      </c>
      <c r="KD58" s="563" t="s">
        <v>67</v>
      </c>
      <c r="KE58" s="563">
        <v>4</v>
      </c>
      <c r="KF58" s="563">
        <v>1</v>
      </c>
      <c r="KG58" s="563">
        <v>6</v>
      </c>
      <c r="KH58" s="563">
        <v>66.369911983502377</v>
      </c>
      <c r="KI58" s="650">
        <v>3599.204955034927</v>
      </c>
      <c r="KJ58" s="563">
        <v>1</v>
      </c>
      <c r="KK58" s="563">
        <v>6</v>
      </c>
      <c r="KL58" s="563">
        <v>93.861229660577678</v>
      </c>
      <c r="KM58" s="650">
        <v>3933.065905061806</v>
      </c>
      <c r="KN58" s="564">
        <v>3599.204955034927</v>
      </c>
      <c r="KO58" s="566">
        <v>263.8355030617065</v>
      </c>
    </row>
    <row r="59" spans="1:301" ht="15" customHeight="1">
      <c r="A59" s="663" t="s">
        <v>836</v>
      </c>
      <c r="B59" s="629" t="s">
        <v>392</v>
      </c>
      <c r="C59" s="629">
        <v>987</v>
      </c>
      <c r="D59" s="629">
        <v>1400</v>
      </c>
      <c r="E59" s="629">
        <v>900</v>
      </c>
      <c r="F59" s="629">
        <v>900</v>
      </c>
      <c r="G59" s="629">
        <v>513</v>
      </c>
      <c r="H59" s="629">
        <v>375</v>
      </c>
      <c r="I59" s="629">
        <v>277</v>
      </c>
      <c r="J59" s="629">
        <v>19.53</v>
      </c>
      <c r="K59" s="629">
        <v>30.08</v>
      </c>
      <c r="L59" s="629">
        <v>8</v>
      </c>
      <c r="M59" s="629">
        <v>542</v>
      </c>
      <c r="N59" s="629">
        <v>6</v>
      </c>
      <c r="O59" s="623">
        <v>42.541091520422789</v>
      </c>
      <c r="P59" s="629">
        <v>6</v>
      </c>
      <c r="Q59" s="623">
        <v>27.797596911056417</v>
      </c>
      <c r="R59" s="629">
        <v>20</v>
      </c>
      <c r="S59" s="629">
        <v>1099.3435636791919</v>
      </c>
      <c r="T59" s="645">
        <v>149.02406647047474</v>
      </c>
      <c r="U59" s="645">
        <v>164.90153455187877</v>
      </c>
      <c r="V59" s="645">
        <v>210</v>
      </c>
      <c r="W59" s="793">
        <v>26.405201777737236</v>
      </c>
      <c r="X59" s="646">
        <v>0</v>
      </c>
      <c r="Y59" s="646">
        <v>0</v>
      </c>
      <c r="Z59" s="646">
        <v>0</v>
      </c>
      <c r="AA59" s="646">
        <v>0</v>
      </c>
      <c r="AB59" s="647">
        <v>48.729148170213932</v>
      </c>
      <c r="AC59" s="784">
        <v>2403.8316249194258</v>
      </c>
      <c r="AD59" s="631">
        <v>0.42631953822766389</v>
      </c>
      <c r="AE59" s="631">
        <v>0.35470793990562921</v>
      </c>
      <c r="AF59" s="631">
        <v>-0.67299051816254984</v>
      </c>
      <c r="AG59" s="631">
        <v>0.78952696200721506</v>
      </c>
      <c r="AH59" s="629"/>
      <c r="AI59" s="648">
        <v>7.4543725141585364</v>
      </c>
      <c r="AJ59" s="649">
        <v>55.481288000000006</v>
      </c>
      <c r="AK59" s="646">
        <v>314.35933819045067</v>
      </c>
      <c r="AL59" s="646">
        <v>4.1967546628069794</v>
      </c>
      <c r="AM59" s="646">
        <v>8.9133388479524776</v>
      </c>
      <c r="AN59" s="646">
        <v>104.09494936699367</v>
      </c>
      <c r="AO59" s="646">
        <v>73.693624664227769</v>
      </c>
      <c r="AP59" s="801">
        <v>1450</v>
      </c>
      <c r="AQ59" s="563" t="s">
        <v>71</v>
      </c>
      <c r="AR59" s="563">
        <v>5</v>
      </c>
      <c r="AS59" s="563">
        <v>1</v>
      </c>
      <c r="AT59" s="563">
        <v>8</v>
      </c>
      <c r="AU59" s="563">
        <v>44.088639131537235</v>
      </c>
      <c r="AV59" s="650">
        <v>1725.6578832185633</v>
      </c>
      <c r="AW59" s="563">
        <v>1</v>
      </c>
      <c r="AX59" s="563">
        <v>8</v>
      </c>
      <c r="AY59" s="563">
        <v>66.101061759588461</v>
      </c>
      <c r="AZ59" s="650">
        <v>1828.34187342574</v>
      </c>
      <c r="BA59" s="564">
        <v>1725.6578832185633</v>
      </c>
      <c r="BB59" s="565">
        <v>126.49732966567086</v>
      </c>
      <c r="BC59" s="649">
        <v>88.77006080000001</v>
      </c>
      <c r="BD59" s="646">
        <v>350.92563436814049</v>
      </c>
      <c r="BE59" s="646">
        <v>5.2459433285087238</v>
      </c>
      <c r="BF59" s="646">
        <v>11.141673559940596</v>
      </c>
      <c r="BG59" s="646">
        <v>112.47457483541822</v>
      </c>
      <c r="BH59" s="646">
        <v>87.176000263890714</v>
      </c>
      <c r="BI59" s="646">
        <v>1812.5</v>
      </c>
      <c r="BJ59" s="563" t="s">
        <v>71</v>
      </c>
      <c r="BK59" s="563">
        <v>8</v>
      </c>
      <c r="BL59" s="563">
        <v>1</v>
      </c>
      <c r="BM59" s="563">
        <v>10</v>
      </c>
      <c r="BN59" s="563">
        <v>44.088639131537235</v>
      </c>
      <c r="BO59" s="650">
        <v>2711.937440781152</v>
      </c>
      <c r="BP59" s="563">
        <v>1</v>
      </c>
      <c r="BQ59" s="563">
        <v>10</v>
      </c>
      <c r="BR59" s="563">
        <v>66.101061759588461</v>
      </c>
      <c r="BS59" s="650">
        <v>2337.5689260909812</v>
      </c>
      <c r="BT59" s="564">
        <v>2337.5689260909812</v>
      </c>
      <c r="BU59" s="565">
        <v>171.35275186090155</v>
      </c>
      <c r="BV59" s="649">
        <v>55.481288000000006</v>
      </c>
      <c r="BW59" s="646">
        <v>314.35933819045067</v>
      </c>
      <c r="BX59" s="646">
        <v>4.1967546628069794</v>
      </c>
      <c r="BY59" s="646">
        <v>8.9133388479524776</v>
      </c>
      <c r="BZ59" s="646">
        <v>104.09494936699367</v>
      </c>
      <c r="CA59" s="646">
        <v>73.693624664227769</v>
      </c>
      <c r="CB59" s="646">
        <v>1450</v>
      </c>
      <c r="CC59" s="563" t="s">
        <v>1584</v>
      </c>
      <c r="CD59" s="563">
        <v>5</v>
      </c>
      <c r="CE59" s="563">
        <v>1</v>
      </c>
      <c r="CF59" s="563">
        <v>8</v>
      </c>
      <c r="CG59" s="563">
        <v>44.088639131537235</v>
      </c>
      <c r="CH59" s="650">
        <v>1690.7925137987204</v>
      </c>
      <c r="CI59" s="563">
        <v>1</v>
      </c>
      <c r="CJ59" s="563">
        <v>8</v>
      </c>
      <c r="CK59" s="563">
        <v>66.101061759588461</v>
      </c>
      <c r="CL59" s="650">
        <v>1791.4018661029318</v>
      </c>
      <c r="CM59" s="564">
        <v>1690.7925137987204</v>
      </c>
      <c r="CN59" s="565">
        <v>123.94156460220917</v>
      </c>
      <c r="CO59" s="649">
        <v>88.77006080000001</v>
      </c>
      <c r="CP59" s="646">
        <v>350.92563436814049</v>
      </c>
      <c r="CQ59" s="646">
        <v>5.2459433285087238</v>
      </c>
      <c r="CR59" s="646">
        <v>11.141673559940596</v>
      </c>
      <c r="CS59" s="646">
        <v>112.47457483541822</v>
      </c>
      <c r="CT59" s="646">
        <v>87.176000263890714</v>
      </c>
      <c r="CU59" s="646">
        <v>1812.5</v>
      </c>
      <c r="CV59" s="563" t="s">
        <v>1584</v>
      </c>
      <c r="CW59" s="563">
        <v>8</v>
      </c>
      <c r="CX59" s="563">
        <v>1</v>
      </c>
      <c r="CY59" s="563">
        <v>10</v>
      </c>
      <c r="CZ59" s="563">
        <v>44.088639131537235</v>
      </c>
      <c r="DA59" s="650">
        <v>2657.145177705238</v>
      </c>
      <c r="DB59" s="563">
        <v>1</v>
      </c>
      <c r="DC59" s="563">
        <v>10</v>
      </c>
      <c r="DD59" s="563">
        <v>66.101061759588461</v>
      </c>
      <c r="DE59" s="650">
        <v>2290.3404430034193</v>
      </c>
      <c r="DF59" s="564">
        <v>2290.3404430034193</v>
      </c>
      <c r="DG59" s="565">
        <v>167.8907232323798</v>
      </c>
      <c r="DH59" s="649">
        <v>55.481288000000006</v>
      </c>
      <c r="DI59" s="646">
        <v>314.35933819045067</v>
      </c>
      <c r="DJ59" s="646">
        <v>4.1967546628069794</v>
      </c>
      <c r="DK59" s="646">
        <v>8.9133388479524776</v>
      </c>
      <c r="DL59" s="646">
        <v>104.09494936699367</v>
      </c>
      <c r="DM59" s="646">
        <v>73.693624664227769</v>
      </c>
      <c r="DN59" s="646">
        <v>1450</v>
      </c>
      <c r="DO59" s="563" t="s">
        <v>1588</v>
      </c>
      <c r="DP59" s="563">
        <v>5</v>
      </c>
      <c r="DQ59" s="563">
        <v>1</v>
      </c>
      <c r="DR59" s="563">
        <v>8</v>
      </c>
      <c r="DS59" s="563">
        <v>44.088639131537235</v>
      </c>
      <c r="DT59" s="650">
        <v>1759.8326440633343</v>
      </c>
      <c r="DU59" s="563">
        <v>1</v>
      </c>
      <c r="DV59" s="563">
        <v>8</v>
      </c>
      <c r="DW59" s="563">
        <v>66.101061759588461</v>
      </c>
      <c r="DX59" s="650">
        <v>1864.5501780233274</v>
      </c>
      <c r="DY59" s="564">
        <v>1759.8326440633343</v>
      </c>
      <c r="DZ59" s="565">
        <v>129.00247047652704</v>
      </c>
      <c r="EA59" s="649">
        <v>66.577545600000008</v>
      </c>
      <c r="EB59" s="646">
        <v>325.45559579045067</v>
      </c>
      <c r="EC59" s="646">
        <v>4.1967546628069794</v>
      </c>
      <c r="ED59" s="646">
        <v>8.9133388479524776</v>
      </c>
      <c r="EE59" s="646">
        <v>106.93860588707012</v>
      </c>
      <c r="EF59" s="646">
        <v>77.763411547469573</v>
      </c>
      <c r="EG59" s="646">
        <v>1812.5</v>
      </c>
      <c r="EH59" s="563" t="s">
        <v>1588</v>
      </c>
      <c r="EI59" s="563">
        <v>6</v>
      </c>
      <c r="EJ59" s="563">
        <v>1</v>
      </c>
      <c r="EK59" s="563">
        <v>8</v>
      </c>
      <c r="EL59" s="563">
        <v>44.088639131537235</v>
      </c>
      <c r="EM59" s="650">
        <v>2025.4013717801267</v>
      </c>
      <c r="EN59" s="563">
        <v>1</v>
      </c>
      <c r="EO59" s="563">
        <v>8</v>
      </c>
      <c r="EP59" s="563">
        <v>66.101061759588461</v>
      </c>
      <c r="EQ59" s="650">
        <v>2172.1914277423489</v>
      </c>
      <c r="ER59" s="564">
        <v>2025.4013717801267</v>
      </c>
      <c r="ES59" s="565">
        <v>148.46967497028649</v>
      </c>
      <c r="ET59" s="649">
        <v>88.77006080000001</v>
      </c>
      <c r="EU59" s="646">
        <v>339.78396080819988</v>
      </c>
      <c r="EV59" s="646">
        <v>5.2459433285087238</v>
      </c>
      <c r="EW59" s="646">
        <v>0</v>
      </c>
      <c r="EX59" s="646">
        <v>111.62118908185668</v>
      </c>
      <c r="EY59" s="646">
        <v>82.207772798261317</v>
      </c>
      <c r="EZ59" s="646">
        <v>1450</v>
      </c>
      <c r="FA59" s="563" t="s">
        <v>1587</v>
      </c>
      <c r="FB59" s="563">
        <v>8</v>
      </c>
      <c r="FC59" s="563">
        <v>1</v>
      </c>
      <c r="FD59" s="563">
        <v>10</v>
      </c>
      <c r="FE59" s="563">
        <v>44.088639131537235</v>
      </c>
      <c r="FF59" s="650">
        <v>3638.4458809880798</v>
      </c>
      <c r="FG59" s="563">
        <v>0</v>
      </c>
      <c r="FH59" s="563">
        <v>0</v>
      </c>
      <c r="FI59" s="563">
        <v>0</v>
      </c>
      <c r="FJ59" s="650">
        <v>1616.0082610069069</v>
      </c>
      <c r="FK59" s="564">
        <v>1616.0082610069069</v>
      </c>
      <c r="FL59" s="565">
        <v>118.45959255479336</v>
      </c>
      <c r="FM59" s="649">
        <v>66.577545600000008</v>
      </c>
      <c r="FN59" s="646">
        <v>325.45559579045067</v>
      </c>
      <c r="FO59" s="646">
        <v>4.1967546628069794</v>
      </c>
      <c r="FP59" s="646">
        <v>8.9133388479524776</v>
      </c>
      <c r="FQ59" s="646">
        <v>106.93860588707012</v>
      </c>
      <c r="FR59" s="646">
        <v>77.763411547469573</v>
      </c>
      <c r="FS59" s="646">
        <v>1812.5</v>
      </c>
      <c r="FT59" s="563" t="s">
        <v>1589</v>
      </c>
      <c r="FU59" s="563">
        <v>6</v>
      </c>
      <c r="FV59" s="563">
        <v>1</v>
      </c>
      <c r="FW59" s="563">
        <v>8</v>
      </c>
      <c r="FX59" s="563">
        <v>44.088639131537235</v>
      </c>
      <c r="FY59" s="650">
        <v>2157.4236428760987</v>
      </c>
      <c r="FZ59" s="563">
        <v>1</v>
      </c>
      <c r="GA59" s="563">
        <v>8</v>
      </c>
      <c r="GB59" s="563">
        <v>66.101061759588461</v>
      </c>
      <c r="GC59" s="650">
        <v>2313.7819537197738</v>
      </c>
      <c r="GD59" s="564">
        <v>2157.4236428760987</v>
      </c>
      <c r="GE59" s="565">
        <v>158.14741289994456</v>
      </c>
      <c r="GF59" s="649">
        <v>88.77006080000001</v>
      </c>
      <c r="GG59" s="646">
        <v>339.78396080819988</v>
      </c>
      <c r="GH59" s="646">
        <v>5.2459433285087238</v>
      </c>
      <c r="GI59" s="646">
        <v>0</v>
      </c>
      <c r="GJ59" s="646">
        <v>111.62118908185668</v>
      </c>
      <c r="GK59" s="646">
        <v>82.207772798261317</v>
      </c>
      <c r="GL59" s="646">
        <v>1450</v>
      </c>
      <c r="GM59" s="563" t="s">
        <v>1587</v>
      </c>
      <c r="GN59" s="563">
        <v>8</v>
      </c>
      <c r="GO59" s="563">
        <v>1</v>
      </c>
      <c r="GP59" s="563">
        <v>10</v>
      </c>
      <c r="GQ59" s="563">
        <v>44.088639131537235</v>
      </c>
      <c r="GR59" s="650">
        <v>3638.4458809880798</v>
      </c>
      <c r="GS59" s="563">
        <v>0</v>
      </c>
      <c r="GT59" s="563">
        <v>0</v>
      </c>
      <c r="GU59" s="563">
        <v>0</v>
      </c>
      <c r="GV59" s="650">
        <v>1616.0082610069069</v>
      </c>
      <c r="GW59" s="564">
        <v>1616.0082610069069</v>
      </c>
      <c r="GX59" s="565">
        <v>118.45959255479336</v>
      </c>
      <c r="GY59" s="649">
        <v>44.385030400000005</v>
      </c>
      <c r="GZ59" s="646">
        <v>299.98555721276074</v>
      </c>
      <c r="HA59" s="646">
        <v>3.1475659971052345</v>
      </c>
      <c r="HB59" s="646">
        <v>6.6850041359643582</v>
      </c>
      <c r="HC59" s="646">
        <v>100.46258273085019</v>
      </c>
      <c r="HD59" s="646">
        <v>68.350822831048433</v>
      </c>
      <c r="HE59" s="646">
        <v>1812.5</v>
      </c>
      <c r="HF59" s="563" t="s">
        <v>1587</v>
      </c>
      <c r="HG59" s="563">
        <v>4</v>
      </c>
      <c r="HH59" s="563">
        <v>1</v>
      </c>
      <c r="HI59" s="563">
        <v>6</v>
      </c>
      <c r="HJ59" s="563">
        <v>44.088639131537235</v>
      </c>
      <c r="HK59" s="650">
        <v>2000.1088110528249</v>
      </c>
      <c r="HL59" s="563">
        <v>1</v>
      </c>
      <c r="HM59" s="563">
        <v>6</v>
      </c>
      <c r="HN59" s="563">
        <v>66.101061759588461</v>
      </c>
      <c r="HO59" s="650">
        <v>2102.8858958070937</v>
      </c>
      <c r="HP59" s="564">
        <v>2000.1088110528249</v>
      </c>
      <c r="HQ59" s="565">
        <v>146.61563343428799</v>
      </c>
      <c r="HR59" s="649">
        <v>44.385030400000005</v>
      </c>
      <c r="HS59" s="646">
        <v>299.98555721276074</v>
      </c>
      <c r="HT59" s="646">
        <v>3.1475659971052345</v>
      </c>
      <c r="HU59" s="646">
        <v>6.6850041359643582</v>
      </c>
      <c r="HV59" s="646">
        <v>100.46258273085019</v>
      </c>
      <c r="HW59" s="646">
        <v>68.350822831048433</v>
      </c>
      <c r="HX59" s="646">
        <v>1450</v>
      </c>
      <c r="HY59" s="563" t="s">
        <v>68</v>
      </c>
      <c r="HZ59" s="563">
        <v>4</v>
      </c>
      <c r="IA59" s="563">
        <v>1</v>
      </c>
      <c r="IB59" s="563">
        <v>6</v>
      </c>
      <c r="IC59" s="563">
        <v>44.088639131537235</v>
      </c>
      <c r="ID59" s="650">
        <v>1763.9301697049502</v>
      </c>
      <c r="IE59" s="563">
        <v>1</v>
      </c>
      <c r="IF59" s="563">
        <v>6</v>
      </c>
      <c r="IG59" s="563">
        <v>66.101061759588461</v>
      </c>
      <c r="IH59" s="650">
        <v>1854.571038616951</v>
      </c>
      <c r="II59" s="564">
        <v>1763.9301697049502</v>
      </c>
      <c r="IJ59" s="565">
        <v>129.30283479377761</v>
      </c>
      <c r="IK59" s="649">
        <v>55.481288000000006</v>
      </c>
      <c r="IL59" s="646">
        <v>314.35933819045067</v>
      </c>
      <c r="IM59" s="646">
        <v>4.1967546628069794</v>
      </c>
      <c r="IN59" s="646">
        <v>8.9133388479524776</v>
      </c>
      <c r="IO59" s="646">
        <v>104.09494936699367</v>
      </c>
      <c r="IP59" s="646">
        <v>73.693624664227769</v>
      </c>
      <c r="IQ59" s="646">
        <v>1812.5</v>
      </c>
      <c r="IR59" s="563" t="s">
        <v>68</v>
      </c>
      <c r="IS59" s="563">
        <v>5</v>
      </c>
      <c r="IT59" s="563">
        <v>1</v>
      </c>
      <c r="IU59" s="563">
        <v>8</v>
      </c>
      <c r="IV59" s="563">
        <v>44.088639131537235</v>
      </c>
      <c r="IW59" s="650">
        <v>2041.8259430911642</v>
      </c>
      <c r="IX59" s="563">
        <v>1</v>
      </c>
      <c r="IY59" s="563">
        <v>8</v>
      </c>
      <c r="IZ59" s="563">
        <v>66.101061759588461</v>
      </c>
      <c r="JA59" s="650">
        <v>2163.3232787936995</v>
      </c>
      <c r="JB59" s="564">
        <v>2041.8259430911642</v>
      </c>
      <c r="JC59" s="565">
        <v>149.67365893023256</v>
      </c>
      <c r="JD59" s="649">
        <v>44.385030400000005</v>
      </c>
      <c r="JE59" s="646">
        <v>299.98555721276074</v>
      </c>
      <c r="JF59" s="646">
        <v>3.1475659971052345</v>
      </c>
      <c r="JG59" s="646">
        <v>6.6850041359643582</v>
      </c>
      <c r="JH59" s="646">
        <v>100.46258273085019</v>
      </c>
      <c r="JI59" s="646">
        <v>68.350822831048433</v>
      </c>
      <c r="JJ59" s="646">
        <v>1450</v>
      </c>
      <c r="JK59" s="563" t="s">
        <v>67</v>
      </c>
      <c r="JL59" s="563">
        <v>4</v>
      </c>
      <c r="JM59" s="563">
        <v>1</v>
      </c>
      <c r="JN59" s="563">
        <v>6</v>
      </c>
      <c r="JO59" s="563">
        <v>44.088639131537235</v>
      </c>
      <c r="JP59" s="650">
        <v>2403.8316249194258</v>
      </c>
      <c r="JQ59" s="563">
        <v>1</v>
      </c>
      <c r="JR59" s="563">
        <v>6</v>
      </c>
      <c r="JS59" s="563">
        <v>66.101061759588461</v>
      </c>
      <c r="JT59" s="650">
        <v>2527.3543079275</v>
      </c>
      <c r="JU59" s="564">
        <v>2403.8316249194258</v>
      </c>
      <c r="JV59" s="565">
        <v>176.21006137731928</v>
      </c>
      <c r="JW59" s="649">
        <v>44.385030400000005</v>
      </c>
      <c r="JX59" s="646">
        <v>299.98555721276074</v>
      </c>
      <c r="JY59" s="646">
        <v>3.1475659971052345</v>
      </c>
      <c r="JZ59" s="646">
        <v>6.6850041359643582</v>
      </c>
      <c r="KA59" s="646">
        <v>100.46258273085019</v>
      </c>
      <c r="KB59" s="646">
        <v>68.350822831048433</v>
      </c>
      <c r="KC59" s="646">
        <v>1812.5</v>
      </c>
      <c r="KD59" s="563" t="s">
        <v>67</v>
      </c>
      <c r="KE59" s="563">
        <v>4</v>
      </c>
      <c r="KF59" s="563">
        <v>1</v>
      </c>
      <c r="KG59" s="563">
        <v>6</v>
      </c>
      <c r="KH59" s="563">
        <v>44.088639131537235</v>
      </c>
      <c r="KI59" s="650">
        <v>2403.8316249194258</v>
      </c>
      <c r="KJ59" s="563">
        <v>1</v>
      </c>
      <c r="KK59" s="563">
        <v>6</v>
      </c>
      <c r="KL59" s="563">
        <v>66.101061759588461</v>
      </c>
      <c r="KM59" s="650">
        <v>2527.3543079275</v>
      </c>
      <c r="KN59" s="564">
        <v>2403.8316249194258</v>
      </c>
      <c r="KO59" s="566">
        <v>176.21006137731928</v>
      </c>
    </row>
    <row r="60" spans="1:301" ht="15" customHeight="1">
      <c r="A60" s="663" t="s">
        <v>837</v>
      </c>
      <c r="B60" s="629" t="s">
        <v>386</v>
      </c>
      <c r="C60" s="629">
        <v>435</v>
      </c>
      <c r="D60" s="629">
        <v>1600</v>
      </c>
      <c r="E60" s="629">
        <v>450</v>
      </c>
      <c r="F60" s="629">
        <v>352.49931151148024</v>
      </c>
      <c r="G60" s="629">
        <v>178.65105832656877</v>
      </c>
      <c r="H60" s="629">
        <v>144.74621840115489</v>
      </c>
      <c r="I60" s="629">
        <v>100</v>
      </c>
      <c r="J60" s="629">
        <v>35.799999999999997</v>
      </c>
      <c r="K60" s="629">
        <v>51.27</v>
      </c>
      <c r="L60" s="629">
        <v>12</v>
      </c>
      <c r="M60" s="629">
        <v>864.12839440824587</v>
      </c>
      <c r="N60" s="629">
        <v>6</v>
      </c>
      <c r="O60" s="623">
        <v>87.209237616866716</v>
      </c>
      <c r="P60" s="629">
        <v>6</v>
      </c>
      <c r="Q60" s="623">
        <v>59.444206415719101</v>
      </c>
      <c r="R60" s="629">
        <v>20</v>
      </c>
      <c r="S60" s="629">
        <v>976.24965575574015</v>
      </c>
      <c r="T60" s="645">
        <v>117.51987511363876</v>
      </c>
      <c r="U60" s="645">
        <v>146.43744836336103</v>
      </c>
      <c r="V60" s="645">
        <v>85</v>
      </c>
      <c r="W60" s="793">
        <v>8.4283785433062803</v>
      </c>
      <c r="X60" s="646">
        <v>234.99954100765348</v>
      </c>
      <c r="Y60" s="646">
        <v>31.483968617342626</v>
      </c>
      <c r="Z60" s="646">
        <v>6</v>
      </c>
      <c r="AA60" s="646">
        <v>2.1149545477711871</v>
      </c>
      <c r="AB60" s="647">
        <v>53.659487132809424</v>
      </c>
      <c r="AC60" s="784">
        <v>4000</v>
      </c>
      <c r="AD60" s="631">
        <v>0.2529240187945424</v>
      </c>
      <c r="AE60" s="631">
        <v>0.72122274633842753</v>
      </c>
      <c r="AF60" s="631">
        <v>-0.29586445653518195</v>
      </c>
      <c r="AG60" s="631">
        <v>1.4995238002187108</v>
      </c>
      <c r="AH60" s="629"/>
      <c r="AI60" s="648">
        <v>10.283149139185866</v>
      </c>
      <c r="AJ60" s="649">
        <v>59.767683495990013</v>
      </c>
      <c r="AK60" s="646">
        <v>334.48433573329203</v>
      </c>
      <c r="AL60" s="646">
        <v>0</v>
      </c>
      <c r="AM60" s="646">
        <v>0</v>
      </c>
      <c r="AN60" s="646">
        <v>55.888451211941252</v>
      </c>
      <c r="AO60" s="646">
        <v>90.772785302953451</v>
      </c>
      <c r="AP60" s="801">
        <v>2800</v>
      </c>
      <c r="AQ60" s="563" t="s">
        <v>71</v>
      </c>
      <c r="AR60" s="563">
        <v>6</v>
      </c>
      <c r="AS60" s="563">
        <v>0</v>
      </c>
      <c r="AT60" s="563">
        <v>0</v>
      </c>
      <c r="AU60" s="563">
        <v>0</v>
      </c>
      <c r="AV60" s="650">
        <v>3736.8324085190989</v>
      </c>
      <c r="AW60" s="563">
        <v>0</v>
      </c>
      <c r="AX60" s="563">
        <v>0</v>
      </c>
      <c r="AY60" s="563">
        <v>0</v>
      </c>
      <c r="AZ60" s="650">
        <v>3602.1410231314458</v>
      </c>
      <c r="BA60" s="564">
        <v>3602.1410231314458</v>
      </c>
      <c r="BB60" s="565">
        <v>301.77226067904456</v>
      </c>
      <c r="BC60" s="649">
        <v>59.767683495990013</v>
      </c>
      <c r="BD60" s="646">
        <v>334.48433573329203</v>
      </c>
      <c r="BE60" s="646">
        <v>0</v>
      </c>
      <c r="BF60" s="646">
        <v>0</v>
      </c>
      <c r="BG60" s="646">
        <v>55.888451211941252</v>
      </c>
      <c r="BH60" s="646">
        <v>90.772785302953451</v>
      </c>
      <c r="BI60" s="646">
        <v>3500</v>
      </c>
      <c r="BJ60" s="563" t="s">
        <v>71</v>
      </c>
      <c r="BK60" s="563">
        <v>6</v>
      </c>
      <c r="BL60" s="563">
        <v>0</v>
      </c>
      <c r="BM60" s="563">
        <v>0</v>
      </c>
      <c r="BN60" s="563">
        <v>0</v>
      </c>
      <c r="BO60" s="650">
        <v>3736.8324085190989</v>
      </c>
      <c r="BP60" s="563">
        <v>0</v>
      </c>
      <c r="BQ60" s="563">
        <v>0</v>
      </c>
      <c r="BR60" s="563">
        <v>0</v>
      </c>
      <c r="BS60" s="650">
        <v>3602.1410231314458</v>
      </c>
      <c r="BT60" s="564">
        <v>3602.1410231314458</v>
      </c>
      <c r="BU60" s="565">
        <v>301.77226067904456</v>
      </c>
      <c r="BV60" s="649">
        <v>59.767683495990013</v>
      </c>
      <c r="BW60" s="646">
        <v>334.48433573329203</v>
      </c>
      <c r="BX60" s="646">
        <v>0</v>
      </c>
      <c r="BY60" s="646">
        <v>0</v>
      </c>
      <c r="BZ60" s="646">
        <v>55.888451211941252</v>
      </c>
      <c r="CA60" s="646">
        <v>90.772785302953451</v>
      </c>
      <c r="CB60" s="646">
        <v>2800</v>
      </c>
      <c r="CC60" s="563" t="s">
        <v>1584</v>
      </c>
      <c r="CD60" s="563">
        <v>6</v>
      </c>
      <c r="CE60" s="563">
        <v>0</v>
      </c>
      <c r="CF60" s="563">
        <v>0</v>
      </c>
      <c r="CG60" s="563">
        <v>0</v>
      </c>
      <c r="CH60" s="650">
        <v>3661.3330620669171</v>
      </c>
      <c r="CI60" s="563">
        <v>0</v>
      </c>
      <c r="CJ60" s="563">
        <v>0</v>
      </c>
      <c r="CK60" s="563">
        <v>0</v>
      </c>
      <c r="CL60" s="650">
        <v>3529.3629952875913</v>
      </c>
      <c r="CM60" s="564">
        <v>3529.3629952875913</v>
      </c>
      <c r="CN60" s="565">
        <v>295.67522287592436</v>
      </c>
      <c r="CO60" s="649">
        <v>79.690244661320023</v>
      </c>
      <c r="CP60" s="646">
        <v>354.40689689862205</v>
      </c>
      <c r="CQ60" s="646">
        <v>0</v>
      </c>
      <c r="CR60" s="646">
        <v>0</v>
      </c>
      <c r="CS60" s="646">
        <v>56.815116606836469</v>
      </c>
      <c r="CT60" s="646">
        <v>97.619235705422753</v>
      </c>
      <c r="CU60" s="646">
        <v>3500</v>
      </c>
      <c r="CV60" s="563" t="s">
        <v>1584</v>
      </c>
      <c r="CW60" s="563">
        <v>8</v>
      </c>
      <c r="CX60" s="563">
        <v>0</v>
      </c>
      <c r="CY60" s="563">
        <v>0</v>
      </c>
      <c r="CZ60" s="563">
        <v>0</v>
      </c>
      <c r="DA60" s="650">
        <v>5400.7428910634389</v>
      </c>
      <c r="DB60" s="563">
        <v>0</v>
      </c>
      <c r="DC60" s="563">
        <v>0</v>
      </c>
      <c r="DD60" s="563">
        <v>0</v>
      </c>
      <c r="DE60" s="650">
        <v>7386.6420242818849</v>
      </c>
      <c r="DF60" s="564">
        <v>4000</v>
      </c>
      <c r="DG60" s="565">
        <v>335.10321638291128</v>
      </c>
      <c r="DH60" s="649">
        <v>59.767683495990013</v>
      </c>
      <c r="DI60" s="646">
        <v>334.48433573329203</v>
      </c>
      <c r="DJ60" s="646">
        <v>0</v>
      </c>
      <c r="DK60" s="646">
        <v>0</v>
      </c>
      <c r="DL60" s="646">
        <v>55.888451211941252</v>
      </c>
      <c r="DM60" s="646">
        <v>90.772785302953451</v>
      </c>
      <c r="DN60" s="646">
        <v>2800</v>
      </c>
      <c r="DO60" s="563" t="s">
        <v>1588</v>
      </c>
      <c r="DP60" s="563">
        <v>6</v>
      </c>
      <c r="DQ60" s="563">
        <v>0</v>
      </c>
      <c r="DR60" s="563">
        <v>0</v>
      </c>
      <c r="DS60" s="563">
        <v>0</v>
      </c>
      <c r="DT60" s="650">
        <v>3810.8362740129623</v>
      </c>
      <c r="DU60" s="563">
        <v>0</v>
      </c>
      <c r="DV60" s="563">
        <v>0</v>
      </c>
      <c r="DW60" s="563">
        <v>0</v>
      </c>
      <c r="DX60" s="650">
        <v>3673.4774735320639</v>
      </c>
      <c r="DY60" s="564">
        <v>3673.4774735320639</v>
      </c>
      <c r="DZ60" s="565">
        <v>307.74852917269135</v>
      </c>
      <c r="EA60" s="649">
        <v>59.767683495990013</v>
      </c>
      <c r="EB60" s="646">
        <v>334.48433573329203</v>
      </c>
      <c r="EC60" s="646">
        <v>0</v>
      </c>
      <c r="ED60" s="646">
        <v>0</v>
      </c>
      <c r="EE60" s="646">
        <v>55.888451211941252</v>
      </c>
      <c r="EF60" s="646">
        <v>90.772785302953451</v>
      </c>
      <c r="EG60" s="646">
        <v>3500</v>
      </c>
      <c r="EH60" s="563" t="s">
        <v>1588</v>
      </c>
      <c r="EI60" s="563">
        <v>6</v>
      </c>
      <c r="EJ60" s="563">
        <v>0</v>
      </c>
      <c r="EK60" s="563">
        <v>0</v>
      </c>
      <c r="EL60" s="563">
        <v>0</v>
      </c>
      <c r="EM60" s="650">
        <v>3810.8362740129623</v>
      </c>
      <c r="EN60" s="563">
        <v>0</v>
      </c>
      <c r="EO60" s="563">
        <v>0</v>
      </c>
      <c r="EP60" s="563">
        <v>0</v>
      </c>
      <c r="EQ60" s="650">
        <v>3673.4774735320639</v>
      </c>
      <c r="ER60" s="564">
        <v>3673.4774735320639</v>
      </c>
      <c r="ES60" s="565">
        <v>307.74852917269135</v>
      </c>
      <c r="ET60" s="649">
        <v>49.806402913325016</v>
      </c>
      <c r="EU60" s="646">
        <v>324.52305515062704</v>
      </c>
      <c r="EV60" s="646">
        <v>0</v>
      </c>
      <c r="EW60" s="646">
        <v>0</v>
      </c>
      <c r="EX60" s="646">
        <v>55.382452328571134</v>
      </c>
      <c r="EY60" s="646">
        <v>87.349560101718808</v>
      </c>
      <c r="EZ60" s="646">
        <v>2800</v>
      </c>
      <c r="FA60" s="563" t="s">
        <v>1589</v>
      </c>
      <c r="FB60" s="563">
        <v>5</v>
      </c>
      <c r="FC60" s="563">
        <v>0</v>
      </c>
      <c r="FD60" s="563">
        <v>0</v>
      </c>
      <c r="FE60" s="563">
        <v>0</v>
      </c>
      <c r="FF60" s="650">
        <v>3496.8413584272794</v>
      </c>
      <c r="FG60" s="563">
        <v>0</v>
      </c>
      <c r="FH60" s="563">
        <v>0</v>
      </c>
      <c r="FI60" s="563">
        <v>0</v>
      </c>
      <c r="FJ60" s="650">
        <v>3233.7702764079345</v>
      </c>
      <c r="FK60" s="564">
        <v>3233.7702764079345</v>
      </c>
      <c r="FL60" s="565">
        <v>270.9117051669387</v>
      </c>
      <c r="FM60" s="649">
        <v>59.767683495990013</v>
      </c>
      <c r="FN60" s="646">
        <v>334.48433573329203</v>
      </c>
      <c r="FO60" s="646">
        <v>0</v>
      </c>
      <c r="FP60" s="646">
        <v>0</v>
      </c>
      <c r="FQ60" s="646">
        <v>55.888451211941252</v>
      </c>
      <c r="FR60" s="646">
        <v>90.772785302953451</v>
      </c>
      <c r="FS60" s="646">
        <v>3500</v>
      </c>
      <c r="FT60" s="563" t="s">
        <v>1589</v>
      </c>
      <c r="FU60" s="563">
        <v>6</v>
      </c>
      <c r="FV60" s="563">
        <v>0</v>
      </c>
      <c r="FW60" s="563">
        <v>0</v>
      </c>
      <c r="FX60" s="563">
        <v>0</v>
      </c>
      <c r="FY60" s="650">
        <v>4059.2390186145985</v>
      </c>
      <c r="FZ60" s="563">
        <v>0</v>
      </c>
      <c r="GA60" s="563">
        <v>0</v>
      </c>
      <c r="GB60" s="563">
        <v>0</v>
      </c>
      <c r="GC60" s="650">
        <v>3912.9267232624256</v>
      </c>
      <c r="GD60" s="564">
        <v>3912.9267232624256</v>
      </c>
      <c r="GE60" s="565">
        <v>327.80858260897111</v>
      </c>
      <c r="GF60" s="649">
        <v>39.845122330660011</v>
      </c>
      <c r="GG60" s="646">
        <v>314.561774567962</v>
      </c>
      <c r="GH60" s="646">
        <v>0</v>
      </c>
      <c r="GI60" s="646">
        <v>0</v>
      </c>
      <c r="GJ60" s="646">
        <v>54.844406341838344</v>
      </c>
      <c r="GK60" s="646">
        <v>83.926334900484164</v>
      </c>
      <c r="GL60" s="646">
        <v>2800</v>
      </c>
      <c r="GM60" s="563" t="s">
        <v>1587</v>
      </c>
      <c r="GN60" s="563">
        <v>4</v>
      </c>
      <c r="GO60" s="563">
        <v>0</v>
      </c>
      <c r="GP60" s="563">
        <v>0</v>
      </c>
      <c r="GQ60" s="563">
        <v>0</v>
      </c>
      <c r="GR60" s="650">
        <v>3710.7569434951488</v>
      </c>
      <c r="GS60" s="563">
        <v>0</v>
      </c>
      <c r="GT60" s="563">
        <v>0</v>
      </c>
      <c r="GU60" s="563">
        <v>0</v>
      </c>
      <c r="GV60" s="650">
        <v>3349.0772274568021</v>
      </c>
      <c r="GW60" s="564">
        <v>3349.0772274568021</v>
      </c>
      <c r="GX60" s="565">
        <v>280.57163770888434</v>
      </c>
      <c r="GY60" s="649">
        <v>49.806402913325016</v>
      </c>
      <c r="GZ60" s="646">
        <v>324.52305515062704</v>
      </c>
      <c r="HA60" s="646">
        <v>0</v>
      </c>
      <c r="HB60" s="646">
        <v>0</v>
      </c>
      <c r="HC60" s="646">
        <v>55.382452328571134</v>
      </c>
      <c r="HD60" s="646">
        <v>87.349560101718808</v>
      </c>
      <c r="HE60" s="646">
        <v>3500</v>
      </c>
      <c r="HF60" s="563" t="s">
        <v>1587</v>
      </c>
      <c r="HG60" s="563">
        <v>5</v>
      </c>
      <c r="HH60" s="563">
        <v>0</v>
      </c>
      <c r="HI60" s="563">
        <v>0</v>
      </c>
      <c r="HJ60" s="563">
        <v>0</v>
      </c>
      <c r="HK60" s="650">
        <v>4318.8804138923597</v>
      </c>
      <c r="HL60" s="563">
        <v>0</v>
      </c>
      <c r="HM60" s="563">
        <v>0</v>
      </c>
      <c r="HN60" s="563">
        <v>0</v>
      </c>
      <c r="HO60" s="650">
        <v>3993.9664623753183</v>
      </c>
      <c r="HP60" s="564">
        <v>3993.9664623753183</v>
      </c>
      <c r="HQ60" s="565">
        <v>334.59775191686174</v>
      </c>
      <c r="HR60" s="649">
        <v>49.806402913325016</v>
      </c>
      <c r="HS60" s="646">
        <v>324.52305515062704</v>
      </c>
      <c r="HT60" s="646">
        <v>0</v>
      </c>
      <c r="HU60" s="646">
        <v>0</v>
      </c>
      <c r="HV60" s="646">
        <v>55.382452328571134</v>
      </c>
      <c r="HW60" s="646">
        <v>87.349560101718808</v>
      </c>
      <c r="HX60" s="646">
        <v>2800</v>
      </c>
      <c r="HY60" s="563" t="s">
        <v>68</v>
      </c>
      <c r="HZ60" s="563">
        <v>5</v>
      </c>
      <c r="IA60" s="563">
        <v>0</v>
      </c>
      <c r="IB60" s="563">
        <v>0</v>
      </c>
      <c r="IC60" s="563">
        <v>0</v>
      </c>
      <c r="ID60" s="650">
        <v>3808.8945057956303</v>
      </c>
      <c r="IE60" s="563">
        <v>0</v>
      </c>
      <c r="IF60" s="563">
        <v>0</v>
      </c>
      <c r="IG60" s="563">
        <v>0</v>
      </c>
      <c r="IH60" s="650">
        <v>3522.3473347258346</v>
      </c>
      <c r="II60" s="564">
        <v>3522.3473347258346</v>
      </c>
      <c r="IJ60" s="565">
        <v>295.0874802711005</v>
      </c>
      <c r="IK60" s="649">
        <v>59.767683495990013</v>
      </c>
      <c r="IL60" s="646">
        <v>334.48433573329203</v>
      </c>
      <c r="IM60" s="646">
        <v>0</v>
      </c>
      <c r="IN60" s="646">
        <v>0</v>
      </c>
      <c r="IO60" s="646">
        <v>55.888451211941252</v>
      </c>
      <c r="IP60" s="646">
        <v>90.772785302953451</v>
      </c>
      <c r="IQ60" s="646">
        <v>3500</v>
      </c>
      <c r="IR60" s="563" t="s">
        <v>68</v>
      </c>
      <c r="IS60" s="563">
        <v>6</v>
      </c>
      <c r="IT60" s="563">
        <v>0</v>
      </c>
      <c r="IU60" s="563">
        <v>0</v>
      </c>
      <c r="IV60" s="563">
        <v>0</v>
      </c>
      <c r="IW60" s="650">
        <v>4421.4797329742578</v>
      </c>
      <c r="IX60" s="563">
        <v>0</v>
      </c>
      <c r="IY60" s="563">
        <v>0</v>
      </c>
      <c r="IZ60" s="563">
        <v>0</v>
      </c>
      <c r="JA60" s="650">
        <v>4262.110736564342</v>
      </c>
      <c r="JB60" s="564">
        <v>4000</v>
      </c>
      <c r="JC60" s="565">
        <v>335.10321638291128</v>
      </c>
      <c r="JD60" s="649">
        <v>39.845122330660011</v>
      </c>
      <c r="JE60" s="646">
        <v>314.561774567962</v>
      </c>
      <c r="JF60" s="646">
        <v>0</v>
      </c>
      <c r="JG60" s="646">
        <v>0</v>
      </c>
      <c r="JH60" s="646">
        <v>54.844406341838344</v>
      </c>
      <c r="JI60" s="646">
        <v>83.926334900484164</v>
      </c>
      <c r="JJ60" s="646">
        <v>2800</v>
      </c>
      <c r="JK60" s="563" t="s">
        <v>67</v>
      </c>
      <c r="JL60" s="563">
        <v>4</v>
      </c>
      <c r="JM60" s="563">
        <v>0</v>
      </c>
      <c r="JN60" s="563">
        <v>0</v>
      </c>
      <c r="JO60" s="563">
        <v>0</v>
      </c>
      <c r="JP60" s="650">
        <v>4459.774810185263</v>
      </c>
      <c r="JQ60" s="563">
        <v>0</v>
      </c>
      <c r="JR60" s="563">
        <v>0</v>
      </c>
      <c r="JS60" s="563">
        <v>0</v>
      </c>
      <c r="JT60" s="650">
        <v>4025.0898896947583</v>
      </c>
      <c r="JU60" s="564">
        <v>4000</v>
      </c>
      <c r="JV60" s="565">
        <v>335.10321638291128</v>
      </c>
      <c r="JW60" s="649">
        <v>39.845122330660011</v>
      </c>
      <c r="JX60" s="646">
        <v>314.561774567962</v>
      </c>
      <c r="JY60" s="646">
        <v>0</v>
      </c>
      <c r="JZ60" s="646">
        <v>0</v>
      </c>
      <c r="KA60" s="646">
        <v>54.844406341838344</v>
      </c>
      <c r="KB60" s="646">
        <v>83.926334900484164</v>
      </c>
      <c r="KC60" s="646">
        <v>3500</v>
      </c>
      <c r="KD60" s="563" t="s">
        <v>67</v>
      </c>
      <c r="KE60" s="563">
        <v>4</v>
      </c>
      <c r="KF60" s="563">
        <v>0</v>
      </c>
      <c r="KG60" s="563">
        <v>0</v>
      </c>
      <c r="KH60" s="563">
        <v>0</v>
      </c>
      <c r="KI60" s="650">
        <v>4459.774810185263</v>
      </c>
      <c r="KJ60" s="563">
        <v>0</v>
      </c>
      <c r="KK60" s="563">
        <v>0</v>
      </c>
      <c r="KL60" s="563">
        <v>0</v>
      </c>
      <c r="KM60" s="650">
        <v>4025.0898896947583</v>
      </c>
      <c r="KN60" s="564">
        <v>4000</v>
      </c>
      <c r="KO60" s="566">
        <v>335.10321638291128</v>
      </c>
    </row>
    <row r="61" spans="1:301" ht="15" customHeight="1">
      <c r="A61" s="663" t="s">
        <v>838</v>
      </c>
      <c r="B61" s="629" t="s">
        <v>387</v>
      </c>
      <c r="C61" s="629">
        <v>574.5</v>
      </c>
      <c r="D61" s="629">
        <v>1600</v>
      </c>
      <c r="E61" s="629">
        <v>560</v>
      </c>
      <c r="F61" s="629">
        <v>560</v>
      </c>
      <c r="G61" s="629">
        <v>339</v>
      </c>
      <c r="H61" s="629">
        <v>212</v>
      </c>
      <c r="I61" s="629">
        <v>150</v>
      </c>
      <c r="J61" s="629">
        <v>33</v>
      </c>
      <c r="K61" s="629">
        <v>38</v>
      </c>
      <c r="L61" s="629">
        <v>12</v>
      </c>
      <c r="M61" s="629">
        <v>681</v>
      </c>
      <c r="N61" s="629">
        <v>6</v>
      </c>
      <c r="O61" s="623">
        <v>83.099398253458915</v>
      </c>
      <c r="P61" s="629">
        <v>6</v>
      </c>
      <c r="Q61" s="623">
        <v>54.273344514712321</v>
      </c>
      <c r="R61" s="629">
        <v>20</v>
      </c>
      <c r="S61" s="629">
        <v>1045.3925962192391</v>
      </c>
      <c r="T61" s="645">
        <v>134.75608145032803</v>
      </c>
      <c r="U61" s="645">
        <v>156.80888943288585</v>
      </c>
      <c r="V61" s="645">
        <v>135</v>
      </c>
      <c r="W61" s="793">
        <v>15.349559902701424</v>
      </c>
      <c r="X61" s="646">
        <v>373.33333333333331</v>
      </c>
      <c r="Y61" s="646">
        <v>50.017182587142898</v>
      </c>
      <c r="Z61" s="646">
        <v>6</v>
      </c>
      <c r="AA61" s="646">
        <v>5.3377784783699225</v>
      </c>
      <c r="AB61" s="647">
        <v>70.729245020007625</v>
      </c>
      <c r="AC61" s="784">
        <v>3687.3102532612788</v>
      </c>
      <c r="AD61" s="631">
        <v>9.2111446037775435E-2</v>
      </c>
      <c r="AE61" s="631">
        <v>0.64940759319751062</v>
      </c>
      <c r="AF61" s="631">
        <v>-0.24396724608669773</v>
      </c>
      <c r="AG61" s="631">
        <v>1.4702890129443984</v>
      </c>
      <c r="AH61" s="629"/>
      <c r="AI61" s="648">
        <v>10.482299472832134</v>
      </c>
      <c r="AJ61" s="649">
        <v>69.667117200000007</v>
      </c>
      <c r="AK61" s="646">
        <v>362.4832797995706</v>
      </c>
      <c r="AL61" s="646">
        <v>0</v>
      </c>
      <c r="AM61" s="646">
        <v>0</v>
      </c>
      <c r="AN61" s="646">
        <v>76.366979823456717</v>
      </c>
      <c r="AO61" s="646">
        <v>98.299952695534841</v>
      </c>
      <c r="AP61" s="801">
        <v>2500</v>
      </c>
      <c r="AQ61" s="563" t="s">
        <v>67</v>
      </c>
      <c r="AR61" s="563">
        <v>6</v>
      </c>
      <c r="AS61" s="563">
        <v>0</v>
      </c>
      <c r="AT61" s="563">
        <v>0</v>
      </c>
      <c r="AU61" s="563">
        <v>0</v>
      </c>
      <c r="AV61" s="650">
        <v>3477.4435632581481</v>
      </c>
      <c r="AW61" s="563">
        <v>0</v>
      </c>
      <c r="AX61" s="563">
        <v>0</v>
      </c>
      <c r="AY61" s="563">
        <v>0</v>
      </c>
      <c r="AZ61" s="650">
        <v>3050.9499129701799</v>
      </c>
      <c r="BA61" s="564">
        <v>3050.9499129701799</v>
      </c>
      <c r="BB61" s="565">
        <v>255.59578221486763</v>
      </c>
      <c r="BC61" s="649">
        <v>69.667117200000007</v>
      </c>
      <c r="BD61" s="646">
        <v>383.14021948698121</v>
      </c>
      <c r="BE61" s="646">
        <v>0</v>
      </c>
      <c r="BF61" s="646">
        <v>20.656939687410642</v>
      </c>
      <c r="BG61" s="646">
        <v>76.293279339062622</v>
      </c>
      <c r="BH61" s="646">
        <v>109.45409445354929</v>
      </c>
      <c r="BI61" s="646">
        <v>3125</v>
      </c>
      <c r="BJ61" s="563" t="s">
        <v>67</v>
      </c>
      <c r="BK61" s="563">
        <v>6</v>
      </c>
      <c r="BL61" s="563">
        <v>0</v>
      </c>
      <c r="BM61" s="563">
        <v>0</v>
      </c>
      <c r="BN61" s="563">
        <v>0</v>
      </c>
      <c r="BO61" s="650">
        <v>3477.4435632581481</v>
      </c>
      <c r="BP61" s="563">
        <v>1</v>
      </c>
      <c r="BQ61" s="563">
        <v>8</v>
      </c>
      <c r="BR61" s="563">
        <v>136.71924581992306</v>
      </c>
      <c r="BS61" s="650">
        <v>3773.084416894892</v>
      </c>
      <c r="BT61" s="564">
        <v>3477.4435632581481</v>
      </c>
      <c r="BU61" s="565">
        <v>291.32563070946429</v>
      </c>
      <c r="BV61" s="649">
        <v>92.889489600000005</v>
      </c>
      <c r="BW61" s="646">
        <v>385.70565219957058</v>
      </c>
      <c r="BX61" s="646">
        <v>0</v>
      </c>
      <c r="BY61" s="646">
        <v>0</v>
      </c>
      <c r="BZ61" s="646">
        <v>78.1511098354285</v>
      </c>
      <c r="CA61" s="646">
        <v>106.68918059056148</v>
      </c>
      <c r="CB61" s="646">
        <v>2500</v>
      </c>
      <c r="CC61" s="563" t="s">
        <v>1588</v>
      </c>
      <c r="CD61" s="563">
        <v>8</v>
      </c>
      <c r="CE61" s="563">
        <v>0</v>
      </c>
      <c r="CF61" s="563">
        <v>0</v>
      </c>
      <c r="CG61" s="563">
        <v>0</v>
      </c>
      <c r="CH61" s="650">
        <v>2927.5712008714322</v>
      </c>
      <c r="CI61" s="563">
        <v>0</v>
      </c>
      <c r="CJ61" s="563">
        <v>0</v>
      </c>
      <c r="CK61" s="563">
        <v>0</v>
      </c>
      <c r="CL61" s="650">
        <v>2802.7870236563926</v>
      </c>
      <c r="CM61" s="564">
        <v>2802.7870236563926</v>
      </c>
      <c r="CN61" s="565">
        <v>234.80573661588599</v>
      </c>
      <c r="CO61" s="649">
        <v>58.055931000000001</v>
      </c>
      <c r="CP61" s="646">
        <v>-2225.1125318782156</v>
      </c>
      <c r="CQ61" s="646">
        <v>6.1328354485441023</v>
      </c>
      <c r="CR61" s="646">
        <v>-2582.1174609263303</v>
      </c>
      <c r="CS61" s="646">
        <v>74.853635062557316</v>
      </c>
      <c r="CT61" s="646">
        <v>-1299.3984208739939</v>
      </c>
      <c r="CU61" s="646">
        <v>3125</v>
      </c>
      <c r="CV61" s="563" t="s">
        <v>1588</v>
      </c>
      <c r="CW61" s="563">
        <v>5</v>
      </c>
      <c r="CX61" s="563">
        <v>1</v>
      </c>
      <c r="CY61" s="563">
        <v>8</v>
      </c>
      <c r="CZ61" s="563">
        <v>120.94737302176924</v>
      </c>
      <c r="DA61" s="650">
        <v>4330.8977503434826</v>
      </c>
      <c r="DB61" s="563">
        <v>1</v>
      </c>
      <c r="DC61" s="563">
        <v>-1000</v>
      </c>
      <c r="DD61" s="563">
        <v>136.71924581992306</v>
      </c>
      <c r="DE61" s="650">
        <v>-1</v>
      </c>
      <c r="DF61" s="564">
        <v>-1</v>
      </c>
      <c r="DG61" s="565">
        <v>-8.377580409572781E-2</v>
      </c>
      <c r="DH61" s="649">
        <v>92.889489600000005</v>
      </c>
      <c r="DI61" s="646">
        <v>385.70565219957058</v>
      </c>
      <c r="DJ61" s="646">
        <v>0</v>
      </c>
      <c r="DK61" s="646">
        <v>0</v>
      </c>
      <c r="DL61" s="646">
        <v>78.1511098354285</v>
      </c>
      <c r="DM61" s="646">
        <v>106.68918059056148</v>
      </c>
      <c r="DN61" s="646">
        <v>2500</v>
      </c>
      <c r="DO61" s="563" t="s">
        <v>1588</v>
      </c>
      <c r="DP61" s="563">
        <v>8</v>
      </c>
      <c r="DQ61" s="563">
        <v>0</v>
      </c>
      <c r="DR61" s="563">
        <v>0</v>
      </c>
      <c r="DS61" s="563">
        <v>0</v>
      </c>
      <c r="DT61" s="650">
        <v>2927.5712008714322</v>
      </c>
      <c r="DU61" s="563">
        <v>0</v>
      </c>
      <c r="DV61" s="563">
        <v>0</v>
      </c>
      <c r="DW61" s="563">
        <v>0</v>
      </c>
      <c r="DX61" s="650">
        <v>2802.7870236563926</v>
      </c>
      <c r="DY61" s="564">
        <v>2802.7870236563926</v>
      </c>
      <c r="DZ61" s="565">
        <v>234.80573661588599</v>
      </c>
      <c r="EA61" s="649">
        <v>58.055931000000001</v>
      </c>
      <c r="EB61" s="646">
        <v>-2225.1125318782156</v>
      </c>
      <c r="EC61" s="646">
        <v>6.1328354485441023</v>
      </c>
      <c r="ED61" s="646">
        <v>-2582.1174609263303</v>
      </c>
      <c r="EE61" s="646">
        <v>74.853635062557316</v>
      </c>
      <c r="EF61" s="646">
        <v>-1299.3984208739939</v>
      </c>
      <c r="EG61" s="646">
        <v>3125</v>
      </c>
      <c r="EH61" s="563" t="s">
        <v>1589</v>
      </c>
      <c r="EI61" s="563">
        <v>5</v>
      </c>
      <c r="EJ61" s="563">
        <v>1</v>
      </c>
      <c r="EK61" s="563">
        <v>8</v>
      </c>
      <c r="EL61" s="563">
        <v>120.94737302176924</v>
      </c>
      <c r="EM61" s="650">
        <v>4613.199799138014</v>
      </c>
      <c r="EN61" s="563">
        <v>1</v>
      </c>
      <c r="EO61" s="563">
        <v>-1000</v>
      </c>
      <c r="EP61" s="563">
        <v>136.71924581992306</v>
      </c>
      <c r="EQ61" s="650">
        <v>-1</v>
      </c>
      <c r="ER61" s="564">
        <v>-1</v>
      </c>
      <c r="ES61" s="565">
        <v>-8.377580409572781E-2</v>
      </c>
      <c r="ET61" s="649">
        <v>92.889489600000005</v>
      </c>
      <c r="EU61" s="646">
        <v>385.70565219957058</v>
      </c>
      <c r="EV61" s="646">
        <v>0</v>
      </c>
      <c r="EW61" s="646">
        <v>0</v>
      </c>
      <c r="EX61" s="646">
        <v>78.1511098354285</v>
      </c>
      <c r="EY61" s="646">
        <v>106.68918059056148</v>
      </c>
      <c r="EZ61" s="646">
        <v>2500</v>
      </c>
      <c r="FA61" s="563" t="s">
        <v>1589</v>
      </c>
      <c r="FB61" s="563">
        <v>8</v>
      </c>
      <c r="FC61" s="563">
        <v>0</v>
      </c>
      <c r="FD61" s="563">
        <v>0</v>
      </c>
      <c r="FE61" s="563">
        <v>0</v>
      </c>
      <c r="FF61" s="650">
        <v>3118.3998455634764</v>
      </c>
      <c r="FG61" s="563">
        <v>0</v>
      </c>
      <c r="FH61" s="563">
        <v>0</v>
      </c>
      <c r="FI61" s="563">
        <v>0</v>
      </c>
      <c r="FJ61" s="650">
        <v>2985.4818284575836</v>
      </c>
      <c r="FK61" s="564">
        <v>2985.4818284575836</v>
      </c>
      <c r="FL61" s="565">
        <v>250.11114079221778</v>
      </c>
      <c r="FM61" s="649">
        <v>92.889489600000005</v>
      </c>
      <c r="FN61" s="646">
        <v>385.70565219957058</v>
      </c>
      <c r="FO61" s="646">
        <v>0</v>
      </c>
      <c r="FP61" s="646">
        <v>0</v>
      </c>
      <c r="FQ61" s="646">
        <v>78.1511098354285</v>
      </c>
      <c r="FR61" s="646">
        <v>106.68918059056148</v>
      </c>
      <c r="FS61" s="646">
        <v>3125</v>
      </c>
      <c r="FT61" s="563" t="s">
        <v>1587</v>
      </c>
      <c r="FU61" s="563">
        <v>8</v>
      </c>
      <c r="FV61" s="563">
        <v>0</v>
      </c>
      <c r="FW61" s="563">
        <v>0</v>
      </c>
      <c r="FX61" s="563">
        <v>0</v>
      </c>
      <c r="FY61" s="650">
        <v>3851.4746982248994</v>
      </c>
      <c r="FZ61" s="563">
        <v>0</v>
      </c>
      <c r="GA61" s="563">
        <v>0</v>
      </c>
      <c r="GB61" s="563">
        <v>0</v>
      </c>
      <c r="GC61" s="650">
        <v>3687.3102532612788</v>
      </c>
      <c r="GD61" s="564">
        <v>3687.3102532612788</v>
      </c>
      <c r="GE61" s="565">
        <v>308.90738141738541</v>
      </c>
      <c r="GF61" s="649">
        <v>92.889489600000005</v>
      </c>
      <c r="GG61" s="646">
        <v>385.70565219957058</v>
      </c>
      <c r="GH61" s="646">
        <v>0</v>
      </c>
      <c r="GI61" s="646">
        <v>0</v>
      </c>
      <c r="GJ61" s="646">
        <v>78.1511098354285</v>
      </c>
      <c r="GK61" s="646">
        <v>106.68918059056148</v>
      </c>
      <c r="GL61" s="646">
        <v>2500</v>
      </c>
      <c r="GM61" s="563" t="s">
        <v>1587</v>
      </c>
      <c r="GN61" s="563">
        <v>8</v>
      </c>
      <c r="GO61" s="563">
        <v>0</v>
      </c>
      <c r="GP61" s="563">
        <v>0</v>
      </c>
      <c r="GQ61" s="563">
        <v>0</v>
      </c>
      <c r="GR61" s="650">
        <v>3851.4746982248994</v>
      </c>
      <c r="GS61" s="563">
        <v>0</v>
      </c>
      <c r="GT61" s="563">
        <v>0</v>
      </c>
      <c r="GU61" s="563">
        <v>0</v>
      </c>
      <c r="GV61" s="650">
        <v>3687.3102532612788</v>
      </c>
      <c r="GW61" s="564">
        <v>3687.3102532612788</v>
      </c>
      <c r="GX61" s="565">
        <v>308.90738141738541</v>
      </c>
      <c r="GY61" s="649">
        <v>92.889489600000005</v>
      </c>
      <c r="GZ61" s="646">
        <v>385.70565219957058</v>
      </c>
      <c r="HA61" s="646">
        <v>0</v>
      </c>
      <c r="HB61" s="646">
        <v>0</v>
      </c>
      <c r="HC61" s="646">
        <v>78.1511098354285</v>
      </c>
      <c r="HD61" s="646">
        <v>106.68918059056148</v>
      </c>
      <c r="HE61" s="646">
        <v>3125</v>
      </c>
      <c r="HF61" s="563" t="s">
        <v>1587</v>
      </c>
      <c r="HG61" s="563">
        <v>8</v>
      </c>
      <c r="HH61" s="563">
        <v>0</v>
      </c>
      <c r="HI61" s="563">
        <v>0</v>
      </c>
      <c r="HJ61" s="563">
        <v>0</v>
      </c>
      <c r="HK61" s="650">
        <v>3851.4746982248994</v>
      </c>
      <c r="HL61" s="563">
        <v>0</v>
      </c>
      <c r="HM61" s="563">
        <v>0</v>
      </c>
      <c r="HN61" s="563">
        <v>0</v>
      </c>
      <c r="HO61" s="650">
        <v>3687.3102532612788</v>
      </c>
      <c r="HP61" s="564">
        <v>3687.3102532612788</v>
      </c>
      <c r="HQ61" s="565">
        <v>308.90738141738541</v>
      </c>
      <c r="HR61" s="649">
        <v>46.444744800000002</v>
      </c>
      <c r="HS61" s="646">
        <v>359.35323875153665</v>
      </c>
      <c r="HT61" s="646">
        <v>4.5996265864080765</v>
      </c>
      <c r="HU61" s="646">
        <v>15.492704765557981</v>
      </c>
      <c r="HV61" s="646">
        <v>74.772374973774816</v>
      </c>
      <c r="HW61" s="646">
        <v>98.849301216361496</v>
      </c>
      <c r="HX61" s="646">
        <v>2500</v>
      </c>
      <c r="HY61" s="563" t="s">
        <v>68</v>
      </c>
      <c r="HZ61" s="563">
        <v>4</v>
      </c>
      <c r="IA61" s="563">
        <v>1</v>
      </c>
      <c r="IB61" s="563">
        <v>6</v>
      </c>
      <c r="IC61" s="563">
        <v>120.94737302176924</v>
      </c>
      <c r="ID61" s="650">
        <v>4216.5563305978794</v>
      </c>
      <c r="IE61" s="563">
        <v>1</v>
      </c>
      <c r="IF61" s="563">
        <v>6</v>
      </c>
      <c r="IG61" s="563">
        <v>136.71924581992306</v>
      </c>
      <c r="IH61" s="650">
        <v>2795.2957908469239</v>
      </c>
      <c r="II61" s="564">
        <v>2795.2957908469239</v>
      </c>
      <c r="IJ61" s="565">
        <v>234.17815256360444</v>
      </c>
      <c r="IK61" s="649">
        <v>46.444744800000002</v>
      </c>
      <c r="IL61" s="646">
        <v>-2238.2569269403516</v>
      </c>
      <c r="IM61" s="646">
        <v>4.5996265864080765</v>
      </c>
      <c r="IN61" s="646">
        <v>-2582.1174609263303</v>
      </c>
      <c r="IO61" s="646">
        <v>75.036545308722324</v>
      </c>
      <c r="IP61" s="646">
        <v>-1303.7840248539546</v>
      </c>
      <c r="IQ61" s="646">
        <v>3125</v>
      </c>
      <c r="IR61" s="563" t="s">
        <v>68</v>
      </c>
      <c r="IS61" s="563">
        <v>4</v>
      </c>
      <c r="IT61" s="563">
        <v>1</v>
      </c>
      <c r="IU61" s="563">
        <v>6</v>
      </c>
      <c r="IV61" s="563">
        <v>120.94737302176924</v>
      </c>
      <c r="IW61" s="650">
        <v>4216.5563305978794</v>
      </c>
      <c r="IX61" s="563">
        <v>1</v>
      </c>
      <c r="IY61" s="563">
        <v>-1000</v>
      </c>
      <c r="IZ61" s="563">
        <v>136.71924581992306</v>
      </c>
      <c r="JA61" s="650">
        <v>-1</v>
      </c>
      <c r="JB61" s="564">
        <v>-1</v>
      </c>
      <c r="JC61" s="565">
        <v>-8.377580409572781E-2</v>
      </c>
      <c r="JD61" s="649">
        <v>69.667117200000007</v>
      </c>
      <c r="JE61" s="646">
        <v>362.4832797995706</v>
      </c>
      <c r="JF61" s="646">
        <v>0</v>
      </c>
      <c r="JG61" s="646">
        <v>0</v>
      </c>
      <c r="JH61" s="646">
        <v>76.366979823456717</v>
      </c>
      <c r="JI61" s="646">
        <v>98.299952695534841</v>
      </c>
      <c r="JJ61" s="646">
        <v>2500</v>
      </c>
      <c r="JK61" s="563" t="s">
        <v>67</v>
      </c>
      <c r="JL61" s="563">
        <v>6</v>
      </c>
      <c r="JM61" s="563">
        <v>0</v>
      </c>
      <c r="JN61" s="563">
        <v>0</v>
      </c>
      <c r="JO61" s="563">
        <v>0</v>
      </c>
      <c r="JP61" s="650">
        <v>3477.4435632581481</v>
      </c>
      <c r="JQ61" s="563">
        <v>0</v>
      </c>
      <c r="JR61" s="563">
        <v>0</v>
      </c>
      <c r="JS61" s="563">
        <v>0</v>
      </c>
      <c r="JT61" s="650">
        <v>3050.9499129701799</v>
      </c>
      <c r="JU61" s="564">
        <v>3050.9499129701799</v>
      </c>
      <c r="JV61" s="565">
        <v>255.59578221486763</v>
      </c>
      <c r="JW61" s="649">
        <v>69.667117200000007</v>
      </c>
      <c r="JX61" s="646">
        <v>383.14021948698121</v>
      </c>
      <c r="JY61" s="646">
        <v>0</v>
      </c>
      <c r="JZ61" s="646">
        <v>20.656939687410642</v>
      </c>
      <c r="KA61" s="646">
        <v>76.293279339062622</v>
      </c>
      <c r="KB61" s="646">
        <v>109.45409445354929</v>
      </c>
      <c r="KC61" s="646">
        <v>3125</v>
      </c>
      <c r="KD61" s="563" t="s">
        <v>67</v>
      </c>
      <c r="KE61" s="563">
        <v>6</v>
      </c>
      <c r="KF61" s="563">
        <v>0</v>
      </c>
      <c r="KG61" s="563">
        <v>0</v>
      </c>
      <c r="KH61" s="563">
        <v>0</v>
      </c>
      <c r="KI61" s="650">
        <v>3477.4435632581481</v>
      </c>
      <c r="KJ61" s="563">
        <v>1</v>
      </c>
      <c r="KK61" s="563">
        <v>8</v>
      </c>
      <c r="KL61" s="563">
        <v>136.71924581992306</v>
      </c>
      <c r="KM61" s="650">
        <v>3773.084416894892</v>
      </c>
      <c r="KN61" s="564">
        <v>3477.4435632581481</v>
      </c>
      <c r="KO61" s="566">
        <v>291.32563070946429</v>
      </c>
    </row>
    <row r="62" spans="1:301" ht="15" customHeight="1">
      <c r="A62" s="663" t="s">
        <v>839</v>
      </c>
      <c r="B62" s="629" t="s">
        <v>389</v>
      </c>
      <c r="C62" s="629">
        <v>721</v>
      </c>
      <c r="D62" s="629">
        <v>1600</v>
      </c>
      <c r="E62" s="629">
        <v>700</v>
      </c>
      <c r="F62" s="629">
        <v>630</v>
      </c>
      <c r="G62" s="629">
        <v>365</v>
      </c>
      <c r="H62" s="629">
        <v>253</v>
      </c>
      <c r="I62" s="629">
        <v>185</v>
      </c>
      <c r="J62" s="629">
        <v>36</v>
      </c>
      <c r="K62" s="629">
        <v>49.7</v>
      </c>
      <c r="L62" s="629">
        <v>12</v>
      </c>
      <c r="M62" s="629">
        <v>681</v>
      </c>
      <c r="N62" s="629">
        <v>6</v>
      </c>
      <c r="O62" s="623">
        <v>76.573964736761013</v>
      </c>
      <c r="P62" s="629">
        <v>6</v>
      </c>
      <c r="Q62" s="623">
        <v>49.125683587934731</v>
      </c>
      <c r="R62" s="629">
        <v>20</v>
      </c>
      <c r="S62" s="629">
        <v>1109.9553078519668</v>
      </c>
      <c r="T62" s="645">
        <v>151.91495120625333</v>
      </c>
      <c r="U62" s="645">
        <v>166.49329617779503</v>
      </c>
      <c r="V62" s="645">
        <v>147.5</v>
      </c>
      <c r="W62" s="793">
        <v>18.906290411840747</v>
      </c>
      <c r="X62" s="646">
        <v>420</v>
      </c>
      <c r="Y62" s="646">
        <v>56.269330410535765</v>
      </c>
      <c r="Z62" s="646">
        <v>6</v>
      </c>
      <c r="AA62" s="646">
        <v>6.7556258866869339</v>
      </c>
      <c r="AB62" s="647">
        <v>65.938712293519131</v>
      </c>
      <c r="AC62" s="784">
        <v>3755.8199865072952</v>
      </c>
      <c r="AD62" s="631">
        <v>0.34986698905933239</v>
      </c>
      <c r="AE62" s="631">
        <v>0.7265425280053609</v>
      </c>
      <c r="AF62" s="631">
        <v>-0.21310856071109702</v>
      </c>
      <c r="AG62" s="631">
        <v>0.90549989586878465</v>
      </c>
      <c r="AH62" s="629"/>
      <c r="AI62" s="648">
        <v>10.805248859872489</v>
      </c>
      <c r="AJ62" s="649">
        <v>70.244468999999995</v>
      </c>
      <c r="AK62" s="646">
        <v>373.52098482947673</v>
      </c>
      <c r="AL62" s="646">
        <v>0</v>
      </c>
      <c r="AM62" s="646">
        <v>0</v>
      </c>
      <c r="AN62" s="646">
        <v>84.359573999729562</v>
      </c>
      <c r="AO62" s="646">
        <v>103.06600630720121</v>
      </c>
      <c r="AP62" s="801">
        <v>2050</v>
      </c>
      <c r="AQ62" s="563" t="s">
        <v>67</v>
      </c>
      <c r="AR62" s="563">
        <v>5</v>
      </c>
      <c r="AS62" s="563">
        <v>0</v>
      </c>
      <c r="AT62" s="563">
        <v>0</v>
      </c>
      <c r="AU62" s="563">
        <v>0</v>
      </c>
      <c r="AV62" s="650">
        <v>2292.8431118741655</v>
      </c>
      <c r="AW62" s="563">
        <v>0</v>
      </c>
      <c r="AX62" s="563">
        <v>0</v>
      </c>
      <c r="AY62" s="563">
        <v>0</v>
      </c>
      <c r="AZ62" s="650">
        <v>2294.8275179098073</v>
      </c>
      <c r="BA62" s="564">
        <v>2292.8431118741655</v>
      </c>
      <c r="BB62" s="565">
        <v>192.08477536260904</v>
      </c>
      <c r="BC62" s="649">
        <v>56.1955752</v>
      </c>
      <c r="BD62" s="646">
        <v>378.50936243348843</v>
      </c>
      <c r="BE62" s="646">
        <v>4.8011801141129764</v>
      </c>
      <c r="BF62" s="646">
        <v>14.236091289898686</v>
      </c>
      <c r="BG62" s="646">
        <v>83.63617116284091</v>
      </c>
      <c r="BH62" s="646">
        <v>106.26790709892151</v>
      </c>
      <c r="BI62" s="646">
        <v>2562.5</v>
      </c>
      <c r="BJ62" s="563" t="s">
        <v>67</v>
      </c>
      <c r="BK62" s="563">
        <v>4</v>
      </c>
      <c r="BL62" s="563">
        <v>1</v>
      </c>
      <c r="BM62" s="563">
        <v>6</v>
      </c>
      <c r="BN62" s="563">
        <v>96.458406456269955</v>
      </c>
      <c r="BO62" s="650">
        <v>4271.0003960777594</v>
      </c>
      <c r="BP62" s="563">
        <v>1</v>
      </c>
      <c r="BQ62" s="563">
        <v>6</v>
      </c>
      <c r="BR62" s="563">
        <v>125.1575663904306</v>
      </c>
      <c r="BS62" s="650">
        <v>3755.8199865072952</v>
      </c>
      <c r="BT62" s="564">
        <v>3755.8199865072952</v>
      </c>
      <c r="BU62" s="565">
        <v>255.51620249196986</v>
      </c>
      <c r="BV62" s="649">
        <v>56.1955752</v>
      </c>
      <c r="BW62" s="646">
        <v>378.50936243348843</v>
      </c>
      <c r="BX62" s="646">
        <v>4.8011801141129764</v>
      </c>
      <c r="BY62" s="646">
        <v>14.236091289898686</v>
      </c>
      <c r="BZ62" s="646">
        <v>83.63617116284091</v>
      </c>
      <c r="CA62" s="646">
        <v>106.26790709892151</v>
      </c>
      <c r="CB62" s="646">
        <v>2050</v>
      </c>
      <c r="CC62" s="563" t="s">
        <v>1584</v>
      </c>
      <c r="CD62" s="563">
        <v>4</v>
      </c>
      <c r="CE62" s="563">
        <v>1</v>
      </c>
      <c r="CF62" s="563">
        <v>6</v>
      </c>
      <c r="CG62" s="563">
        <v>96.458406456269955</v>
      </c>
      <c r="CH62" s="650">
        <v>2595.2461427627268</v>
      </c>
      <c r="CI62" s="563">
        <v>1</v>
      </c>
      <c r="CJ62" s="563">
        <v>6</v>
      </c>
      <c r="CK62" s="563">
        <v>125.1575663904306</v>
      </c>
      <c r="CL62" s="650">
        <v>2282.2000536093506</v>
      </c>
      <c r="CM62" s="564">
        <v>2282.2000536093506</v>
      </c>
      <c r="CN62" s="565">
        <v>191.19314459843648</v>
      </c>
      <c r="CO62" s="649">
        <v>70.244468999999995</v>
      </c>
      <c r="CP62" s="646">
        <v>-1992.75932333482</v>
      </c>
      <c r="CQ62" s="646">
        <v>6.4015734854839694</v>
      </c>
      <c r="CR62" s="646">
        <v>-2372.6818816497807</v>
      </c>
      <c r="CS62" s="646">
        <v>93.916611833144955</v>
      </c>
      <c r="CT62" s="646">
        <v>-1195.3821298881858</v>
      </c>
      <c r="CU62" s="646">
        <v>2562.5</v>
      </c>
      <c r="CV62" s="563" t="s">
        <v>1588</v>
      </c>
      <c r="CW62" s="563">
        <v>5</v>
      </c>
      <c r="CX62" s="563">
        <v>1</v>
      </c>
      <c r="CY62" s="563">
        <v>8</v>
      </c>
      <c r="CZ62" s="563">
        <v>96.458406456269955</v>
      </c>
      <c r="DA62" s="650">
        <v>3177.0810397147598</v>
      </c>
      <c r="DB62" s="563">
        <v>1</v>
      </c>
      <c r="DC62" s="563">
        <v>-1000</v>
      </c>
      <c r="DD62" s="563">
        <v>125.1575663904306</v>
      </c>
      <c r="DE62" s="650">
        <v>-1</v>
      </c>
      <c r="DF62" s="564">
        <v>-1</v>
      </c>
      <c r="DG62" s="565">
        <v>-8.377580409572781E-2</v>
      </c>
      <c r="DH62" s="649">
        <v>112.3911504</v>
      </c>
      <c r="DI62" s="646">
        <v>423.66963308633171</v>
      </c>
      <c r="DJ62" s="646">
        <v>8.0019668568549616</v>
      </c>
      <c r="DK62" s="646">
        <v>0</v>
      </c>
      <c r="DL62" s="646">
        <v>89.347624206412561</v>
      </c>
      <c r="DM62" s="646">
        <v>120.64705907909574</v>
      </c>
      <c r="DN62" s="646">
        <v>2050</v>
      </c>
      <c r="DO62" s="563" t="s">
        <v>1589</v>
      </c>
      <c r="DP62" s="563">
        <v>8</v>
      </c>
      <c r="DQ62" s="563">
        <v>1</v>
      </c>
      <c r="DR62" s="563">
        <v>10</v>
      </c>
      <c r="DS62" s="563">
        <v>96.458406456269955</v>
      </c>
      <c r="DT62" s="650">
        <v>4177.2539528023863</v>
      </c>
      <c r="DU62" s="563">
        <v>0</v>
      </c>
      <c r="DV62" s="563">
        <v>0</v>
      </c>
      <c r="DW62" s="563">
        <v>0</v>
      </c>
      <c r="DX62" s="650">
        <v>2398.4570821940974</v>
      </c>
      <c r="DY62" s="564">
        <v>2398.4570821940974</v>
      </c>
      <c r="DZ62" s="565">
        <v>200.93267064990366</v>
      </c>
      <c r="EA62" s="649">
        <v>56.1955752</v>
      </c>
      <c r="EB62" s="646">
        <v>-2008.4086105061911</v>
      </c>
      <c r="EC62" s="646">
        <v>4.8011801141129764</v>
      </c>
      <c r="ED62" s="646">
        <v>-2372.6818816497807</v>
      </c>
      <c r="EE62" s="646">
        <v>94.17049781818406</v>
      </c>
      <c r="EF62" s="646">
        <v>-1201.0617583990588</v>
      </c>
      <c r="EG62" s="646">
        <v>2562.5</v>
      </c>
      <c r="EH62" s="563" t="s">
        <v>1589</v>
      </c>
      <c r="EI62" s="563">
        <v>4</v>
      </c>
      <c r="EJ62" s="563">
        <v>1</v>
      </c>
      <c r="EK62" s="563">
        <v>6</v>
      </c>
      <c r="EL62" s="563">
        <v>96.458406456269955</v>
      </c>
      <c r="EM62" s="650">
        <v>2877.2920209734671</v>
      </c>
      <c r="EN62" s="563">
        <v>1</v>
      </c>
      <c r="EO62" s="563">
        <v>-1000</v>
      </c>
      <c r="EP62" s="563">
        <v>125.1575663904306</v>
      </c>
      <c r="EQ62" s="650">
        <v>-1</v>
      </c>
      <c r="ER62" s="564">
        <v>-1</v>
      </c>
      <c r="ES62" s="565">
        <v>-8.377580409572781E-2</v>
      </c>
      <c r="ET62" s="649">
        <v>112.3911504</v>
      </c>
      <c r="EU62" s="646">
        <v>415.66766622947677</v>
      </c>
      <c r="EV62" s="646">
        <v>0</v>
      </c>
      <c r="EW62" s="646">
        <v>0</v>
      </c>
      <c r="EX62" s="646">
        <v>88.632408412866596</v>
      </c>
      <c r="EY62" s="646">
        <v>119.29164098090838</v>
      </c>
      <c r="EZ62" s="646">
        <v>2050</v>
      </c>
      <c r="FA62" s="563" t="s">
        <v>1587</v>
      </c>
      <c r="FB62" s="563">
        <v>8</v>
      </c>
      <c r="FC62" s="563">
        <v>0</v>
      </c>
      <c r="FD62" s="563">
        <v>0</v>
      </c>
      <c r="FE62" s="563">
        <v>0</v>
      </c>
      <c r="FF62" s="650">
        <v>2779.9114583552764</v>
      </c>
      <c r="FG62" s="563">
        <v>0</v>
      </c>
      <c r="FH62" s="563">
        <v>0</v>
      </c>
      <c r="FI62" s="563">
        <v>0</v>
      </c>
      <c r="FJ62" s="650">
        <v>2962.2874629086264</v>
      </c>
      <c r="FK62" s="564">
        <v>2779.9114583552764</v>
      </c>
      <c r="FL62" s="565">
        <v>232.88931773864067</v>
      </c>
      <c r="FM62" s="649">
        <v>112.3911504</v>
      </c>
      <c r="FN62" s="646">
        <v>423.66963308633171</v>
      </c>
      <c r="FO62" s="646">
        <v>8.0019668568549616</v>
      </c>
      <c r="FP62" s="646">
        <v>0</v>
      </c>
      <c r="FQ62" s="646">
        <v>89.347624206412561</v>
      </c>
      <c r="FR62" s="646">
        <v>120.64705907909574</v>
      </c>
      <c r="FS62" s="646">
        <v>2562.5</v>
      </c>
      <c r="FT62" s="563" t="s">
        <v>1587</v>
      </c>
      <c r="FU62" s="563">
        <v>8</v>
      </c>
      <c r="FV62" s="563">
        <v>1</v>
      </c>
      <c r="FW62" s="563">
        <v>10</v>
      </c>
      <c r="FX62" s="563">
        <v>96.458406456269955</v>
      </c>
      <c r="FY62" s="650">
        <v>5159.2447101251137</v>
      </c>
      <c r="FZ62" s="563">
        <v>0</v>
      </c>
      <c r="GA62" s="563">
        <v>0</v>
      </c>
      <c r="GB62" s="563">
        <v>0</v>
      </c>
      <c r="GC62" s="650">
        <v>2962.2874629086264</v>
      </c>
      <c r="GD62" s="564">
        <v>2962.2874629086264</v>
      </c>
      <c r="GE62" s="565">
        <v>248.16801416786365</v>
      </c>
      <c r="GF62" s="649">
        <v>112.3911504</v>
      </c>
      <c r="GG62" s="646">
        <v>415.66766622947677</v>
      </c>
      <c r="GH62" s="646">
        <v>0</v>
      </c>
      <c r="GI62" s="646">
        <v>0</v>
      </c>
      <c r="GJ62" s="646">
        <v>88.632408412866596</v>
      </c>
      <c r="GK62" s="646">
        <v>119.29164098090838</v>
      </c>
      <c r="GL62" s="646">
        <v>2050</v>
      </c>
      <c r="GM62" s="563" t="s">
        <v>1587</v>
      </c>
      <c r="GN62" s="563">
        <v>8</v>
      </c>
      <c r="GO62" s="563">
        <v>0</v>
      </c>
      <c r="GP62" s="563">
        <v>0</v>
      </c>
      <c r="GQ62" s="563">
        <v>0</v>
      </c>
      <c r="GR62" s="650">
        <v>2779.9114583552764</v>
      </c>
      <c r="GS62" s="563">
        <v>0</v>
      </c>
      <c r="GT62" s="563">
        <v>0</v>
      </c>
      <c r="GU62" s="563">
        <v>0</v>
      </c>
      <c r="GV62" s="650">
        <v>2962.2874629086264</v>
      </c>
      <c r="GW62" s="564">
        <v>2779.9114583552764</v>
      </c>
      <c r="GX62" s="565">
        <v>232.88931773864067</v>
      </c>
      <c r="GY62" s="649">
        <v>112.3911504</v>
      </c>
      <c r="GZ62" s="646">
        <v>423.66963308633171</v>
      </c>
      <c r="HA62" s="646">
        <v>8.0019668568549616</v>
      </c>
      <c r="HB62" s="646">
        <v>0</v>
      </c>
      <c r="HC62" s="646">
        <v>89.347624206412561</v>
      </c>
      <c r="HD62" s="646">
        <v>120.64705907909574</v>
      </c>
      <c r="HE62" s="646">
        <v>2562.5</v>
      </c>
      <c r="HF62" s="563" t="s">
        <v>1587</v>
      </c>
      <c r="HG62" s="563">
        <v>8</v>
      </c>
      <c r="HH62" s="563">
        <v>1</v>
      </c>
      <c r="HI62" s="563">
        <v>10</v>
      </c>
      <c r="HJ62" s="563">
        <v>96.458406456269955</v>
      </c>
      <c r="HK62" s="650">
        <v>5159.2447101251137</v>
      </c>
      <c r="HL62" s="563">
        <v>0</v>
      </c>
      <c r="HM62" s="563">
        <v>0</v>
      </c>
      <c r="HN62" s="563">
        <v>0</v>
      </c>
      <c r="HO62" s="650">
        <v>2962.2874629086264</v>
      </c>
      <c r="HP62" s="564">
        <v>2962.2874629086264</v>
      </c>
      <c r="HQ62" s="565">
        <v>248.16801416786365</v>
      </c>
      <c r="HR62" s="649">
        <v>56.1955752</v>
      </c>
      <c r="HS62" s="646">
        <v>378.50936243348843</v>
      </c>
      <c r="HT62" s="646">
        <v>4.8011801141129764</v>
      </c>
      <c r="HU62" s="646">
        <v>14.236091289898686</v>
      </c>
      <c r="HV62" s="646">
        <v>83.63617116284091</v>
      </c>
      <c r="HW62" s="646">
        <v>106.26790709892151</v>
      </c>
      <c r="HX62" s="646">
        <v>2050</v>
      </c>
      <c r="HY62" s="563" t="s">
        <v>68</v>
      </c>
      <c r="HZ62" s="563">
        <v>4</v>
      </c>
      <c r="IA62" s="563">
        <v>1</v>
      </c>
      <c r="IB62" s="563">
        <v>6</v>
      </c>
      <c r="IC62" s="563">
        <v>96.458406456269955</v>
      </c>
      <c r="ID62" s="650">
        <v>3134.0574669891357</v>
      </c>
      <c r="IE62" s="563">
        <v>1</v>
      </c>
      <c r="IF62" s="563">
        <v>6</v>
      </c>
      <c r="IG62" s="563">
        <v>125.1575663904306</v>
      </c>
      <c r="IH62" s="650">
        <v>2756.0183989189022</v>
      </c>
      <c r="II62" s="564">
        <v>2756.0183989189022</v>
      </c>
      <c r="IJ62" s="565">
        <v>230.88765747205142</v>
      </c>
      <c r="IK62" s="649">
        <v>56.1955752</v>
      </c>
      <c r="IL62" s="646">
        <v>388.00008996008756</v>
      </c>
      <c r="IM62" s="646">
        <v>4.8011801141129764</v>
      </c>
      <c r="IN62" s="646">
        <v>23.726818816497808</v>
      </c>
      <c r="IO62" s="646">
        <v>83.85298602065329</v>
      </c>
      <c r="IP62" s="646">
        <v>111.46603698161726</v>
      </c>
      <c r="IQ62" s="646">
        <v>2562.5</v>
      </c>
      <c r="IR62" s="563" t="s">
        <v>68</v>
      </c>
      <c r="IS62" s="563">
        <v>4</v>
      </c>
      <c r="IT62" s="563">
        <v>1</v>
      </c>
      <c r="IU62" s="563">
        <v>6</v>
      </c>
      <c r="IV62" s="563">
        <v>96.458406456269955</v>
      </c>
      <c r="IW62" s="650">
        <v>3134.0574669891357</v>
      </c>
      <c r="IX62" s="563">
        <v>1</v>
      </c>
      <c r="IY62" s="563">
        <v>10</v>
      </c>
      <c r="IZ62" s="563">
        <v>125.1575663904306</v>
      </c>
      <c r="JA62" s="650">
        <v>2842.1317817150998</v>
      </c>
      <c r="JB62" s="564">
        <v>2842.1317817150998</v>
      </c>
      <c r="JC62" s="565">
        <v>238.10187535920605</v>
      </c>
      <c r="JD62" s="649">
        <v>70.244468999999995</v>
      </c>
      <c r="JE62" s="646">
        <v>373.52098482947673</v>
      </c>
      <c r="JF62" s="646">
        <v>0</v>
      </c>
      <c r="JG62" s="646">
        <v>0</v>
      </c>
      <c r="JH62" s="646">
        <v>84.359573999729562</v>
      </c>
      <c r="JI62" s="646">
        <v>103.06600630720121</v>
      </c>
      <c r="JJ62" s="646">
        <v>2050</v>
      </c>
      <c r="JK62" s="563" t="s">
        <v>67</v>
      </c>
      <c r="JL62" s="563">
        <v>5</v>
      </c>
      <c r="JM62" s="563">
        <v>0</v>
      </c>
      <c r="JN62" s="563">
        <v>0</v>
      </c>
      <c r="JO62" s="563">
        <v>0</v>
      </c>
      <c r="JP62" s="650">
        <v>2292.8431118741655</v>
      </c>
      <c r="JQ62" s="563">
        <v>0</v>
      </c>
      <c r="JR62" s="563">
        <v>0</v>
      </c>
      <c r="JS62" s="563">
        <v>0</v>
      </c>
      <c r="JT62" s="650">
        <v>2294.8275179098073</v>
      </c>
      <c r="JU62" s="564">
        <v>2292.8431118741655</v>
      </c>
      <c r="JV62" s="565">
        <v>192.08477536260904</v>
      </c>
      <c r="JW62" s="649">
        <v>56.1955752</v>
      </c>
      <c r="JX62" s="646">
        <v>378.50936243348843</v>
      </c>
      <c r="JY62" s="646">
        <v>4.8011801141129764</v>
      </c>
      <c r="JZ62" s="646">
        <v>14.236091289898686</v>
      </c>
      <c r="KA62" s="646">
        <v>83.63617116284091</v>
      </c>
      <c r="KB62" s="646">
        <v>106.26790709892151</v>
      </c>
      <c r="KC62" s="646">
        <v>2562.5</v>
      </c>
      <c r="KD62" s="563" t="s">
        <v>67</v>
      </c>
      <c r="KE62" s="563">
        <v>4</v>
      </c>
      <c r="KF62" s="563">
        <v>1</v>
      </c>
      <c r="KG62" s="563">
        <v>6</v>
      </c>
      <c r="KH62" s="563">
        <v>96.458406456269955</v>
      </c>
      <c r="KI62" s="650">
        <v>4271.0003960777594</v>
      </c>
      <c r="KJ62" s="563">
        <v>1</v>
      </c>
      <c r="KK62" s="563">
        <v>6</v>
      </c>
      <c r="KL62" s="563">
        <v>125.1575663904306</v>
      </c>
      <c r="KM62" s="650">
        <v>3755.8199865072952</v>
      </c>
      <c r="KN62" s="564">
        <v>3755.8199865072952</v>
      </c>
      <c r="KO62" s="566">
        <v>314.64683940845424</v>
      </c>
    </row>
    <row r="63" spans="1:301" ht="15" customHeight="1">
      <c r="A63" s="663" t="s">
        <v>840</v>
      </c>
      <c r="B63" s="629" t="s">
        <v>389</v>
      </c>
      <c r="C63" s="629">
        <v>721.5</v>
      </c>
      <c r="D63" s="629">
        <v>1600</v>
      </c>
      <c r="E63" s="629">
        <v>800</v>
      </c>
      <c r="F63" s="629">
        <v>705</v>
      </c>
      <c r="G63" s="629">
        <v>417</v>
      </c>
      <c r="H63" s="629">
        <v>294</v>
      </c>
      <c r="I63" s="629">
        <v>201.4</v>
      </c>
      <c r="J63" s="629">
        <v>34.83</v>
      </c>
      <c r="K63" s="629">
        <v>46.52</v>
      </c>
      <c r="L63" s="629">
        <v>12</v>
      </c>
      <c r="M63" s="629">
        <v>652</v>
      </c>
      <c r="N63" s="629">
        <v>6</v>
      </c>
      <c r="O63" s="623">
        <v>71.025126712358045</v>
      </c>
      <c r="P63" s="629">
        <v>6</v>
      </c>
      <c r="Q63" s="623">
        <v>49.437011705187047</v>
      </c>
      <c r="R63" s="629">
        <v>20</v>
      </c>
      <c r="S63" s="629">
        <v>1106.1576514975025</v>
      </c>
      <c r="T63" s="645">
        <v>150.87719081541226</v>
      </c>
      <c r="U63" s="645">
        <v>165.92364772462537</v>
      </c>
      <c r="V63" s="645">
        <v>172.5</v>
      </c>
      <c r="W63" s="793">
        <v>21.959703631961961</v>
      </c>
      <c r="X63" s="646">
        <v>470</v>
      </c>
      <c r="Y63" s="646">
        <v>62.968060221313834</v>
      </c>
      <c r="Z63" s="646">
        <v>6</v>
      </c>
      <c r="AA63" s="646">
        <v>8.459851237920315</v>
      </c>
      <c r="AB63" s="647">
        <v>62.178193615716253</v>
      </c>
      <c r="AC63" s="784">
        <v>3643.9410931830234</v>
      </c>
      <c r="AD63" s="631">
        <v>0.2852622099381264</v>
      </c>
      <c r="AE63" s="631">
        <v>0.69579491153429651</v>
      </c>
      <c r="AF63" s="631">
        <v>-0.2412228376305027</v>
      </c>
      <c r="AG63" s="631">
        <v>0.96995503923655702</v>
      </c>
      <c r="AH63" s="629"/>
      <c r="AI63" s="648">
        <v>11.100789523021785</v>
      </c>
      <c r="AJ63" s="649">
        <v>76.066688400000004</v>
      </c>
      <c r="AK63" s="646">
        <v>377.82557250283969</v>
      </c>
      <c r="AL63" s="646">
        <v>0</v>
      </c>
      <c r="AM63" s="646">
        <v>0</v>
      </c>
      <c r="AN63" s="646">
        <v>94.966171302754674</v>
      </c>
      <c r="AO63" s="646">
        <v>104.3921885945918</v>
      </c>
      <c r="AP63" s="801">
        <v>1700</v>
      </c>
      <c r="AQ63" s="563" t="s">
        <v>67</v>
      </c>
      <c r="AR63" s="563">
        <v>5</v>
      </c>
      <c r="AS63" s="563">
        <v>0</v>
      </c>
      <c r="AT63" s="563">
        <v>0</v>
      </c>
      <c r="AU63" s="563">
        <v>0</v>
      </c>
      <c r="AV63" s="650">
        <v>1967.5504288812706</v>
      </c>
      <c r="AW63" s="563">
        <v>0</v>
      </c>
      <c r="AX63" s="563">
        <v>0</v>
      </c>
      <c r="AY63" s="563">
        <v>0</v>
      </c>
      <c r="AZ63" s="650">
        <v>2024.8169135365479</v>
      </c>
      <c r="BA63" s="564">
        <v>1967.5504288812706</v>
      </c>
      <c r="BB63" s="565">
        <v>164.83311927842257</v>
      </c>
      <c r="BC63" s="649">
        <v>76.066688400000004</v>
      </c>
      <c r="BD63" s="646">
        <v>407.82215139129221</v>
      </c>
      <c r="BE63" s="646">
        <v>6.4775538391257612</v>
      </c>
      <c r="BF63" s="646">
        <v>23.519025049326746</v>
      </c>
      <c r="BG63" s="646">
        <v>96.123308025199478</v>
      </c>
      <c r="BH63" s="646">
        <v>118.39380392036821</v>
      </c>
      <c r="BI63" s="646">
        <v>2125</v>
      </c>
      <c r="BJ63" s="563" t="s">
        <v>71</v>
      </c>
      <c r="BK63" s="563">
        <v>5</v>
      </c>
      <c r="BL63" s="563">
        <v>1</v>
      </c>
      <c r="BM63" s="563">
        <v>8</v>
      </c>
      <c r="BN63" s="563">
        <v>97.614604079229423</v>
      </c>
      <c r="BO63" s="650">
        <v>2637.1087076659342</v>
      </c>
      <c r="BP63" s="563">
        <v>1</v>
      </c>
      <c r="BQ63" s="563">
        <v>10</v>
      </c>
      <c r="BR63" s="563">
        <v>124.01540039803612</v>
      </c>
      <c r="BS63" s="650">
        <v>2346.1626519221882</v>
      </c>
      <c r="BT63" s="564">
        <v>2346.1626519221882</v>
      </c>
      <c r="BU63" s="565">
        <v>196.55166270414648</v>
      </c>
      <c r="BV63" s="649">
        <v>121.70670144000002</v>
      </c>
      <c r="BW63" s="646">
        <v>431.56252784174688</v>
      </c>
      <c r="BX63" s="646">
        <v>8.0969422989072015</v>
      </c>
      <c r="BY63" s="646">
        <v>0</v>
      </c>
      <c r="BZ63" s="646">
        <v>101.44527768578514</v>
      </c>
      <c r="CA63" s="646">
        <v>123.34424770280695</v>
      </c>
      <c r="CB63" s="646">
        <v>1700</v>
      </c>
      <c r="CC63" s="563" t="s">
        <v>1588</v>
      </c>
      <c r="CD63" s="563">
        <v>8</v>
      </c>
      <c r="CE63" s="563">
        <v>1</v>
      </c>
      <c r="CF63" s="563">
        <v>10</v>
      </c>
      <c r="CG63" s="563">
        <v>97.614604079229423</v>
      </c>
      <c r="CH63" s="650">
        <v>3821.9404146520819</v>
      </c>
      <c r="CI63" s="563">
        <v>0</v>
      </c>
      <c r="CJ63" s="563">
        <v>0</v>
      </c>
      <c r="CK63" s="563">
        <v>0</v>
      </c>
      <c r="CL63" s="650">
        <v>1940.113388665555</v>
      </c>
      <c r="CM63" s="564">
        <v>1940.113388665555</v>
      </c>
      <c r="CN63" s="565">
        <v>162.53455917234416</v>
      </c>
      <c r="CO63" s="649">
        <v>76.066688400000004</v>
      </c>
      <c r="CP63" s="646">
        <v>417.22976141102293</v>
      </c>
      <c r="CQ63" s="646">
        <v>6.4775538391257612</v>
      </c>
      <c r="CR63" s="646">
        <v>32.926635069057447</v>
      </c>
      <c r="CS63" s="646">
        <v>96.226502325466427</v>
      </c>
      <c r="CT63" s="646">
        <v>123.5536671864712</v>
      </c>
      <c r="CU63" s="646">
        <v>2125</v>
      </c>
      <c r="CV63" s="563" t="s">
        <v>1584</v>
      </c>
      <c r="CW63" s="563">
        <v>5</v>
      </c>
      <c r="CX63" s="563">
        <v>1</v>
      </c>
      <c r="CY63" s="563">
        <v>8</v>
      </c>
      <c r="CZ63" s="563">
        <v>97.614604079229423</v>
      </c>
      <c r="DA63" s="650">
        <v>2583.8282920127635</v>
      </c>
      <c r="DB63" s="563">
        <v>1</v>
      </c>
      <c r="DC63" s="563">
        <v>14</v>
      </c>
      <c r="DD63" s="563">
        <v>124.01540039803612</v>
      </c>
      <c r="DE63" s="650">
        <v>2344.0298166699813</v>
      </c>
      <c r="DF63" s="564">
        <v>2344.0298166699813</v>
      </c>
      <c r="DG63" s="565">
        <v>196.37298271588915</v>
      </c>
      <c r="DH63" s="649">
        <v>121.70670144000002</v>
      </c>
      <c r="DI63" s="646">
        <v>423.46558554283968</v>
      </c>
      <c r="DJ63" s="646">
        <v>0</v>
      </c>
      <c r="DK63" s="646">
        <v>0</v>
      </c>
      <c r="DL63" s="646">
        <v>100.57424124123416</v>
      </c>
      <c r="DM63" s="646">
        <v>121.96680125215826</v>
      </c>
      <c r="DN63" s="646">
        <v>1700</v>
      </c>
      <c r="DO63" s="563" t="s">
        <v>1589</v>
      </c>
      <c r="DP63" s="563">
        <v>8</v>
      </c>
      <c r="DQ63" s="563">
        <v>0</v>
      </c>
      <c r="DR63" s="563">
        <v>0</v>
      </c>
      <c r="DS63" s="563">
        <v>0</v>
      </c>
      <c r="DT63" s="650">
        <v>1888.0099899619363</v>
      </c>
      <c r="DU63" s="563">
        <v>0</v>
      </c>
      <c r="DV63" s="563">
        <v>0</v>
      </c>
      <c r="DW63" s="563">
        <v>0</v>
      </c>
      <c r="DX63" s="650">
        <v>2066.5763106937989</v>
      </c>
      <c r="DY63" s="564">
        <v>1888.0099899619363</v>
      </c>
      <c r="DZ63" s="565">
        <v>158.16955504982823</v>
      </c>
      <c r="EA63" s="649">
        <v>76.066688400000004</v>
      </c>
      <c r="EB63" s="646">
        <v>403.11834638142687</v>
      </c>
      <c r="EC63" s="646">
        <v>6.4775538391257612</v>
      </c>
      <c r="ED63" s="646">
        <v>18.815220039461398</v>
      </c>
      <c r="EE63" s="646">
        <v>96.069904683890599</v>
      </c>
      <c r="EF63" s="646">
        <v>115.81387228731673</v>
      </c>
      <c r="EG63" s="646">
        <v>2125</v>
      </c>
      <c r="EH63" s="563" t="s">
        <v>1588</v>
      </c>
      <c r="EI63" s="563">
        <v>5</v>
      </c>
      <c r="EJ63" s="563">
        <v>1</v>
      </c>
      <c r="EK63" s="563">
        <v>8</v>
      </c>
      <c r="EL63" s="563">
        <v>97.614604079229423</v>
      </c>
      <c r="EM63" s="650">
        <v>2689.3337519708102</v>
      </c>
      <c r="EN63" s="563">
        <v>1</v>
      </c>
      <c r="EO63" s="563">
        <v>8</v>
      </c>
      <c r="EP63" s="563">
        <v>124.01540039803612</v>
      </c>
      <c r="EQ63" s="650">
        <v>2353.5623534221736</v>
      </c>
      <c r="ER63" s="564">
        <v>2353.5623534221736</v>
      </c>
      <c r="ES63" s="565">
        <v>197.17157864737612</v>
      </c>
      <c r="ET63" s="649">
        <v>121.70670144000002</v>
      </c>
      <c r="EU63" s="646">
        <v>423.46558554283968</v>
      </c>
      <c r="EV63" s="646">
        <v>0</v>
      </c>
      <c r="EW63" s="646">
        <v>0</v>
      </c>
      <c r="EX63" s="646">
        <v>100.57424124123416</v>
      </c>
      <c r="EY63" s="646">
        <v>121.96680125215826</v>
      </c>
      <c r="EZ63" s="646">
        <v>1700</v>
      </c>
      <c r="FA63" s="563" t="s">
        <v>1589</v>
      </c>
      <c r="FB63" s="563">
        <v>8</v>
      </c>
      <c r="FC63" s="563">
        <v>0</v>
      </c>
      <c r="FD63" s="563">
        <v>0</v>
      </c>
      <c r="FE63" s="563">
        <v>0</v>
      </c>
      <c r="FF63" s="650">
        <v>1888.0099899619363</v>
      </c>
      <c r="FG63" s="563">
        <v>0</v>
      </c>
      <c r="FH63" s="563">
        <v>0</v>
      </c>
      <c r="FI63" s="563">
        <v>0</v>
      </c>
      <c r="FJ63" s="650">
        <v>2066.5763106937989</v>
      </c>
      <c r="FK63" s="564">
        <v>1888.0099899619363</v>
      </c>
      <c r="FL63" s="565">
        <v>158.16955504982823</v>
      </c>
      <c r="FM63" s="649">
        <v>121.70670144000002</v>
      </c>
      <c r="FN63" s="646">
        <v>431.56252784174688</v>
      </c>
      <c r="FO63" s="646">
        <v>8.0969422989072015</v>
      </c>
      <c r="FP63" s="646">
        <v>0</v>
      </c>
      <c r="FQ63" s="646">
        <v>101.44527768578514</v>
      </c>
      <c r="FR63" s="646">
        <v>123.34424770280695</v>
      </c>
      <c r="FS63" s="646">
        <v>2125</v>
      </c>
      <c r="FT63" s="563" t="s">
        <v>1587</v>
      </c>
      <c r="FU63" s="563">
        <v>8</v>
      </c>
      <c r="FV63" s="563">
        <v>1</v>
      </c>
      <c r="FW63" s="563">
        <v>10</v>
      </c>
      <c r="FX63" s="563">
        <v>97.614604079229423</v>
      </c>
      <c r="FY63" s="650">
        <v>5028.0952349763611</v>
      </c>
      <c r="FZ63" s="563">
        <v>0</v>
      </c>
      <c r="GA63" s="563">
        <v>0</v>
      </c>
      <c r="GB63" s="563">
        <v>0</v>
      </c>
      <c r="GC63" s="650">
        <v>2552.3880088410901</v>
      </c>
      <c r="GD63" s="564">
        <v>2552.3880088410901</v>
      </c>
      <c r="GE63" s="565">
        <v>213.82835780495597</v>
      </c>
      <c r="GF63" s="649">
        <v>121.70670144000002</v>
      </c>
      <c r="GG63" s="646">
        <v>423.46558554283968</v>
      </c>
      <c r="GH63" s="646">
        <v>0</v>
      </c>
      <c r="GI63" s="646">
        <v>0</v>
      </c>
      <c r="GJ63" s="646">
        <v>100.57424124123416</v>
      </c>
      <c r="GK63" s="646">
        <v>121.96680125215826</v>
      </c>
      <c r="GL63" s="646">
        <v>1700</v>
      </c>
      <c r="GM63" s="563" t="s">
        <v>1587</v>
      </c>
      <c r="GN63" s="563">
        <v>8</v>
      </c>
      <c r="GO63" s="563">
        <v>0</v>
      </c>
      <c r="GP63" s="563">
        <v>0</v>
      </c>
      <c r="GQ63" s="563">
        <v>0</v>
      </c>
      <c r="GR63" s="650">
        <v>2331.8442362930227</v>
      </c>
      <c r="GS63" s="563">
        <v>0</v>
      </c>
      <c r="GT63" s="563">
        <v>0</v>
      </c>
      <c r="GU63" s="563">
        <v>0</v>
      </c>
      <c r="GV63" s="650">
        <v>2552.3880088410901</v>
      </c>
      <c r="GW63" s="564">
        <v>2331.8442362930227</v>
      </c>
      <c r="GX63" s="565">
        <v>195.35212592143631</v>
      </c>
      <c r="GY63" s="649">
        <v>121.70670144000002</v>
      </c>
      <c r="GZ63" s="646">
        <v>431.56252784174688</v>
      </c>
      <c r="HA63" s="646">
        <v>8.0969422989072015</v>
      </c>
      <c r="HB63" s="646">
        <v>0</v>
      </c>
      <c r="HC63" s="646">
        <v>101.44527768578514</v>
      </c>
      <c r="HD63" s="646">
        <v>123.34424770280695</v>
      </c>
      <c r="HE63" s="646">
        <v>2125</v>
      </c>
      <c r="HF63" s="563" t="s">
        <v>1587</v>
      </c>
      <c r="HG63" s="563">
        <v>8</v>
      </c>
      <c r="HH63" s="563">
        <v>1</v>
      </c>
      <c r="HI63" s="563">
        <v>10</v>
      </c>
      <c r="HJ63" s="563">
        <v>97.614604079229423</v>
      </c>
      <c r="HK63" s="650">
        <v>5028.0952349763611</v>
      </c>
      <c r="HL63" s="563">
        <v>0</v>
      </c>
      <c r="HM63" s="563">
        <v>0</v>
      </c>
      <c r="HN63" s="563">
        <v>0</v>
      </c>
      <c r="HO63" s="650">
        <v>2552.3880088410901</v>
      </c>
      <c r="HP63" s="564">
        <v>2552.3880088410901</v>
      </c>
      <c r="HQ63" s="565">
        <v>213.82835780495597</v>
      </c>
      <c r="HR63" s="649">
        <v>60.853350720000009</v>
      </c>
      <c r="HS63" s="646">
        <v>381.58181523178007</v>
      </c>
      <c r="HT63" s="646">
        <v>4.8581653793443209</v>
      </c>
      <c r="HU63" s="646">
        <v>14.111415029596047</v>
      </c>
      <c r="HV63" s="646">
        <v>93.766148642111901</v>
      </c>
      <c r="HW63" s="646">
        <v>107.10024714494668</v>
      </c>
      <c r="HX63" s="646">
        <v>1700</v>
      </c>
      <c r="HY63" s="563" t="s">
        <v>68</v>
      </c>
      <c r="HZ63" s="563">
        <v>4</v>
      </c>
      <c r="IA63" s="563">
        <v>1</v>
      </c>
      <c r="IB63" s="563">
        <v>6</v>
      </c>
      <c r="IC63" s="563">
        <v>97.614604079229423</v>
      </c>
      <c r="ID63" s="650">
        <v>2673.9217357241582</v>
      </c>
      <c r="IE63" s="563">
        <v>1</v>
      </c>
      <c r="IF63" s="563">
        <v>6</v>
      </c>
      <c r="IG63" s="563">
        <v>124.01540039803612</v>
      </c>
      <c r="IH63" s="650">
        <v>2716.0727288725825</v>
      </c>
      <c r="II63" s="564">
        <v>2673.9217357241582</v>
      </c>
      <c r="IJ63" s="565">
        <v>224.00994349933555</v>
      </c>
      <c r="IK63" s="649">
        <v>60.853350720000009</v>
      </c>
      <c r="IL63" s="646">
        <v>381.58181523178007</v>
      </c>
      <c r="IM63" s="646">
        <v>4.8581653793443209</v>
      </c>
      <c r="IN63" s="646">
        <v>14.111415029596047</v>
      </c>
      <c r="IO63" s="646">
        <v>93.766148642111901</v>
      </c>
      <c r="IP63" s="646">
        <v>107.10024714494668</v>
      </c>
      <c r="IQ63" s="646">
        <v>2125</v>
      </c>
      <c r="IR63" s="563" t="s">
        <v>68</v>
      </c>
      <c r="IS63" s="563">
        <v>4</v>
      </c>
      <c r="IT63" s="563">
        <v>1</v>
      </c>
      <c r="IU63" s="563">
        <v>6</v>
      </c>
      <c r="IV63" s="563">
        <v>97.614604079229423</v>
      </c>
      <c r="IW63" s="650">
        <v>2673.9217357241582</v>
      </c>
      <c r="IX63" s="563">
        <v>1</v>
      </c>
      <c r="IY63" s="563">
        <v>6</v>
      </c>
      <c r="IZ63" s="563">
        <v>124.01540039803612</v>
      </c>
      <c r="JA63" s="650">
        <v>2716.0727288725825</v>
      </c>
      <c r="JB63" s="564">
        <v>2673.9217357241582</v>
      </c>
      <c r="JC63" s="565">
        <v>224.00994349933555</v>
      </c>
      <c r="JD63" s="649">
        <v>76.066688400000004</v>
      </c>
      <c r="JE63" s="646">
        <v>377.82557250283969</v>
      </c>
      <c r="JF63" s="646">
        <v>0</v>
      </c>
      <c r="JG63" s="646">
        <v>0</v>
      </c>
      <c r="JH63" s="646">
        <v>94.966171302754674</v>
      </c>
      <c r="JI63" s="646">
        <v>104.3921885945918</v>
      </c>
      <c r="JJ63" s="646">
        <v>1700</v>
      </c>
      <c r="JK63" s="563" t="s">
        <v>67</v>
      </c>
      <c r="JL63" s="563">
        <v>5</v>
      </c>
      <c r="JM63" s="563">
        <v>0</v>
      </c>
      <c r="JN63" s="563">
        <v>0</v>
      </c>
      <c r="JO63" s="563">
        <v>0</v>
      </c>
      <c r="JP63" s="650">
        <v>1967.5504288812706</v>
      </c>
      <c r="JQ63" s="563">
        <v>0</v>
      </c>
      <c r="JR63" s="563">
        <v>0</v>
      </c>
      <c r="JS63" s="563">
        <v>0</v>
      </c>
      <c r="JT63" s="650">
        <v>2024.8169135365479</v>
      </c>
      <c r="JU63" s="564">
        <v>1967.5504288812706</v>
      </c>
      <c r="JV63" s="565">
        <v>164.83311927842257</v>
      </c>
      <c r="JW63" s="649">
        <v>60.853350720000009</v>
      </c>
      <c r="JX63" s="646">
        <v>381.58181523178007</v>
      </c>
      <c r="JY63" s="646">
        <v>4.8581653793443209</v>
      </c>
      <c r="JZ63" s="646">
        <v>14.111415029596047</v>
      </c>
      <c r="KA63" s="646">
        <v>93.766148642111901</v>
      </c>
      <c r="KB63" s="646">
        <v>107.10024714494668</v>
      </c>
      <c r="KC63" s="646">
        <v>2125</v>
      </c>
      <c r="KD63" s="563" t="s">
        <v>67</v>
      </c>
      <c r="KE63" s="563">
        <v>4</v>
      </c>
      <c r="KF63" s="563">
        <v>1</v>
      </c>
      <c r="KG63" s="563">
        <v>6</v>
      </c>
      <c r="KH63" s="563">
        <v>97.614604079229423</v>
      </c>
      <c r="KI63" s="650">
        <v>3643.9410931830234</v>
      </c>
      <c r="KJ63" s="563">
        <v>1</v>
      </c>
      <c r="KK63" s="563">
        <v>6</v>
      </c>
      <c r="KL63" s="563">
        <v>124.01540039803612</v>
      </c>
      <c r="KM63" s="650">
        <v>3701.3832142443653</v>
      </c>
      <c r="KN63" s="564">
        <v>3643.9410931830234</v>
      </c>
      <c r="KO63" s="566">
        <v>305.27409515887319</v>
      </c>
    </row>
    <row r="64" spans="1:301" ht="15" customHeight="1">
      <c r="A64" s="663" t="s">
        <v>841</v>
      </c>
      <c r="B64" s="629" t="s">
        <v>391</v>
      </c>
      <c r="C64" s="629">
        <v>874</v>
      </c>
      <c r="D64" s="629">
        <v>1600</v>
      </c>
      <c r="E64" s="629">
        <v>890</v>
      </c>
      <c r="F64" s="629">
        <v>800</v>
      </c>
      <c r="G64" s="629">
        <v>465</v>
      </c>
      <c r="H64" s="629">
        <v>330</v>
      </c>
      <c r="I64" s="629">
        <v>233</v>
      </c>
      <c r="J64" s="629">
        <v>34.68</v>
      </c>
      <c r="K64" s="629">
        <v>44.87</v>
      </c>
      <c r="L64" s="629">
        <v>12</v>
      </c>
      <c r="M64" s="629">
        <v>610</v>
      </c>
      <c r="N64" s="629">
        <v>6</v>
      </c>
      <c r="O64" s="623">
        <v>65.398604955613436</v>
      </c>
      <c r="P64" s="629">
        <v>6</v>
      </c>
      <c r="Q64" s="623">
        <v>45.8277213861519</v>
      </c>
      <c r="R64" s="629">
        <v>20</v>
      </c>
      <c r="S64" s="629">
        <v>1149.4144441669318</v>
      </c>
      <c r="T64" s="645">
        <v>162.90815854552943</v>
      </c>
      <c r="U64" s="645">
        <v>172.41216662503976</v>
      </c>
      <c r="V64" s="645">
        <v>185</v>
      </c>
      <c r="W64" s="793">
        <v>25.428945372966229</v>
      </c>
      <c r="X64" s="646">
        <v>533.33333333333326</v>
      </c>
      <c r="Y64" s="646">
        <v>71.453117981632715</v>
      </c>
      <c r="Z64" s="646">
        <v>6</v>
      </c>
      <c r="AA64" s="646">
        <v>10.893425466061062</v>
      </c>
      <c r="AB64" s="647">
        <v>66.401693222011431</v>
      </c>
      <c r="AC64" s="784">
        <v>2990.3752104045175</v>
      </c>
      <c r="AD64" s="631">
        <v>0.31622484423414265</v>
      </c>
      <c r="AE64" s="631">
        <v>0.69191652277805815</v>
      </c>
      <c r="AF64" s="631">
        <v>-0.33674765543649254</v>
      </c>
      <c r="AG64" s="631">
        <v>0.74956480639478673</v>
      </c>
      <c r="AH64" s="629"/>
      <c r="AI64" s="648">
        <v>10.963743578263093</v>
      </c>
      <c r="AJ64" s="649">
        <v>97.053318000000004</v>
      </c>
      <c r="AK64" s="646">
        <v>407.51017372632202</v>
      </c>
      <c r="AL64" s="646">
        <v>0</v>
      </c>
      <c r="AM64" s="646">
        <v>0</v>
      </c>
      <c r="AN64" s="646">
        <v>103.31831356379043</v>
      </c>
      <c r="AO64" s="646">
        <v>117.25069387474579</v>
      </c>
      <c r="AP64" s="801">
        <v>1550</v>
      </c>
      <c r="AQ64" s="563" t="s">
        <v>67</v>
      </c>
      <c r="AR64" s="563">
        <v>6</v>
      </c>
      <c r="AS64" s="563">
        <v>0</v>
      </c>
      <c r="AT64" s="563">
        <v>0</v>
      </c>
      <c r="AU64" s="563">
        <v>0</v>
      </c>
      <c r="AV64" s="650">
        <v>1817.1512551057026</v>
      </c>
      <c r="AW64" s="563">
        <v>0</v>
      </c>
      <c r="AX64" s="563">
        <v>0</v>
      </c>
      <c r="AY64" s="563">
        <v>0</v>
      </c>
      <c r="AZ64" s="650">
        <v>1923.2701597591076</v>
      </c>
      <c r="BA64" s="564">
        <v>1817.1512551057026</v>
      </c>
      <c r="BB64" s="565">
        <v>152.23330756004125</v>
      </c>
      <c r="BC64" s="649">
        <v>80.877765000000011</v>
      </c>
      <c r="BD64" s="646">
        <v>413.59587204942079</v>
      </c>
      <c r="BE64" s="646">
        <v>6.7338175409611756</v>
      </c>
      <c r="BF64" s="646">
        <v>15.527433782137551</v>
      </c>
      <c r="BG64" s="646">
        <v>102.40509264393124</v>
      </c>
      <c r="BH64" s="646">
        <v>120.83527873037076</v>
      </c>
      <c r="BI64" s="646">
        <v>1937.5</v>
      </c>
      <c r="BJ64" s="563" t="s">
        <v>71</v>
      </c>
      <c r="BK64" s="563">
        <v>5</v>
      </c>
      <c r="BL64" s="563">
        <v>1</v>
      </c>
      <c r="BM64" s="563">
        <v>8</v>
      </c>
      <c r="BN64" s="563">
        <v>81.945005087880276</v>
      </c>
      <c r="BO64" s="650">
        <v>2154.3896480341996</v>
      </c>
      <c r="BP64" s="563">
        <v>1</v>
      </c>
      <c r="BQ64" s="563">
        <v>8</v>
      </c>
      <c r="BR64" s="563">
        <v>101.60458816897381</v>
      </c>
      <c r="BS64" s="650">
        <v>2213.041826714124</v>
      </c>
      <c r="BT64" s="564">
        <v>2154.3896480341996</v>
      </c>
      <c r="BU64" s="565">
        <v>180.48572509957711</v>
      </c>
      <c r="BV64" s="649">
        <v>64.702212000000003</v>
      </c>
      <c r="BW64" s="646">
        <v>391.85500621864611</v>
      </c>
      <c r="BX64" s="646">
        <v>5.0503631557208815</v>
      </c>
      <c r="BY64" s="646">
        <v>11.645575336603164</v>
      </c>
      <c r="BZ64" s="646">
        <v>99.412666033831087</v>
      </c>
      <c r="CA64" s="646">
        <v>111.53826807842889</v>
      </c>
      <c r="CB64" s="646">
        <v>1550</v>
      </c>
      <c r="CC64" s="563" t="s">
        <v>1584</v>
      </c>
      <c r="CD64" s="563">
        <v>4</v>
      </c>
      <c r="CE64" s="563">
        <v>1</v>
      </c>
      <c r="CF64" s="563">
        <v>6</v>
      </c>
      <c r="CG64" s="563">
        <v>81.945005087880276</v>
      </c>
      <c r="CH64" s="650">
        <v>1817.0824187582421</v>
      </c>
      <c r="CI64" s="563">
        <v>1</v>
      </c>
      <c r="CJ64" s="563">
        <v>6</v>
      </c>
      <c r="CK64" s="563">
        <v>101.60458816897381</v>
      </c>
      <c r="CL64" s="650">
        <v>1927.8398872233565</v>
      </c>
      <c r="CM64" s="564">
        <v>1817.0824187582421</v>
      </c>
      <c r="CN64" s="565">
        <v>152.22754073968176</v>
      </c>
      <c r="CO64" s="649">
        <v>97.053318000000004</v>
      </c>
      <c r="CP64" s="646">
        <v>433.65328349495513</v>
      </c>
      <c r="CQ64" s="646">
        <v>6.7338175409611756</v>
      </c>
      <c r="CR64" s="646">
        <v>19.409292227671937</v>
      </c>
      <c r="CS64" s="646">
        <v>104.86609482527362</v>
      </c>
      <c r="CT64" s="646">
        <v>129.7448651509481</v>
      </c>
      <c r="CU64" s="646">
        <v>1937.5</v>
      </c>
      <c r="CV64" s="563" t="s">
        <v>1584</v>
      </c>
      <c r="CW64" s="563">
        <v>6</v>
      </c>
      <c r="CX64" s="563">
        <v>1</v>
      </c>
      <c r="CY64" s="563">
        <v>8</v>
      </c>
      <c r="CZ64" s="563">
        <v>81.945005087880276</v>
      </c>
      <c r="DA64" s="650">
        <v>2442.989520159681</v>
      </c>
      <c r="DB64" s="563">
        <v>1</v>
      </c>
      <c r="DC64" s="563">
        <v>10</v>
      </c>
      <c r="DD64" s="563">
        <v>101.60458816897381</v>
      </c>
      <c r="DE64" s="650">
        <v>2176.0653669377648</v>
      </c>
      <c r="DF64" s="564">
        <v>2176.0653669377648</v>
      </c>
      <c r="DG64" s="565">
        <v>182.30162588007624</v>
      </c>
      <c r="DH64" s="649">
        <v>64.702212000000003</v>
      </c>
      <c r="DI64" s="646">
        <v>391.85500621864611</v>
      </c>
      <c r="DJ64" s="646">
        <v>5.0503631557208815</v>
      </c>
      <c r="DK64" s="646">
        <v>11.645575336603164</v>
      </c>
      <c r="DL64" s="646">
        <v>99.412666033831087</v>
      </c>
      <c r="DM64" s="646">
        <v>111.53826807842889</v>
      </c>
      <c r="DN64" s="646">
        <v>1550</v>
      </c>
      <c r="DO64" s="563" t="s">
        <v>1588</v>
      </c>
      <c r="DP64" s="563">
        <v>4</v>
      </c>
      <c r="DQ64" s="563">
        <v>1</v>
      </c>
      <c r="DR64" s="563">
        <v>6</v>
      </c>
      <c r="DS64" s="563">
        <v>81.945005087880276</v>
      </c>
      <c r="DT64" s="650">
        <v>1891.2793446783567</v>
      </c>
      <c r="DU64" s="563">
        <v>1</v>
      </c>
      <c r="DV64" s="563">
        <v>6</v>
      </c>
      <c r="DW64" s="563">
        <v>101.60458816897381</v>
      </c>
      <c r="DX64" s="650">
        <v>2006.5593728237427</v>
      </c>
      <c r="DY64" s="564">
        <v>1891.2793446783567</v>
      </c>
      <c r="DZ64" s="565">
        <v>158.44344787007049</v>
      </c>
      <c r="EA64" s="649">
        <v>80.877765000000011</v>
      </c>
      <c r="EB64" s="646">
        <v>413.59587204942079</v>
      </c>
      <c r="EC64" s="646">
        <v>6.7338175409611756</v>
      </c>
      <c r="ED64" s="646">
        <v>15.527433782137551</v>
      </c>
      <c r="EE64" s="646">
        <v>102.40509264393124</v>
      </c>
      <c r="EF64" s="646">
        <v>120.83527873037076</v>
      </c>
      <c r="EG64" s="646">
        <v>1937.5</v>
      </c>
      <c r="EH64" s="563" t="s">
        <v>1588</v>
      </c>
      <c r="EI64" s="563">
        <v>5</v>
      </c>
      <c r="EJ64" s="563">
        <v>1</v>
      </c>
      <c r="EK64" s="563">
        <v>8</v>
      </c>
      <c r="EL64" s="563">
        <v>81.945005087880276</v>
      </c>
      <c r="EM64" s="650">
        <v>2197.0549710417349</v>
      </c>
      <c r="EN64" s="563">
        <v>1</v>
      </c>
      <c r="EO64" s="563">
        <v>8</v>
      </c>
      <c r="EP64" s="563">
        <v>101.60458816897381</v>
      </c>
      <c r="EQ64" s="650">
        <v>2256.8686917624686</v>
      </c>
      <c r="ER64" s="564">
        <v>2197.0549710417349</v>
      </c>
      <c r="ES64" s="565">
        <v>184.06004684153734</v>
      </c>
      <c r="ET64" s="649">
        <v>129.40442400000001</v>
      </c>
      <c r="EU64" s="646">
        <v>439.86127972632204</v>
      </c>
      <c r="EV64" s="646">
        <v>0</v>
      </c>
      <c r="EW64" s="646">
        <v>0</v>
      </c>
      <c r="EX64" s="646">
        <v>107.85490468496877</v>
      </c>
      <c r="EY64" s="646">
        <v>130.69207697560279</v>
      </c>
      <c r="EZ64" s="646">
        <v>1550</v>
      </c>
      <c r="FA64" s="563" t="s">
        <v>1587</v>
      </c>
      <c r="FB64" s="563">
        <v>8</v>
      </c>
      <c r="FC64" s="563">
        <v>0</v>
      </c>
      <c r="FD64" s="563">
        <v>0</v>
      </c>
      <c r="FE64" s="563">
        <v>0</v>
      </c>
      <c r="FF64" s="650">
        <v>1895.5388307472811</v>
      </c>
      <c r="FG64" s="563">
        <v>0</v>
      </c>
      <c r="FH64" s="563">
        <v>0</v>
      </c>
      <c r="FI64" s="563">
        <v>0</v>
      </c>
      <c r="FJ64" s="650">
        <v>2074.3288033161016</v>
      </c>
      <c r="FK64" s="564">
        <v>1895.5388307472811</v>
      </c>
      <c r="FL64" s="565">
        <v>158.80028974052917</v>
      </c>
      <c r="FM64" s="649">
        <v>80.877765000000011</v>
      </c>
      <c r="FN64" s="646">
        <v>413.59587204942079</v>
      </c>
      <c r="FO64" s="646">
        <v>6.7338175409611756</v>
      </c>
      <c r="FP64" s="646">
        <v>15.527433782137551</v>
      </c>
      <c r="FQ64" s="646">
        <v>102.40509264393124</v>
      </c>
      <c r="FR64" s="646">
        <v>120.83527873037076</v>
      </c>
      <c r="FS64" s="646">
        <v>1937.5</v>
      </c>
      <c r="FT64" s="563" t="s">
        <v>1589</v>
      </c>
      <c r="FU64" s="563">
        <v>5</v>
      </c>
      <c r="FV64" s="563">
        <v>1</v>
      </c>
      <c r="FW64" s="563">
        <v>8</v>
      </c>
      <c r="FX64" s="563">
        <v>81.945005087880276</v>
      </c>
      <c r="FY64" s="650">
        <v>2340.2661839109601</v>
      </c>
      <c r="FZ64" s="563">
        <v>1</v>
      </c>
      <c r="GA64" s="563">
        <v>8</v>
      </c>
      <c r="GB64" s="563">
        <v>101.60458816897381</v>
      </c>
      <c r="GC64" s="650">
        <v>2403.9787581440278</v>
      </c>
      <c r="GD64" s="564">
        <v>2340.2661839109601</v>
      </c>
      <c r="GE64" s="565">
        <v>196.0576813551811</v>
      </c>
      <c r="GF64" s="649">
        <v>129.40442400000001</v>
      </c>
      <c r="GG64" s="646">
        <v>439.86127972632204</v>
      </c>
      <c r="GH64" s="646">
        <v>0</v>
      </c>
      <c r="GI64" s="646">
        <v>0</v>
      </c>
      <c r="GJ64" s="646">
        <v>107.85490468496877</v>
      </c>
      <c r="GK64" s="646">
        <v>130.69207697560279</v>
      </c>
      <c r="GL64" s="646">
        <v>1550</v>
      </c>
      <c r="GM64" s="563" t="s">
        <v>1587</v>
      </c>
      <c r="GN64" s="563">
        <v>8</v>
      </c>
      <c r="GO64" s="563">
        <v>0</v>
      </c>
      <c r="GP64" s="563">
        <v>0</v>
      </c>
      <c r="GQ64" s="563">
        <v>0</v>
      </c>
      <c r="GR64" s="650">
        <v>1895.5388307472811</v>
      </c>
      <c r="GS64" s="563">
        <v>0</v>
      </c>
      <c r="GT64" s="563">
        <v>0</v>
      </c>
      <c r="GU64" s="563">
        <v>0</v>
      </c>
      <c r="GV64" s="650">
        <v>2074.3288033161016</v>
      </c>
      <c r="GW64" s="564">
        <v>1895.5388307472811</v>
      </c>
      <c r="GX64" s="565">
        <v>158.80028974052917</v>
      </c>
      <c r="GY64" s="649">
        <v>64.702212000000003</v>
      </c>
      <c r="GZ64" s="646">
        <v>391.85500621864611</v>
      </c>
      <c r="HA64" s="646">
        <v>5.0503631557208815</v>
      </c>
      <c r="HB64" s="646">
        <v>11.645575336603164</v>
      </c>
      <c r="HC64" s="646">
        <v>99.412666033831087</v>
      </c>
      <c r="HD64" s="646">
        <v>111.53826807842889</v>
      </c>
      <c r="HE64" s="646">
        <v>1937.5</v>
      </c>
      <c r="HF64" s="563" t="s">
        <v>1587</v>
      </c>
      <c r="HG64" s="563">
        <v>4</v>
      </c>
      <c r="HH64" s="563">
        <v>1</v>
      </c>
      <c r="HI64" s="563">
        <v>6</v>
      </c>
      <c r="HJ64" s="563">
        <v>81.945005087880276</v>
      </c>
      <c r="HK64" s="650">
        <v>2488.142573999844</v>
      </c>
      <c r="HL64" s="563">
        <v>1</v>
      </c>
      <c r="HM64" s="563">
        <v>6</v>
      </c>
      <c r="HN64" s="563">
        <v>101.60458816897381</v>
      </c>
      <c r="HO64" s="650">
        <v>2639.8034837261193</v>
      </c>
      <c r="HP64" s="564">
        <v>2488.142573999844</v>
      </c>
      <c r="HQ64" s="565">
        <v>208.44614484165089</v>
      </c>
      <c r="HR64" s="649">
        <v>64.702212000000003</v>
      </c>
      <c r="HS64" s="646">
        <v>391.85500621864611</v>
      </c>
      <c r="HT64" s="646">
        <v>5.0503631557208815</v>
      </c>
      <c r="HU64" s="646">
        <v>11.645575336603164</v>
      </c>
      <c r="HV64" s="646">
        <v>99.412666033831087</v>
      </c>
      <c r="HW64" s="646">
        <v>111.53826807842889</v>
      </c>
      <c r="HX64" s="646">
        <v>1550</v>
      </c>
      <c r="HY64" s="563" t="s">
        <v>68</v>
      </c>
      <c r="HZ64" s="563">
        <v>4</v>
      </c>
      <c r="IA64" s="563">
        <v>1</v>
      </c>
      <c r="IB64" s="563">
        <v>6</v>
      </c>
      <c r="IC64" s="563">
        <v>81.945005087880276</v>
      </c>
      <c r="ID64" s="650">
        <v>2194.3354924252371</v>
      </c>
      <c r="IE64" s="563">
        <v>1</v>
      </c>
      <c r="IF64" s="563">
        <v>6</v>
      </c>
      <c r="IG64" s="563">
        <v>101.60458816897381</v>
      </c>
      <c r="IH64" s="650">
        <v>2328.0878426737518</v>
      </c>
      <c r="II64" s="564">
        <v>2194.3354924252371</v>
      </c>
      <c r="IJ64" s="565">
        <v>183.83222033371911</v>
      </c>
      <c r="IK64" s="649">
        <v>64.702212000000003</v>
      </c>
      <c r="IL64" s="646">
        <v>391.85500621864611</v>
      </c>
      <c r="IM64" s="646">
        <v>5.0503631557208815</v>
      </c>
      <c r="IN64" s="646">
        <v>11.645575336603164</v>
      </c>
      <c r="IO64" s="646">
        <v>99.412666033831087</v>
      </c>
      <c r="IP64" s="646">
        <v>111.53826807842889</v>
      </c>
      <c r="IQ64" s="646">
        <v>1937.5</v>
      </c>
      <c r="IR64" s="563" t="s">
        <v>68</v>
      </c>
      <c r="IS64" s="563">
        <v>4</v>
      </c>
      <c r="IT64" s="563">
        <v>1</v>
      </c>
      <c r="IU64" s="563">
        <v>6</v>
      </c>
      <c r="IV64" s="563">
        <v>81.945005087880276</v>
      </c>
      <c r="IW64" s="650">
        <v>2194.3354924252371</v>
      </c>
      <c r="IX64" s="563">
        <v>1</v>
      </c>
      <c r="IY64" s="563">
        <v>6</v>
      </c>
      <c r="IZ64" s="563">
        <v>101.60458816897381</v>
      </c>
      <c r="JA64" s="650">
        <v>2328.0878426737518</v>
      </c>
      <c r="JB64" s="564">
        <v>2194.3354924252371</v>
      </c>
      <c r="JC64" s="565">
        <v>183.83222033371911</v>
      </c>
      <c r="JD64" s="649">
        <v>97.053318000000004</v>
      </c>
      <c r="JE64" s="646">
        <v>407.51017372632202</v>
      </c>
      <c r="JF64" s="646">
        <v>0</v>
      </c>
      <c r="JG64" s="646">
        <v>0</v>
      </c>
      <c r="JH64" s="646">
        <v>103.31831356379043</v>
      </c>
      <c r="JI64" s="646">
        <v>117.25069387474579</v>
      </c>
      <c r="JJ64" s="646">
        <v>1550</v>
      </c>
      <c r="JK64" s="563" t="s">
        <v>67</v>
      </c>
      <c r="JL64" s="563">
        <v>6</v>
      </c>
      <c r="JM64" s="563">
        <v>0</v>
      </c>
      <c r="JN64" s="563">
        <v>0</v>
      </c>
      <c r="JO64" s="563">
        <v>0</v>
      </c>
      <c r="JP64" s="650">
        <v>1817.1512551057026</v>
      </c>
      <c r="JQ64" s="563">
        <v>0</v>
      </c>
      <c r="JR64" s="563">
        <v>0</v>
      </c>
      <c r="JS64" s="563">
        <v>0</v>
      </c>
      <c r="JT64" s="650">
        <v>1923.2701597591076</v>
      </c>
      <c r="JU64" s="564">
        <v>1817.1512551057026</v>
      </c>
      <c r="JV64" s="565">
        <v>152.23330756004125</v>
      </c>
      <c r="JW64" s="649">
        <v>64.702212000000003</v>
      </c>
      <c r="JX64" s="646">
        <v>391.85500621864611</v>
      </c>
      <c r="JY64" s="646">
        <v>5.0503631557208815</v>
      </c>
      <c r="JZ64" s="646">
        <v>11.645575336603164</v>
      </c>
      <c r="KA64" s="646">
        <v>99.412666033831087</v>
      </c>
      <c r="KB64" s="646">
        <v>111.53826807842889</v>
      </c>
      <c r="KC64" s="646">
        <v>1937.5</v>
      </c>
      <c r="KD64" s="563" t="s">
        <v>67</v>
      </c>
      <c r="KE64" s="563">
        <v>4</v>
      </c>
      <c r="KF64" s="563">
        <v>1</v>
      </c>
      <c r="KG64" s="563">
        <v>6</v>
      </c>
      <c r="KH64" s="563">
        <v>81.945005087880276</v>
      </c>
      <c r="KI64" s="650">
        <v>2990.3752104045175</v>
      </c>
      <c r="KJ64" s="563">
        <v>1</v>
      </c>
      <c r="KK64" s="563">
        <v>6</v>
      </c>
      <c r="KL64" s="563">
        <v>101.60458816897381</v>
      </c>
      <c r="KM64" s="650">
        <v>3172.6489392409976</v>
      </c>
      <c r="KN64" s="564">
        <v>2990.3752104045175</v>
      </c>
      <c r="KO64" s="566">
        <v>250.5210877995697</v>
      </c>
    </row>
    <row r="65" spans="1:301" ht="15" customHeight="1">
      <c r="A65" s="663" t="s">
        <v>842</v>
      </c>
      <c r="B65" s="629" t="s">
        <v>392</v>
      </c>
      <c r="C65" s="629">
        <v>1000</v>
      </c>
      <c r="D65" s="629">
        <v>1600</v>
      </c>
      <c r="E65" s="629">
        <v>1000</v>
      </c>
      <c r="F65" s="629">
        <v>814.12091966822868</v>
      </c>
      <c r="G65" s="629">
        <v>616.38278029872845</v>
      </c>
      <c r="H65" s="629">
        <v>531.6352569169195</v>
      </c>
      <c r="I65" s="629">
        <v>500</v>
      </c>
      <c r="J65" s="629">
        <v>22</v>
      </c>
      <c r="K65" s="629">
        <v>32</v>
      </c>
      <c r="L65" s="629">
        <v>12</v>
      </c>
      <c r="M65" s="629">
        <v>687.60210352378431</v>
      </c>
      <c r="N65" s="629">
        <v>6</v>
      </c>
      <c r="O65" s="623">
        <v>57.707915453790903</v>
      </c>
      <c r="P65" s="629">
        <v>6</v>
      </c>
      <c r="Q65" s="623">
        <v>40.802642280305719</v>
      </c>
      <c r="R65" s="629">
        <v>20</v>
      </c>
      <c r="S65" s="629">
        <v>1207.0604598341145</v>
      </c>
      <c r="T65" s="645">
        <v>179.65842223168337</v>
      </c>
      <c r="U65" s="645">
        <v>181.05906897511716</v>
      </c>
      <c r="V65" s="645">
        <v>197.5</v>
      </c>
      <c r="W65" s="793">
        <v>29.938391767201605</v>
      </c>
      <c r="X65" s="646">
        <v>542.74727977881912</v>
      </c>
      <c r="Y65" s="646">
        <v>72.714347655461594</v>
      </c>
      <c r="Z65" s="646">
        <v>6</v>
      </c>
      <c r="AA65" s="646">
        <v>11.281382420064556</v>
      </c>
      <c r="AB65" s="647">
        <v>71.119191578384928</v>
      </c>
      <c r="AC65" s="784">
        <v>1317.9428117667201</v>
      </c>
      <c r="AD65" s="631">
        <v>0.28292532624686551</v>
      </c>
      <c r="AE65" s="631">
        <v>0.40402622583515679</v>
      </c>
      <c r="AF65" s="631">
        <v>-0.5444250636789697</v>
      </c>
      <c r="AG65" s="631">
        <v>0.96134169227786193</v>
      </c>
      <c r="AH65" s="629"/>
      <c r="AI65" s="648">
        <v>14.983935739099458</v>
      </c>
      <c r="AJ65" s="649">
        <v>200.46360225219055</v>
      </c>
      <c r="AK65" s="646">
        <v>533.82067438768706</v>
      </c>
      <c r="AL65" s="646">
        <v>0</v>
      </c>
      <c r="AM65" s="646">
        <v>13.968317982450364</v>
      </c>
      <c r="AN65" s="646">
        <v>173.73618757115216</v>
      </c>
      <c r="AO65" s="646">
        <v>176.48964517064022</v>
      </c>
      <c r="AP65" s="801">
        <v>750</v>
      </c>
      <c r="AQ65" s="563" t="s">
        <v>67</v>
      </c>
      <c r="AR65" s="563">
        <v>6</v>
      </c>
      <c r="AS65" s="563">
        <v>0</v>
      </c>
      <c r="AT65" s="563">
        <v>0</v>
      </c>
      <c r="AU65" s="563">
        <v>0</v>
      </c>
      <c r="AV65" s="650">
        <v>871.95111198402662</v>
      </c>
      <c r="AW65" s="563">
        <v>1</v>
      </c>
      <c r="AX65" s="563">
        <v>8</v>
      </c>
      <c r="AY65" s="563">
        <v>91.093400196131938</v>
      </c>
      <c r="AZ65" s="650">
        <v>1624.7703598929081</v>
      </c>
      <c r="BA65" s="564">
        <v>871.95111198402662</v>
      </c>
      <c r="BB65" s="565">
        <v>73.048405538625829</v>
      </c>
      <c r="BC65" s="649">
        <v>267.28480300292074</v>
      </c>
      <c r="BD65" s="646">
        <v>611.81868935227669</v>
      </c>
      <c r="BE65" s="646">
        <v>7.6847347182468191</v>
      </c>
      <c r="BF65" s="646">
        <v>17.460397478062955</v>
      </c>
      <c r="BG65" s="646">
        <v>185.38495429291635</v>
      </c>
      <c r="BH65" s="646">
        <v>210.40456115424894</v>
      </c>
      <c r="BI65" s="646">
        <v>937.5</v>
      </c>
      <c r="BJ65" s="563" t="s">
        <v>71</v>
      </c>
      <c r="BK65" s="563">
        <v>8</v>
      </c>
      <c r="BL65" s="563">
        <v>1</v>
      </c>
      <c r="BM65" s="563">
        <v>10</v>
      </c>
      <c r="BN65" s="563">
        <v>64.395070406665013</v>
      </c>
      <c r="BO65" s="650">
        <v>1448.321451377881</v>
      </c>
      <c r="BP65" s="563">
        <v>1</v>
      </c>
      <c r="BQ65" s="563">
        <v>10</v>
      </c>
      <c r="BR65" s="563">
        <v>91.093400196131938</v>
      </c>
      <c r="BS65" s="650">
        <v>1292.3492528842014</v>
      </c>
      <c r="BT65" s="564">
        <v>1292.3492528842014</v>
      </c>
      <c r="BU65" s="565">
        <v>108.26759783288706</v>
      </c>
      <c r="BV65" s="649">
        <v>167.05300187682548</v>
      </c>
      <c r="BW65" s="646">
        <v>506.55786178691949</v>
      </c>
      <c r="BX65" s="646">
        <v>6.1477877745974556</v>
      </c>
      <c r="BY65" s="646">
        <v>13.968317982450364</v>
      </c>
      <c r="BZ65" s="646">
        <v>168.7803883302447</v>
      </c>
      <c r="CA65" s="646">
        <v>163.36956515346202</v>
      </c>
      <c r="CB65" s="646">
        <v>750</v>
      </c>
      <c r="CC65" s="563" t="s">
        <v>1584</v>
      </c>
      <c r="CD65" s="563">
        <v>5</v>
      </c>
      <c r="CE65" s="563">
        <v>1</v>
      </c>
      <c r="CF65" s="563">
        <v>8</v>
      </c>
      <c r="CG65" s="563">
        <v>64.395070406665013</v>
      </c>
      <c r="CH65" s="650">
        <v>991.02520094820068</v>
      </c>
      <c r="CI65" s="563">
        <v>1</v>
      </c>
      <c r="CJ65" s="563">
        <v>8</v>
      </c>
      <c r="CK65" s="563">
        <v>91.093400196131938</v>
      </c>
      <c r="CL65" s="650">
        <v>875.24688915813294</v>
      </c>
      <c r="CM65" s="564">
        <v>875.24688915813294</v>
      </c>
      <c r="CN65" s="565">
        <v>73.324511921506939</v>
      </c>
      <c r="CO65" s="649">
        <v>267.28480300292074</v>
      </c>
      <c r="CP65" s="646">
        <v>611.81868935227669</v>
      </c>
      <c r="CQ65" s="646">
        <v>7.6847347182468191</v>
      </c>
      <c r="CR65" s="646">
        <v>17.460397478062955</v>
      </c>
      <c r="CS65" s="646">
        <v>185.38495429291635</v>
      </c>
      <c r="CT65" s="646">
        <v>210.40456115424894</v>
      </c>
      <c r="CU65" s="646">
        <v>937.5</v>
      </c>
      <c r="CV65" s="563" t="s">
        <v>1584</v>
      </c>
      <c r="CW65" s="563">
        <v>8</v>
      </c>
      <c r="CX65" s="563">
        <v>1</v>
      </c>
      <c r="CY65" s="563">
        <v>10</v>
      </c>
      <c r="CZ65" s="563">
        <v>64.395070406665013</v>
      </c>
      <c r="DA65" s="650">
        <v>1419.0594157611861</v>
      </c>
      <c r="DB65" s="563">
        <v>1</v>
      </c>
      <c r="DC65" s="563">
        <v>10</v>
      </c>
      <c r="DD65" s="563">
        <v>91.093400196131938</v>
      </c>
      <c r="DE65" s="650">
        <v>1266.2384956133421</v>
      </c>
      <c r="DF65" s="564">
        <v>1266.2384956133421</v>
      </c>
      <c r="DG65" s="565">
        <v>106.08014814697246</v>
      </c>
      <c r="DH65" s="649">
        <v>167.05300187682548</v>
      </c>
      <c r="DI65" s="646">
        <v>506.55786178691949</v>
      </c>
      <c r="DJ65" s="646">
        <v>6.1477877745974556</v>
      </c>
      <c r="DK65" s="646">
        <v>13.968317982450364</v>
      </c>
      <c r="DL65" s="646">
        <v>168.7803883302447</v>
      </c>
      <c r="DM65" s="646">
        <v>163.36956515346202</v>
      </c>
      <c r="DN65" s="646">
        <v>750</v>
      </c>
      <c r="DO65" s="563" t="s">
        <v>1588</v>
      </c>
      <c r="DP65" s="563">
        <v>5</v>
      </c>
      <c r="DQ65" s="563">
        <v>1</v>
      </c>
      <c r="DR65" s="563">
        <v>8</v>
      </c>
      <c r="DS65" s="563">
        <v>64.395070406665013</v>
      </c>
      <c r="DT65" s="650">
        <v>1031.4917327139806</v>
      </c>
      <c r="DU65" s="563">
        <v>1</v>
      </c>
      <c r="DV65" s="563">
        <v>8</v>
      </c>
      <c r="DW65" s="563">
        <v>91.093400196131938</v>
      </c>
      <c r="DX65" s="650">
        <v>910.98584514949414</v>
      </c>
      <c r="DY65" s="564">
        <v>910.98584514949414</v>
      </c>
      <c r="DZ65" s="565">
        <v>76.318571697225053</v>
      </c>
      <c r="EA65" s="649">
        <v>267.28480300292074</v>
      </c>
      <c r="EB65" s="646">
        <v>611.81868935227669</v>
      </c>
      <c r="EC65" s="646">
        <v>7.6847347182468191</v>
      </c>
      <c r="ED65" s="646">
        <v>17.460397478062955</v>
      </c>
      <c r="EE65" s="646">
        <v>185.38495429291635</v>
      </c>
      <c r="EF65" s="646">
        <v>210.40456115424894</v>
      </c>
      <c r="EG65" s="646">
        <v>937.5</v>
      </c>
      <c r="EH65" s="563" t="s">
        <v>1588</v>
      </c>
      <c r="EI65" s="563">
        <v>8</v>
      </c>
      <c r="EJ65" s="563">
        <v>1</v>
      </c>
      <c r="EK65" s="563">
        <v>10</v>
      </c>
      <c r="EL65" s="563">
        <v>64.395070406665013</v>
      </c>
      <c r="EM65" s="650">
        <v>1477.0038685061934</v>
      </c>
      <c r="EN65" s="563">
        <v>1</v>
      </c>
      <c r="EO65" s="563">
        <v>10</v>
      </c>
      <c r="EP65" s="563">
        <v>91.093400196131938</v>
      </c>
      <c r="EQ65" s="650">
        <v>1317.9428117667201</v>
      </c>
      <c r="ER65" s="564">
        <v>1317.9428117667201</v>
      </c>
      <c r="ES65" s="565">
        <v>110.41171880794143</v>
      </c>
      <c r="ET65" s="649">
        <v>267.28480300292074</v>
      </c>
      <c r="EU65" s="646">
        <v>604.13395463402992</v>
      </c>
      <c r="EV65" s="646">
        <v>0</v>
      </c>
      <c r="EW65" s="646">
        <v>17.460397478062955</v>
      </c>
      <c r="EX65" s="646">
        <v>184.36183059841085</v>
      </c>
      <c r="EY65" s="646">
        <v>208.22001471692485</v>
      </c>
      <c r="EZ65" s="646">
        <v>750</v>
      </c>
      <c r="FA65" s="563" t="s">
        <v>1587</v>
      </c>
      <c r="FB65" s="563">
        <v>8</v>
      </c>
      <c r="FC65" s="563">
        <v>0</v>
      </c>
      <c r="FD65" s="563">
        <v>0</v>
      </c>
      <c r="FE65" s="563">
        <v>0</v>
      </c>
      <c r="FF65" s="650">
        <v>873.41472440895268</v>
      </c>
      <c r="FG65" s="563">
        <v>1</v>
      </c>
      <c r="FH65" s="563">
        <v>10</v>
      </c>
      <c r="FI65" s="563">
        <v>91.093400196131938</v>
      </c>
      <c r="FJ65" s="650">
        <v>1733.8684680721447</v>
      </c>
      <c r="FK65" s="564">
        <v>873.41472440895268</v>
      </c>
      <c r="FL65" s="565">
        <v>73.171020846408524</v>
      </c>
      <c r="FM65" s="649">
        <v>200.46360225219055</v>
      </c>
      <c r="FN65" s="646">
        <v>539.96846216228448</v>
      </c>
      <c r="FO65" s="646">
        <v>6.1477877745974556</v>
      </c>
      <c r="FP65" s="646">
        <v>13.968317982450364</v>
      </c>
      <c r="FQ65" s="646">
        <v>174.78457686834815</v>
      </c>
      <c r="FR65" s="646">
        <v>178.2372823204995</v>
      </c>
      <c r="FS65" s="646">
        <v>937.5</v>
      </c>
      <c r="FT65" s="563" t="s">
        <v>1589</v>
      </c>
      <c r="FU65" s="563">
        <v>6</v>
      </c>
      <c r="FV65" s="563">
        <v>1</v>
      </c>
      <c r="FW65" s="563">
        <v>8</v>
      </c>
      <c r="FX65" s="563">
        <v>64.395070406665013</v>
      </c>
      <c r="FY65" s="650">
        <v>1236.8597257279278</v>
      </c>
      <c r="FZ65" s="563">
        <v>1</v>
      </c>
      <c r="GA65" s="563">
        <v>8</v>
      </c>
      <c r="GB65" s="563">
        <v>91.093400196131938</v>
      </c>
      <c r="GC65" s="650">
        <v>1094.5769981027065</v>
      </c>
      <c r="GD65" s="564">
        <v>1094.5769981027065</v>
      </c>
      <c r="GE65" s="565">
        <v>91.699068160742172</v>
      </c>
      <c r="GF65" s="649">
        <v>267.28480300292074</v>
      </c>
      <c r="GG65" s="646">
        <v>604.13395463402992</v>
      </c>
      <c r="GH65" s="646">
        <v>0</v>
      </c>
      <c r="GI65" s="646">
        <v>17.460397478062955</v>
      </c>
      <c r="GJ65" s="646">
        <v>184.36183059841085</v>
      </c>
      <c r="GK65" s="646">
        <v>208.22001471692485</v>
      </c>
      <c r="GL65" s="646">
        <v>750</v>
      </c>
      <c r="GM65" s="563" t="s">
        <v>1587</v>
      </c>
      <c r="GN65" s="563">
        <v>8</v>
      </c>
      <c r="GO65" s="563">
        <v>0</v>
      </c>
      <c r="GP65" s="563">
        <v>0</v>
      </c>
      <c r="GQ65" s="563">
        <v>0</v>
      </c>
      <c r="GR65" s="650">
        <v>873.41472440895268</v>
      </c>
      <c r="GS65" s="563">
        <v>1</v>
      </c>
      <c r="GT65" s="563">
        <v>10</v>
      </c>
      <c r="GU65" s="563">
        <v>91.093400196131938</v>
      </c>
      <c r="GV65" s="650">
        <v>1733.8684680721447</v>
      </c>
      <c r="GW65" s="564">
        <v>873.41472440895268</v>
      </c>
      <c r="GX65" s="565">
        <v>73.171020846408524</v>
      </c>
      <c r="GY65" s="649">
        <v>133.64240150146037</v>
      </c>
      <c r="GZ65" s="646">
        <v>468.11823497229244</v>
      </c>
      <c r="HA65" s="646">
        <v>4.6108408309480922</v>
      </c>
      <c r="HB65" s="646">
        <v>10.476238486837772</v>
      </c>
      <c r="HC65" s="646">
        <v>160.9301517722553</v>
      </c>
      <c r="HD65" s="646">
        <v>146.07000348674995</v>
      </c>
      <c r="HE65" s="646">
        <v>937.5</v>
      </c>
      <c r="HF65" s="563" t="s">
        <v>1587</v>
      </c>
      <c r="HG65" s="563">
        <v>4</v>
      </c>
      <c r="HH65" s="563">
        <v>1</v>
      </c>
      <c r="HI65" s="563">
        <v>6</v>
      </c>
      <c r="HJ65" s="563">
        <v>64.395070406665013</v>
      </c>
      <c r="HK65" s="650">
        <v>1189.8308632677922</v>
      </c>
      <c r="HL65" s="563">
        <v>1</v>
      </c>
      <c r="HM65" s="563">
        <v>6</v>
      </c>
      <c r="HN65" s="563">
        <v>91.093400196131938</v>
      </c>
      <c r="HO65" s="650">
        <v>1049.3517768525401</v>
      </c>
      <c r="HP65" s="564">
        <v>1049.3517768525401</v>
      </c>
      <c r="HQ65" s="565">
        <v>87.91028888510229</v>
      </c>
      <c r="HR65" s="649">
        <v>133.64240150146037</v>
      </c>
      <c r="HS65" s="646">
        <v>468.11823497229244</v>
      </c>
      <c r="HT65" s="646">
        <v>4.6108408309480922</v>
      </c>
      <c r="HU65" s="646">
        <v>10.476238486837772</v>
      </c>
      <c r="HV65" s="646">
        <v>160.9301517722553</v>
      </c>
      <c r="HW65" s="646">
        <v>146.07000348674995</v>
      </c>
      <c r="HX65" s="646">
        <v>750</v>
      </c>
      <c r="HY65" s="563" t="s">
        <v>68</v>
      </c>
      <c r="HZ65" s="563">
        <v>4</v>
      </c>
      <c r="IA65" s="563">
        <v>1</v>
      </c>
      <c r="IB65" s="563">
        <v>6</v>
      </c>
      <c r="IC65" s="563">
        <v>64.395070406665013</v>
      </c>
      <c r="ID65" s="650">
        <v>1049.3321888119583</v>
      </c>
      <c r="IE65" s="563">
        <v>1</v>
      </c>
      <c r="IF65" s="563">
        <v>6</v>
      </c>
      <c r="IG65" s="563">
        <v>91.093400196131938</v>
      </c>
      <c r="IH65" s="650">
        <v>925.44127979185498</v>
      </c>
      <c r="II65" s="564">
        <v>925.44127979185498</v>
      </c>
      <c r="IJ65" s="565">
        <v>77.529587357942077</v>
      </c>
      <c r="IK65" s="649">
        <v>167.05300187682548</v>
      </c>
      <c r="IL65" s="646">
        <v>506.55786178691949</v>
      </c>
      <c r="IM65" s="646">
        <v>6.1477877745974556</v>
      </c>
      <c r="IN65" s="646">
        <v>13.968317982450364</v>
      </c>
      <c r="IO65" s="646">
        <v>168.7803883302447</v>
      </c>
      <c r="IP65" s="646">
        <v>163.36956515346202</v>
      </c>
      <c r="IQ65" s="646">
        <v>937.5</v>
      </c>
      <c r="IR65" s="563" t="s">
        <v>68</v>
      </c>
      <c r="IS65" s="563">
        <v>5</v>
      </c>
      <c r="IT65" s="563">
        <v>1</v>
      </c>
      <c r="IU65" s="563">
        <v>8</v>
      </c>
      <c r="IV65" s="563">
        <v>64.395070406665013</v>
      </c>
      <c r="IW65" s="650">
        <v>1196.7766293257059</v>
      </c>
      <c r="IX65" s="563">
        <v>1</v>
      </c>
      <c r="IY65" s="563">
        <v>8</v>
      </c>
      <c r="IZ65" s="563">
        <v>91.093400196131938</v>
      </c>
      <c r="JA65" s="650">
        <v>1056.9610347267342</v>
      </c>
      <c r="JB65" s="564">
        <v>1056.9610347267342</v>
      </c>
      <c r="JC65" s="565">
        <v>88.547760582084649</v>
      </c>
      <c r="JD65" s="649">
        <v>200.46360225219055</v>
      </c>
      <c r="JE65" s="646">
        <v>533.82067438768706</v>
      </c>
      <c r="JF65" s="646">
        <v>0</v>
      </c>
      <c r="JG65" s="646">
        <v>13.968317982450364</v>
      </c>
      <c r="JH65" s="646">
        <v>173.73618757115216</v>
      </c>
      <c r="JI65" s="646">
        <v>176.48964517064022</v>
      </c>
      <c r="JJ65" s="646">
        <v>750</v>
      </c>
      <c r="JK65" s="563" t="s">
        <v>67</v>
      </c>
      <c r="JL65" s="563">
        <v>6</v>
      </c>
      <c r="JM65" s="563">
        <v>0</v>
      </c>
      <c r="JN65" s="563">
        <v>0</v>
      </c>
      <c r="JO65" s="563">
        <v>0</v>
      </c>
      <c r="JP65" s="650">
        <v>871.95111198402662</v>
      </c>
      <c r="JQ65" s="563">
        <v>1</v>
      </c>
      <c r="JR65" s="563">
        <v>8</v>
      </c>
      <c r="JS65" s="563">
        <v>91.093400196131938</v>
      </c>
      <c r="JT65" s="650">
        <v>1624.7703598929081</v>
      </c>
      <c r="JU65" s="564">
        <v>871.95111198402662</v>
      </c>
      <c r="JV65" s="565">
        <v>73.048405538625829</v>
      </c>
      <c r="JW65" s="649">
        <v>133.64240150146037</v>
      </c>
      <c r="JX65" s="646">
        <v>468.11823497229244</v>
      </c>
      <c r="JY65" s="646">
        <v>4.6108408309480922</v>
      </c>
      <c r="JZ65" s="646">
        <v>10.476238486837772</v>
      </c>
      <c r="KA65" s="646">
        <v>160.9301517722553</v>
      </c>
      <c r="KB65" s="646">
        <v>146.07000348674995</v>
      </c>
      <c r="KC65" s="646">
        <v>937.5</v>
      </c>
      <c r="KD65" s="563" t="s">
        <v>67</v>
      </c>
      <c r="KE65" s="563">
        <v>4</v>
      </c>
      <c r="KF65" s="563">
        <v>1</v>
      </c>
      <c r="KG65" s="563">
        <v>6</v>
      </c>
      <c r="KH65" s="563">
        <v>64.395070406665013</v>
      </c>
      <c r="KI65" s="650">
        <v>1429.9987288805357</v>
      </c>
      <c r="KJ65" s="563">
        <v>1</v>
      </c>
      <c r="KK65" s="563">
        <v>6</v>
      </c>
      <c r="KL65" s="563">
        <v>91.093400196131938</v>
      </c>
      <c r="KM65" s="650">
        <v>1261.1638791470264</v>
      </c>
      <c r="KN65" s="564">
        <v>1261.1638791470264</v>
      </c>
      <c r="KO65" s="566">
        <v>105.65501807202943</v>
      </c>
    </row>
    <row r="66" spans="1:301" ht="15" customHeight="1">
      <c r="A66" s="663" t="s">
        <v>843</v>
      </c>
      <c r="B66" s="629" t="s">
        <v>387</v>
      </c>
      <c r="C66" s="629">
        <v>574</v>
      </c>
      <c r="D66" s="629">
        <v>1800</v>
      </c>
      <c r="E66" s="629">
        <v>560</v>
      </c>
      <c r="F66" s="629">
        <v>490.33251091043707</v>
      </c>
      <c r="G66" s="629">
        <v>1269</v>
      </c>
      <c r="H66" s="629">
        <v>212</v>
      </c>
      <c r="I66" s="629">
        <v>150</v>
      </c>
      <c r="J66" s="629">
        <v>33.54</v>
      </c>
      <c r="K66" s="629">
        <v>51.28</v>
      </c>
      <c r="L66" s="629">
        <v>12</v>
      </c>
      <c r="M66" s="629">
        <v>801</v>
      </c>
      <c r="N66" s="629">
        <v>6</v>
      </c>
      <c r="O66" s="623">
        <v>108.2541306307524</v>
      </c>
      <c r="P66" s="629">
        <v>6</v>
      </c>
      <c r="Q66" s="623">
        <v>71.343047289553539</v>
      </c>
      <c r="R66" s="629">
        <v>22</v>
      </c>
      <c r="S66" s="629">
        <v>1145.1662554552183</v>
      </c>
      <c r="T66" s="645">
        <v>177.8767981376858</v>
      </c>
      <c r="U66" s="645">
        <v>171.77493831828275</v>
      </c>
      <c r="V66" s="645">
        <v>122.5</v>
      </c>
      <c r="W66" s="793">
        <v>16.713849711374877</v>
      </c>
      <c r="X66" s="646">
        <v>326.88834060695802</v>
      </c>
      <c r="Y66" s="646">
        <v>43.794733440392086</v>
      </c>
      <c r="Z66" s="646">
        <v>6</v>
      </c>
      <c r="AA66" s="646">
        <v>4.0922849968432455</v>
      </c>
      <c r="AB66" s="647">
        <v>116.31299995702065</v>
      </c>
      <c r="AC66" s="784">
        <v>3846.2967251603168</v>
      </c>
      <c r="AD66" s="631">
        <v>0.27039974210523143</v>
      </c>
      <c r="AE66" s="631">
        <v>0.66289000345508231</v>
      </c>
      <c r="AF66" s="631">
        <v>-0.24179085331954864</v>
      </c>
      <c r="AG66" s="631">
        <v>1.3792546687592264</v>
      </c>
      <c r="AH66" s="629"/>
      <c r="AI66" s="648">
        <v>13.140764507063857</v>
      </c>
      <c r="AJ66" s="649">
        <v>81.943261200000009</v>
      </c>
      <c r="AK66" s="646">
        <v>490.93067999536373</v>
      </c>
      <c r="AL66" s="646">
        <v>0</v>
      </c>
      <c r="AM66" s="646">
        <v>30.707308029153811</v>
      </c>
      <c r="AN66" s="646">
        <v>75.821126039549853</v>
      </c>
      <c r="AO66" s="646">
        <v>174.79866696499664</v>
      </c>
      <c r="AP66" s="801">
        <v>3050</v>
      </c>
      <c r="AQ66" s="563" t="s">
        <v>67</v>
      </c>
      <c r="AR66" s="563">
        <v>6</v>
      </c>
      <c r="AS66" s="563">
        <v>0</v>
      </c>
      <c r="AT66" s="563">
        <v>0</v>
      </c>
      <c r="AU66" s="563">
        <v>0</v>
      </c>
      <c r="AV66" s="650">
        <v>3475.3777176300669</v>
      </c>
      <c r="AW66" s="563">
        <v>1</v>
      </c>
      <c r="AX66" s="563">
        <v>8</v>
      </c>
      <c r="AY66" s="563">
        <v>182.15445069194308</v>
      </c>
      <c r="AZ66" s="650">
        <v>3569.2301383283602</v>
      </c>
      <c r="BA66" s="564">
        <v>3475.3777176300669</v>
      </c>
      <c r="BB66" s="565">
        <v>327.5466331846884</v>
      </c>
      <c r="BC66" s="649">
        <v>54.628840800000006</v>
      </c>
      <c r="BD66" s="646">
        <v>-3400.6420337890631</v>
      </c>
      <c r="BE66" s="646">
        <v>4.8625182889529901</v>
      </c>
      <c r="BF66" s="646">
        <v>-3838.4135036442262</v>
      </c>
      <c r="BG66" s="646">
        <v>75.086128736154578</v>
      </c>
      <c r="BH66" s="646">
        <v>-2400.6448339927615</v>
      </c>
      <c r="BI66" s="646">
        <v>3600</v>
      </c>
      <c r="BJ66" s="563" t="s">
        <v>67</v>
      </c>
      <c r="BK66" s="563">
        <v>4</v>
      </c>
      <c r="BL66" s="563">
        <v>1</v>
      </c>
      <c r="BM66" s="563">
        <v>6</v>
      </c>
      <c r="BN66" s="563">
        <v>128.99543103309097</v>
      </c>
      <c r="BO66" s="650">
        <v>5742.521163223777</v>
      </c>
      <c r="BP66" s="563">
        <v>1</v>
      </c>
      <c r="BQ66" s="563">
        <v>-1000</v>
      </c>
      <c r="BR66" s="563">
        <v>182.15445069194308</v>
      </c>
      <c r="BS66" s="650">
        <v>-1</v>
      </c>
      <c r="BT66" s="564">
        <v>-1</v>
      </c>
      <c r="BU66" s="565">
        <v>-9.4247779607693788E-2</v>
      </c>
      <c r="BV66" s="649">
        <v>54.628840800000006</v>
      </c>
      <c r="BW66" s="646">
        <v>-3400.6420337890631</v>
      </c>
      <c r="BX66" s="646">
        <v>4.8625182889529901</v>
      </c>
      <c r="BY66" s="646">
        <v>-3838.4135036442262</v>
      </c>
      <c r="BZ66" s="646">
        <v>75.086128736154578</v>
      </c>
      <c r="CA66" s="646">
        <v>-2400.6448339927615</v>
      </c>
      <c r="CB66" s="646">
        <v>3050</v>
      </c>
      <c r="CC66" s="563" t="s">
        <v>1588</v>
      </c>
      <c r="CD66" s="563">
        <v>4</v>
      </c>
      <c r="CE66" s="563">
        <v>1</v>
      </c>
      <c r="CF66" s="563">
        <v>6</v>
      </c>
      <c r="CG66" s="563">
        <v>128.99543103309097</v>
      </c>
      <c r="CH66" s="650">
        <v>3631.8892775013369</v>
      </c>
      <c r="CI66" s="563">
        <v>1</v>
      </c>
      <c r="CJ66" s="563">
        <v>-1000</v>
      </c>
      <c r="CK66" s="563">
        <v>182.15445069194308</v>
      </c>
      <c r="CL66" s="650">
        <v>-1</v>
      </c>
      <c r="CM66" s="564">
        <v>-1</v>
      </c>
      <c r="CN66" s="565">
        <v>-9.4247779607693788E-2</v>
      </c>
      <c r="CO66" s="649">
        <v>68.286051000000015</v>
      </c>
      <c r="CP66" s="646">
        <v>-3385.3639841594122</v>
      </c>
      <c r="CQ66" s="646">
        <v>6.4833577186039868</v>
      </c>
      <c r="CR66" s="646">
        <v>-3838.4135036442262</v>
      </c>
      <c r="CS66" s="646">
        <v>74.946615330321805</v>
      </c>
      <c r="CT66" s="646">
        <v>-2394.3442001133171</v>
      </c>
      <c r="CU66" s="646">
        <v>3600</v>
      </c>
      <c r="CV66" s="563" t="s">
        <v>1588</v>
      </c>
      <c r="CW66" s="563">
        <v>5</v>
      </c>
      <c r="CX66" s="563">
        <v>1</v>
      </c>
      <c r="CY66" s="563">
        <v>8</v>
      </c>
      <c r="CZ66" s="563">
        <v>128.99543103309097</v>
      </c>
      <c r="DA66" s="650">
        <v>4326.7935591061078</v>
      </c>
      <c r="DB66" s="563">
        <v>1</v>
      </c>
      <c r="DC66" s="563">
        <v>-1000</v>
      </c>
      <c r="DD66" s="563">
        <v>182.15445069194308</v>
      </c>
      <c r="DE66" s="650">
        <v>-1</v>
      </c>
      <c r="DF66" s="564">
        <v>-1</v>
      </c>
      <c r="DG66" s="565">
        <v>-9.4247779607693788E-2</v>
      </c>
      <c r="DH66" s="649">
        <v>54.628840800000006</v>
      </c>
      <c r="DI66" s="646">
        <v>-3400.6420337890631</v>
      </c>
      <c r="DJ66" s="646">
        <v>4.8625182889529901</v>
      </c>
      <c r="DK66" s="646">
        <v>-3838.4135036442262</v>
      </c>
      <c r="DL66" s="646">
        <v>75.086128736154578</v>
      </c>
      <c r="DM66" s="646">
        <v>-2400.6448339927615</v>
      </c>
      <c r="DN66" s="646">
        <v>3050</v>
      </c>
      <c r="DO66" s="563" t="s">
        <v>1589</v>
      </c>
      <c r="DP66" s="563">
        <v>4</v>
      </c>
      <c r="DQ66" s="563">
        <v>1</v>
      </c>
      <c r="DR66" s="563">
        <v>6</v>
      </c>
      <c r="DS66" s="563">
        <v>128.99543103309097</v>
      </c>
      <c r="DT66" s="650">
        <v>3868.6276728957318</v>
      </c>
      <c r="DU66" s="563">
        <v>1</v>
      </c>
      <c r="DV66" s="563">
        <v>-1000</v>
      </c>
      <c r="DW66" s="563">
        <v>182.15445069194308</v>
      </c>
      <c r="DX66" s="650">
        <v>-1</v>
      </c>
      <c r="DY66" s="564">
        <v>-1</v>
      </c>
      <c r="DZ66" s="565">
        <v>-9.4247779607693788E-2</v>
      </c>
      <c r="EA66" s="649">
        <v>68.286051000000015</v>
      </c>
      <c r="EB66" s="646">
        <v>-3385.3639841594122</v>
      </c>
      <c r="EC66" s="646">
        <v>6.4833577186039868</v>
      </c>
      <c r="ED66" s="646">
        <v>-3838.4135036442262</v>
      </c>
      <c r="EE66" s="646">
        <v>74.946615330321805</v>
      </c>
      <c r="EF66" s="646">
        <v>-2394.3442001133171</v>
      </c>
      <c r="EG66" s="646">
        <v>3600</v>
      </c>
      <c r="EH66" s="563" t="s">
        <v>1589</v>
      </c>
      <c r="EI66" s="563">
        <v>5</v>
      </c>
      <c r="EJ66" s="563">
        <v>1</v>
      </c>
      <c r="EK66" s="563">
        <v>8</v>
      </c>
      <c r="EL66" s="563">
        <v>128.99543103309097</v>
      </c>
      <c r="EM66" s="650">
        <v>4608.8280833221907</v>
      </c>
      <c r="EN66" s="563">
        <v>1</v>
      </c>
      <c r="EO66" s="563">
        <v>-1000</v>
      </c>
      <c r="EP66" s="563">
        <v>182.15445069194308</v>
      </c>
      <c r="EQ66" s="650">
        <v>-1</v>
      </c>
      <c r="ER66" s="564">
        <v>-1</v>
      </c>
      <c r="ES66" s="565">
        <v>-9.4247779607693788E-2</v>
      </c>
      <c r="ET66" s="649">
        <v>109.25768160000001</v>
      </c>
      <c r="EU66" s="646">
        <v>487.53779236620994</v>
      </c>
      <c r="EV66" s="646">
        <v>0</v>
      </c>
      <c r="EW66" s="646">
        <v>0</v>
      </c>
      <c r="EX66" s="646">
        <v>77.563622793818809</v>
      </c>
      <c r="EY66" s="646">
        <v>166.63770602893121</v>
      </c>
      <c r="EZ66" s="646">
        <v>3050</v>
      </c>
      <c r="FA66" s="563" t="s">
        <v>1587</v>
      </c>
      <c r="FB66" s="563">
        <v>8</v>
      </c>
      <c r="FC66" s="563">
        <v>0</v>
      </c>
      <c r="FD66" s="563">
        <v>0</v>
      </c>
      <c r="FE66" s="563">
        <v>0</v>
      </c>
      <c r="FF66" s="650">
        <v>3846.2967251603168</v>
      </c>
      <c r="FG66" s="563">
        <v>0</v>
      </c>
      <c r="FH66" s="563">
        <v>0</v>
      </c>
      <c r="FI66" s="563">
        <v>0</v>
      </c>
      <c r="FJ66" s="650">
        <v>3901.940240322122</v>
      </c>
      <c r="FK66" s="564">
        <v>3846.2967251603168</v>
      </c>
      <c r="FL66" s="565">
        <v>362.50492605870392</v>
      </c>
      <c r="FM66" s="649">
        <v>109.25768160000001</v>
      </c>
      <c r="FN66" s="646">
        <v>487.53779236620994</v>
      </c>
      <c r="FO66" s="646">
        <v>0</v>
      </c>
      <c r="FP66" s="646">
        <v>0</v>
      </c>
      <c r="FQ66" s="646">
        <v>77.563622793818809</v>
      </c>
      <c r="FR66" s="646">
        <v>166.63770602893121</v>
      </c>
      <c r="FS66" s="646">
        <v>3600</v>
      </c>
      <c r="FT66" s="563" t="s">
        <v>1587</v>
      </c>
      <c r="FU66" s="563">
        <v>8</v>
      </c>
      <c r="FV66" s="563">
        <v>0</v>
      </c>
      <c r="FW66" s="563">
        <v>0</v>
      </c>
      <c r="FX66" s="563">
        <v>0</v>
      </c>
      <c r="FY66" s="650">
        <v>3846.2967251603168</v>
      </c>
      <c r="FZ66" s="563">
        <v>0</v>
      </c>
      <c r="GA66" s="563">
        <v>0</v>
      </c>
      <c r="GB66" s="563">
        <v>0</v>
      </c>
      <c r="GC66" s="650">
        <v>3901.940240322122</v>
      </c>
      <c r="GD66" s="564">
        <v>3846.2967251603168</v>
      </c>
      <c r="GE66" s="565">
        <v>362.50492605870392</v>
      </c>
      <c r="GF66" s="649">
        <v>109.25768160000001</v>
      </c>
      <c r="GG66" s="646">
        <v>487.53779236620994</v>
      </c>
      <c r="GH66" s="646">
        <v>0</v>
      </c>
      <c r="GI66" s="646">
        <v>0</v>
      </c>
      <c r="GJ66" s="646">
        <v>77.563622793818809</v>
      </c>
      <c r="GK66" s="646">
        <v>166.63770602893121</v>
      </c>
      <c r="GL66" s="646">
        <v>3050</v>
      </c>
      <c r="GM66" s="563" t="s">
        <v>1587</v>
      </c>
      <c r="GN66" s="563">
        <v>8</v>
      </c>
      <c r="GO66" s="563">
        <v>0</v>
      </c>
      <c r="GP66" s="563">
        <v>0</v>
      </c>
      <c r="GQ66" s="563">
        <v>0</v>
      </c>
      <c r="GR66" s="650">
        <v>3846.2967251603168</v>
      </c>
      <c r="GS66" s="563">
        <v>0</v>
      </c>
      <c r="GT66" s="563">
        <v>0</v>
      </c>
      <c r="GU66" s="563">
        <v>0</v>
      </c>
      <c r="GV66" s="650">
        <v>3901.940240322122</v>
      </c>
      <c r="GW66" s="564">
        <v>3846.2967251603168</v>
      </c>
      <c r="GX66" s="565">
        <v>362.50492605870392</v>
      </c>
      <c r="GY66" s="649">
        <v>109.25768160000001</v>
      </c>
      <c r="GZ66" s="646">
        <v>487.53779236620994</v>
      </c>
      <c r="HA66" s="646">
        <v>0</v>
      </c>
      <c r="HB66" s="646">
        <v>0</v>
      </c>
      <c r="HC66" s="646">
        <v>77.563622793818809</v>
      </c>
      <c r="HD66" s="646">
        <v>166.63770602893121</v>
      </c>
      <c r="HE66" s="646">
        <v>3600</v>
      </c>
      <c r="HF66" s="563" t="s">
        <v>1587</v>
      </c>
      <c r="HG66" s="563">
        <v>8</v>
      </c>
      <c r="HH66" s="563">
        <v>0</v>
      </c>
      <c r="HI66" s="563">
        <v>0</v>
      </c>
      <c r="HJ66" s="563">
        <v>0</v>
      </c>
      <c r="HK66" s="650">
        <v>3846.2967251603168</v>
      </c>
      <c r="HL66" s="563">
        <v>0</v>
      </c>
      <c r="HM66" s="563">
        <v>0</v>
      </c>
      <c r="HN66" s="563">
        <v>0</v>
      </c>
      <c r="HO66" s="650">
        <v>3901.940240322122</v>
      </c>
      <c r="HP66" s="564">
        <v>3846.2967251603168</v>
      </c>
      <c r="HQ66" s="565">
        <v>362.50492605870392</v>
      </c>
      <c r="HR66" s="649">
        <v>54.628840800000006</v>
      </c>
      <c r="HS66" s="646">
        <v>-3400.6420337890631</v>
      </c>
      <c r="HT66" s="646">
        <v>4.8625182889529901</v>
      </c>
      <c r="HU66" s="646">
        <v>-3838.4135036442262</v>
      </c>
      <c r="HV66" s="646">
        <v>75.086128736154578</v>
      </c>
      <c r="HW66" s="646">
        <v>-2400.6448339927615</v>
      </c>
      <c r="HX66" s="646">
        <v>3050</v>
      </c>
      <c r="HY66" s="563" t="s">
        <v>68</v>
      </c>
      <c r="HZ66" s="563">
        <v>4</v>
      </c>
      <c r="IA66" s="563">
        <v>1</v>
      </c>
      <c r="IB66" s="563">
        <v>6</v>
      </c>
      <c r="IC66" s="563">
        <v>128.99543103309097</v>
      </c>
      <c r="ID66" s="650">
        <v>4213.8585019735374</v>
      </c>
      <c r="IE66" s="563">
        <v>1</v>
      </c>
      <c r="IF66" s="563">
        <v>-1000</v>
      </c>
      <c r="IG66" s="563">
        <v>182.15445069194308</v>
      </c>
      <c r="IH66" s="650">
        <v>-1</v>
      </c>
      <c r="II66" s="564">
        <v>-1</v>
      </c>
      <c r="IJ66" s="565">
        <v>-9.4247779607693788E-2</v>
      </c>
      <c r="IK66" s="649">
        <v>68.286051000000015</v>
      </c>
      <c r="IL66" s="646">
        <v>-3385.3639841594122</v>
      </c>
      <c r="IM66" s="646">
        <v>6.4833577186039868</v>
      </c>
      <c r="IN66" s="646">
        <v>-3838.4135036442262</v>
      </c>
      <c r="IO66" s="646">
        <v>74.946615330321805</v>
      </c>
      <c r="IP66" s="646">
        <v>-2394.3442001133171</v>
      </c>
      <c r="IQ66" s="646">
        <v>3600</v>
      </c>
      <c r="IR66" s="563" t="s">
        <v>68</v>
      </c>
      <c r="IS66" s="563">
        <v>5</v>
      </c>
      <c r="IT66" s="563">
        <v>1</v>
      </c>
      <c r="IU66" s="563">
        <v>8</v>
      </c>
      <c r="IV66" s="563">
        <v>128.99543103309097</v>
      </c>
      <c r="IW66" s="650">
        <v>5020.1133438371744</v>
      </c>
      <c r="IX66" s="563">
        <v>1</v>
      </c>
      <c r="IY66" s="563">
        <v>-1000</v>
      </c>
      <c r="IZ66" s="563">
        <v>182.15445069194308</v>
      </c>
      <c r="JA66" s="650">
        <v>-1</v>
      </c>
      <c r="JB66" s="564">
        <v>-1</v>
      </c>
      <c r="JC66" s="565">
        <v>-9.4247779607693788E-2</v>
      </c>
      <c r="JD66" s="649">
        <v>81.943261200000009</v>
      </c>
      <c r="JE66" s="646">
        <v>490.93067999536373</v>
      </c>
      <c r="JF66" s="646">
        <v>0</v>
      </c>
      <c r="JG66" s="646">
        <v>30.707308029153811</v>
      </c>
      <c r="JH66" s="646">
        <v>75.821126039549853</v>
      </c>
      <c r="JI66" s="646">
        <v>174.79866696499664</v>
      </c>
      <c r="JJ66" s="646">
        <v>3050</v>
      </c>
      <c r="JK66" s="563" t="s">
        <v>67</v>
      </c>
      <c r="JL66" s="563">
        <v>6</v>
      </c>
      <c r="JM66" s="563">
        <v>0</v>
      </c>
      <c r="JN66" s="563">
        <v>0</v>
      </c>
      <c r="JO66" s="563">
        <v>0</v>
      </c>
      <c r="JP66" s="650">
        <v>3475.3777176300669</v>
      </c>
      <c r="JQ66" s="563">
        <v>1</v>
      </c>
      <c r="JR66" s="563">
        <v>8</v>
      </c>
      <c r="JS66" s="563">
        <v>182.15445069194308</v>
      </c>
      <c r="JT66" s="650">
        <v>3569.2301383283602</v>
      </c>
      <c r="JU66" s="564">
        <v>3475.3777176300669</v>
      </c>
      <c r="JV66" s="565">
        <v>327.5466331846884</v>
      </c>
      <c r="JW66" s="649">
        <v>54.628840800000006</v>
      </c>
      <c r="JX66" s="646">
        <v>-3400.6420337890631</v>
      </c>
      <c r="JY66" s="646">
        <v>4.8625182889529901</v>
      </c>
      <c r="JZ66" s="646">
        <v>-3838.4135036442262</v>
      </c>
      <c r="KA66" s="646">
        <v>75.086128736154578</v>
      </c>
      <c r="KB66" s="646">
        <v>-2400.6448339927615</v>
      </c>
      <c r="KC66" s="646">
        <v>3600</v>
      </c>
      <c r="KD66" s="563" t="s">
        <v>67</v>
      </c>
      <c r="KE66" s="563">
        <v>4</v>
      </c>
      <c r="KF66" s="563">
        <v>1</v>
      </c>
      <c r="KG66" s="563">
        <v>6</v>
      </c>
      <c r="KH66" s="563">
        <v>128.99543103309097</v>
      </c>
      <c r="KI66" s="650">
        <v>5742.521163223777</v>
      </c>
      <c r="KJ66" s="563">
        <v>1</v>
      </c>
      <c r="KK66" s="563">
        <v>-1000</v>
      </c>
      <c r="KL66" s="563">
        <v>182.15445069194308</v>
      </c>
      <c r="KM66" s="650">
        <v>-1</v>
      </c>
      <c r="KN66" s="564">
        <v>-1</v>
      </c>
      <c r="KO66" s="566">
        <v>-9.4247779607693788E-2</v>
      </c>
    </row>
    <row r="67" spans="1:301" ht="15" customHeight="1">
      <c r="A67" s="663" t="s">
        <v>844</v>
      </c>
      <c r="B67" s="629" t="s">
        <v>389</v>
      </c>
      <c r="C67" s="629">
        <v>682.5</v>
      </c>
      <c r="D67" s="629">
        <v>1800</v>
      </c>
      <c r="E67" s="629">
        <v>700</v>
      </c>
      <c r="F67" s="629">
        <v>554.41871333579718</v>
      </c>
      <c r="G67" s="629">
        <v>303.7576530920735</v>
      </c>
      <c r="H67" s="629">
        <v>249.2329517766342</v>
      </c>
      <c r="I67" s="629">
        <v>195</v>
      </c>
      <c r="J67" s="629">
        <v>36.5</v>
      </c>
      <c r="K67" s="629">
        <v>49.5</v>
      </c>
      <c r="L67" s="629">
        <v>12</v>
      </c>
      <c r="M67" s="629">
        <v>832.24144245852744</v>
      </c>
      <c r="N67" s="629">
        <v>6</v>
      </c>
      <c r="O67" s="623">
        <v>101.72869711405448</v>
      </c>
      <c r="P67" s="629">
        <v>6</v>
      </c>
      <c r="Q67" s="623">
        <v>68.590227432952972</v>
      </c>
      <c r="R67" s="629">
        <v>22</v>
      </c>
      <c r="S67" s="629">
        <v>1177.2093566678986</v>
      </c>
      <c r="T67" s="645">
        <v>187.97047094522119</v>
      </c>
      <c r="U67" s="645">
        <v>176.58140350018479</v>
      </c>
      <c r="V67" s="645">
        <v>135</v>
      </c>
      <c r="W67" s="793">
        <v>19.464555869185546</v>
      </c>
      <c r="X67" s="646">
        <v>369.61247555719808</v>
      </c>
      <c r="Y67" s="646">
        <v>49.518682169009651</v>
      </c>
      <c r="Z67" s="646">
        <v>6</v>
      </c>
      <c r="AA67" s="646">
        <v>5.2319098667704393</v>
      </c>
      <c r="AB67" s="647">
        <v>100.72268378633578</v>
      </c>
      <c r="AC67" s="784">
        <v>3428.8906272973809</v>
      </c>
      <c r="AD67" s="631">
        <v>0.25049947782461679</v>
      </c>
      <c r="AE67" s="631">
        <v>0.73996107502848762</v>
      </c>
      <c r="AF67" s="631">
        <v>-0.28710718520785683</v>
      </c>
      <c r="AG67" s="631">
        <v>1.1021126654201545</v>
      </c>
      <c r="AH67" s="629"/>
      <c r="AI67" s="648">
        <v>13.883582322023171</v>
      </c>
      <c r="AJ67" s="649">
        <v>104.47978390946766</v>
      </c>
      <c r="AK67" s="646">
        <v>514.32333861296252</v>
      </c>
      <c r="AL67" s="646">
        <v>0</v>
      </c>
      <c r="AM67" s="646">
        <v>26.857693475310228</v>
      </c>
      <c r="AN67" s="646">
        <v>86.928804735353935</v>
      </c>
      <c r="AO67" s="646">
        <v>186.40716290682812</v>
      </c>
      <c r="AP67" s="801">
        <v>2200</v>
      </c>
      <c r="AQ67" s="563" t="s">
        <v>67</v>
      </c>
      <c r="AR67" s="563">
        <v>6</v>
      </c>
      <c r="AS67" s="563">
        <v>0</v>
      </c>
      <c r="AT67" s="563">
        <v>0</v>
      </c>
      <c r="AU67" s="563">
        <v>0</v>
      </c>
      <c r="AV67" s="650">
        <v>2563.956120418462</v>
      </c>
      <c r="AW67" s="563">
        <v>1</v>
      </c>
      <c r="AX67" s="563">
        <v>8</v>
      </c>
      <c r="AY67" s="563">
        <v>158.21033941625979</v>
      </c>
      <c r="AZ67" s="650">
        <v>3398.609191017279</v>
      </c>
      <c r="BA67" s="564">
        <v>2563.956120418462</v>
      </c>
      <c r="BB67" s="565">
        <v>241.64717136099679</v>
      </c>
      <c r="BC67" s="649">
        <v>69.653189272978437</v>
      </c>
      <c r="BD67" s="646">
        <v>478.46487799117557</v>
      </c>
      <c r="BE67" s="646">
        <v>5.6825573835298657</v>
      </c>
      <c r="BF67" s="646">
        <v>20.143270106482671</v>
      </c>
      <c r="BG67" s="646">
        <v>84.484841915156736</v>
      </c>
      <c r="BH67" s="646">
        <v>166.65318354878929</v>
      </c>
      <c r="BI67" s="646">
        <v>2750</v>
      </c>
      <c r="BJ67" s="563" t="s">
        <v>67</v>
      </c>
      <c r="BK67" s="563">
        <v>4</v>
      </c>
      <c r="BL67" s="563">
        <v>1</v>
      </c>
      <c r="BM67" s="563">
        <v>6</v>
      </c>
      <c r="BN67" s="563">
        <v>123.75904351328433</v>
      </c>
      <c r="BO67" s="650">
        <v>4226.5672973814162</v>
      </c>
      <c r="BP67" s="563">
        <v>1</v>
      </c>
      <c r="BQ67" s="563">
        <v>6</v>
      </c>
      <c r="BR67" s="563">
        <v>158.21033941625979</v>
      </c>
      <c r="BS67" s="650">
        <v>3428.8906272973809</v>
      </c>
      <c r="BT67" s="564">
        <v>3428.8906272973809</v>
      </c>
      <c r="BU67" s="565">
        <v>323.16532814041045</v>
      </c>
      <c r="BV67" s="649">
        <v>69.653189272978437</v>
      </c>
      <c r="BW67" s="646">
        <v>-2898.8900765290855</v>
      </c>
      <c r="BX67" s="646">
        <v>5.6825573835298657</v>
      </c>
      <c r="BY67" s="646">
        <v>-3357.2116844137786</v>
      </c>
      <c r="BZ67" s="646">
        <v>99.648165629155727</v>
      </c>
      <c r="CA67" s="646">
        <v>-2130.3735643084938</v>
      </c>
      <c r="CB67" s="646">
        <v>2200</v>
      </c>
      <c r="CC67" s="563" t="s">
        <v>1588</v>
      </c>
      <c r="CD67" s="563">
        <v>4</v>
      </c>
      <c r="CE67" s="563">
        <v>1</v>
      </c>
      <c r="CF67" s="563">
        <v>6</v>
      </c>
      <c r="CG67" s="563">
        <v>123.75904351328433</v>
      </c>
      <c r="CH67" s="650">
        <v>2673.1158687414995</v>
      </c>
      <c r="CI67" s="563">
        <v>1</v>
      </c>
      <c r="CJ67" s="563">
        <v>-1000</v>
      </c>
      <c r="CK67" s="563">
        <v>158.21033941625979</v>
      </c>
      <c r="CL67" s="650">
        <v>-1</v>
      </c>
      <c r="CM67" s="564">
        <v>-1</v>
      </c>
      <c r="CN67" s="565">
        <v>-9.4247779607693788E-2</v>
      </c>
      <c r="CO67" s="649">
        <v>104.47978390946766</v>
      </c>
      <c r="CP67" s="646">
        <v>-2862.1692960980863</v>
      </c>
      <c r="CQ67" s="646">
        <v>7.5767431780398198</v>
      </c>
      <c r="CR67" s="646">
        <v>-3357.2116844137786</v>
      </c>
      <c r="CS67" s="646">
        <v>99.327829637846733</v>
      </c>
      <c r="CT67" s="646">
        <v>-2113.9259042247304</v>
      </c>
      <c r="CU67" s="646">
        <v>2750</v>
      </c>
      <c r="CV67" s="563" t="s">
        <v>1588</v>
      </c>
      <c r="CW67" s="563">
        <v>6</v>
      </c>
      <c r="CX67" s="563">
        <v>1</v>
      </c>
      <c r="CY67" s="563">
        <v>8</v>
      </c>
      <c r="CZ67" s="563">
        <v>123.75904351328433</v>
      </c>
      <c r="DA67" s="650">
        <v>3690.3851383085766</v>
      </c>
      <c r="DB67" s="563">
        <v>1</v>
      </c>
      <c r="DC67" s="563">
        <v>-1000</v>
      </c>
      <c r="DD67" s="563">
        <v>158.21033941625979</v>
      </c>
      <c r="DE67" s="650">
        <v>-1</v>
      </c>
      <c r="DF67" s="564">
        <v>-1</v>
      </c>
      <c r="DG67" s="565">
        <v>-9.4247779607693788E-2</v>
      </c>
      <c r="DH67" s="649">
        <v>69.653189272978437</v>
      </c>
      <c r="DI67" s="646">
        <v>512.03699483531341</v>
      </c>
      <c r="DJ67" s="646">
        <v>5.6825573835298657</v>
      </c>
      <c r="DK67" s="646">
        <v>53.715386950620456</v>
      </c>
      <c r="DL67" s="646">
        <v>85.338191209009651</v>
      </c>
      <c r="DM67" s="646">
        <v>189.48645142013405</v>
      </c>
      <c r="DN67" s="646">
        <v>2200</v>
      </c>
      <c r="DO67" s="563" t="s">
        <v>1589</v>
      </c>
      <c r="DP67" s="563">
        <v>4</v>
      </c>
      <c r="DQ67" s="563">
        <v>1</v>
      </c>
      <c r="DR67" s="563">
        <v>6</v>
      </c>
      <c r="DS67" s="563">
        <v>123.75904351328433</v>
      </c>
      <c r="DT67" s="650">
        <v>2847.358284497227</v>
      </c>
      <c r="DU67" s="563">
        <v>1</v>
      </c>
      <c r="DV67" s="563">
        <v>16</v>
      </c>
      <c r="DW67" s="563">
        <v>158.21033941625979</v>
      </c>
      <c r="DX67" s="650">
        <v>2420.8458486650507</v>
      </c>
      <c r="DY67" s="564">
        <v>2420.8458486650507</v>
      </c>
      <c r="DZ67" s="565">
        <v>228.15934600918413</v>
      </c>
      <c r="EA67" s="649">
        <v>87.066486591223054</v>
      </c>
      <c r="EB67" s="646">
        <v>-2879.5825934163313</v>
      </c>
      <c r="EC67" s="646">
        <v>7.5767431780398198</v>
      </c>
      <c r="ED67" s="646">
        <v>-3357.2116844137786</v>
      </c>
      <c r="EE67" s="646">
        <v>99.480754133550434</v>
      </c>
      <c r="EF67" s="646">
        <v>-2121.9921924791129</v>
      </c>
      <c r="EG67" s="646">
        <v>2750</v>
      </c>
      <c r="EH67" s="563" t="s">
        <v>1589</v>
      </c>
      <c r="EI67" s="563">
        <v>5</v>
      </c>
      <c r="EJ67" s="563">
        <v>1</v>
      </c>
      <c r="EK67" s="563">
        <v>8</v>
      </c>
      <c r="EL67" s="563">
        <v>123.75904351328433</v>
      </c>
      <c r="EM67" s="650">
        <v>3341.2987010015463</v>
      </c>
      <c r="EN67" s="563">
        <v>1</v>
      </c>
      <c r="EO67" s="563">
        <v>-1000</v>
      </c>
      <c r="EP67" s="563">
        <v>158.21033941625979</v>
      </c>
      <c r="EQ67" s="650">
        <v>-1</v>
      </c>
      <c r="ER67" s="564">
        <v>-1</v>
      </c>
      <c r="ES67" s="565">
        <v>-9.4247779607693788E-2</v>
      </c>
      <c r="ET67" s="649">
        <v>139.30637854595687</v>
      </c>
      <c r="EU67" s="646">
        <v>522.29223977414154</v>
      </c>
      <c r="EV67" s="646">
        <v>0</v>
      </c>
      <c r="EW67" s="646">
        <v>0</v>
      </c>
      <c r="EX67" s="646">
        <v>88.898229600630231</v>
      </c>
      <c r="EY67" s="646">
        <v>184.2731251185171</v>
      </c>
      <c r="EZ67" s="646">
        <v>2200</v>
      </c>
      <c r="FA67" s="563" t="s">
        <v>1587</v>
      </c>
      <c r="FB67" s="563">
        <v>8</v>
      </c>
      <c r="FC67" s="563">
        <v>0</v>
      </c>
      <c r="FD67" s="563">
        <v>0</v>
      </c>
      <c r="FE67" s="563">
        <v>0</v>
      </c>
      <c r="FF67" s="650">
        <v>2737.3132547802916</v>
      </c>
      <c r="FG67" s="563">
        <v>0</v>
      </c>
      <c r="FH67" s="563">
        <v>0</v>
      </c>
      <c r="FI67" s="563">
        <v>0</v>
      </c>
      <c r="FJ67" s="650">
        <v>2589.1561625835348</v>
      </c>
      <c r="FK67" s="564">
        <v>2589.1561625835348</v>
      </c>
      <c r="FL67" s="565">
        <v>244.02221938107516</v>
      </c>
      <c r="FM67" s="649">
        <v>69.653189272978437</v>
      </c>
      <c r="FN67" s="646">
        <v>552.3235350482787</v>
      </c>
      <c r="FO67" s="646">
        <v>5.6825573835298657</v>
      </c>
      <c r="FP67" s="646">
        <v>94.00192716358579</v>
      </c>
      <c r="FQ67" s="646">
        <v>86.225274897880169</v>
      </c>
      <c r="FR67" s="646">
        <v>216.88637286574777</v>
      </c>
      <c r="FS67" s="646">
        <v>2750</v>
      </c>
      <c r="FT67" s="563" t="s">
        <v>1587</v>
      </c>
      <c r="FU67" s="563">
        <v>4</v>
      </c>
      <c r="FV67" s="563">
        <v>1</v>
      </c>
      <c r="FW67" s="563">
        <v>6</v>
      </c>
      <c r="FX67" s="563">
        <v>123.75904351328433</v>
      </c>
      <c r="FY67" s="650">
        <v>3516.7165638249121</v>
      </c>
      <c r="FZ67" s="563">
        <v>1</v>
      </c>
      <c r="GA67" s="563">
        <v>28</v>
      </c>
      <c r="GB67" s="563">
        <v>158.21033941625979</v>
      </c>
      <c r="GC67" s="650">
        <v>-1</v>
      </c>
      <c r="GD67" s="564">
        <v>-1</v>
      </c>
      <c r="GE67" s="565">
        <v>-9.4247779607693788E-2</v>
      </c>
      <c r="GF67" s="649">
        <v>139.30637854595687</v>
      </c>
      <c r="GG67" s="646">
        <v>522.29223977414154</v>
      </c>
      <c r="GH67" s="646">
        <v>0</v>
      </c>
      <c r="GI67" s="646">
        <v>0</v>
      </c>
      <c r="GJ67" s="646">
        <v>88.898229600630231</v>
      </c>
      <c r="GK67" s="646">
        <v>184.2731251185171</v>
      </c>
      <c r="GL67" s="646">
        <v>2200</v>
      </c>
      <c r="GM67" s="563" t="s">
        <v>1587</v>
      </c>
      <c r="GN67" s="563">
        <v>8</v>
      </c>
      <c r="GO67" s="563">
        <v>0</v>
      </c>
      <c r="GP67" s="563">
        <v>0</v>
      </c>
      <c r="GQ67" s="563">
        <v>0</v>
      </c>
      <c r="GR67" s="650">
        <v>2737.3132547802916</v>
      </c>
      <c r="GS67" s="563">
        <v>0</v>
      </c>
      <c r="GT67" s="563">
        <v>0</v>
      </c>
      <c r="GU67" s="563">
        <v>0</v>
      </c>
      <c r="GV67" s="650">
        <v>2589.1561625835348</v>
      </c>
      <c r="GW67" s="564">
        <v>2589.1561625835348</v>
      </c>
      <c r="GX67" s="565">
        <v>244.02221938107516</v>
      </c>
      <c r="GY67" s="649">
        <v>69.653189272978437</v>
      </c>
      <c r="GZ67" s="646">
        <v>552.3235350482787</v>
      </c>
      <c r="HA67" s="646">
        <v>5.6825573835298657</v>
      </c>
      <c r="HB67" s="646">
        <v>94.00192716358579</v>
      </c>
      <c r="HC67" s="646">
        <v>86.225274897880169</v>
      </c>
      <c r="HD67" s="646">
        <v>216.88637286574777</v>
      </c>
      <c r="HE67" s="646">
        <v>2750</v>
      </c>
      <c r="HF67" s="563" t="s">
        <v>1587</v>
      </c>
      <c r="HG67" s="563">
        <v>4</v>
      </c>
      <c r="HH67" s="563">
        <v>1</v>
      </c>
      <c r="HI67" s="563">
        <v>6</v>
      </c>
      <c r="HJ67" s="563">
        <v>123.75904351328433</v>
      </c>
      <c r="HK67" s="650">
        <v>3516.7165638249121</v>
      </c>
      <c r="HL67" s="563">
        <v>1</v>
      </c>
      <c r="HM67" s="563">
        <v>28</v>
      </c>
      <c r="HN67" s="563">
        <v>158.21033941625979</v>
      </c>
      <c r="HO67" s="650">
        <v>-1</v>
      </c>
      <c r="HP67" s="564">
        <v>-1</v>
      </c>
      <c r="HQ67" s="565">
        <v>-9.4247779607693788E-2</v>
      </c>
      <c r="HR67" s="649">
        <v>69.653189272978437</v>
      </c>
      <c r="HS67" s="646">
        <v>478.46487799117557</v>
      </c>
      <c r="HT67" s="646">
        <v>5.6825573835298657</v>
      </c>
      <c r="HU67" s="646">
        <v>20.143270106482671</v>
      </c>
      <c r="HV67" s="646">
        <v>84.484841915156736</v>
      </c>
      <c r="HW67" s="646">
        <v>166.65318354878929</v>
      </c>
      <c r="HX67" s="646">
        <v>2200</v>
      </c>
      <c r="HY67" s="563" t="s">
        <v>68</v>
      </c>
      <c r="HZ67" s="563">
        <v>4</v>
      </c>
      <c r="IA67" s="563">
        <v>1</v>
      </c>
      <c r="IB67" s="563">
        <v>6</v>
      </c>
      <c r="IC67" s="563">
        <v>123.75904351328433</v>
      </c>
      <c r="ID67" s="650">
        <v>3101.4524864607738</v>
      </c>
      <c r="IE67" s="563">
        <v>1</v>
      </c>
      <c r="IF67" s="563">
        <v>6</v>
      </c>
      <c r="IG67" s="563">
        <v>158.21033941625979</v>
      </c>
      <c r="IH67" s="650">
        <v>2516.1178359616256</v>
      </c>
      <c r="II67" s="564">
        <v>2516.1178359616256</v>
      </c>
      <c r="IJ67" s="565">
        <v>237.13851927069874</v>
      </c>
      <c r="IK67" s="649">
        <v>87.066486591223054</v>
      </c>
      <c r="IL67" s="646">
        <v>-2879.5825934163313</v>
      </c>
      <c r="IM67" s="646">
        <v>7.5767431780398198</v>
      </c>
      <c r="IN67" s="646">
        <v>-3357.2116844137786</v>
      </c>
      <c r="IO67" s="646">
        <v>99.480754133550434</v>
      </c>
      <c r="IP67" s="646">
        <v>-2121.9921924791129</v>
      </c>
      <c r="IQ67" s="646">
        <v>2750</v>
      </c>
      <c r="IR67" s="563" t="s">
        <v>68</v>
      </c>
      <c r="IS67" s="563">
        <v>5</v>
      </c>
      <c r="IT67" s="563">
        <v>1</v>
      </c>
      <c r="IU67" s="563">
        <v>8</v>
      </c>
      <c r="IV67" s="563">
        <v>123.75904351328433</v>
      </c>
      <c r="IW67" s="650">
        <v>3639.4714429340697</v>
      </c>
      <c r="IX67" s="563">
        <v>1</v>
      </c>
      <c r="IY67" s="563">
        <v>-1000</v>
      </c>
      <c r="IZ67" s="563">
        <v>158.21033941625979</v>
      </c>
      <c r="JA67" s="650">
        <v>-1</v>
      </c>
      <c r="JB67" s="564">
        <v>-1</v>
      </c>
      <c r="JC67" s="565">
        <v>-9.4247779607693788E-2</v>
      </c>
      <c r="JD67" s="649">
        <v>104.47978390946766</v>
      </c>
      <c r="JE67" s="646">
        <v>514.32333861296252</v>
      </c>
      <c r="JF67" s="646">
        <v>0</v>
      </c>
      <c r="JG67" s="646">
        <v>26.857693475310228</v>
      </c>
      <c r="JH67" s="646">
        <v>86.928804735353935</v>
      </c>
      <c r="JI67" s="646">
        <v>186.40716290682812</v>
      </c>
      <c r="JJ67" s="646">
        <v>2200</v>
      </c>
      <c r="JK67" s="563" t="s">
        <v>67</v>
      </c>
      <c r="JL67" s="563">
        <v>6</v>
      </c>
      <c r="JM67" s="563">
        <v>0</v>
      </c>
      <c r="JN67" s="563">
        <v>0</v>
      </c>
      <c r="JO67" s="563">
        <v>0</v>
      </c>
      <c r="JP67" s="650">
        <v>2563.956120418462</v>
      </c>
      <c r="JQ67" s="563">
        <v>1</v>
      </c>
      <c r="JR67" s="563">
        <v>8</v>
      </c>
      <c r="JS67" s="563">
        <v>158.21033941625979</v>
      </c>
      <c r="JT67" s="650">
        <v>3398.609191017279</v>
      </c>
      <c r="JU67" s="564">
        <v>2563.956120418462</v>
      </c>
      <c r="JV67" s="565">
        <v>241.64717136099679</v>
      </c>
      <c r="JW67" s="649">
        <v>69.653189272978437</v>
      </c>
      <c r="JX67" s="646">
        <v>478.46487799117557</v>
      </c>
      <c r="JY67" s="646">
        <v>5.6825573835298657</v>
      </c>
      <c r="JZ67" s="646">
        <v>20.143270106482671</v>
      </c>
      <c r="KA67" s="646">
        <v>84.484841915156736</v>
      </c>
      <c r="KB67" s="646">
        <v>166.65318354878929</v>
      </c>
      <c r="KC67" s="646">
        <v>2750</v>
      </c>
      <c r="KD67" s="563" t="s">
        <v>67</v>
      </c>
      <c r="KE67" s="563">
        <v>4</v>
      </c>
      <c r="KF67" s="563">
        <v>1</v>
      </c>
      <c r="KG67" s="563">
        <v>6</v>
      </c>
      <c r="KH67" s="563">
        <v>123.75904351328433</v>
      </c>
      <c r="KI67" s="650">
        <v>4226.5672973814162</v>
      </c>
      <c r="KJ67" s="563">
        <v>1</v>
      </c>
      <c r="KK67" s="563">
        <v>6</v>
      </c>
      <c r="KL67" s="563">
        <v>158.21033941625979</v>
      </c>
      <c r="KM67" s="650">
        <v>3428.8906272973809</v>
      </c>
      <c r="KN67" s="564">
        <v>3428.8906272973809</v>
      </c>
      <c r="KO67" s="566">
        <v>323.16532814041045</v>
      </c>
    </row>
    <row r="68" spans="1:301" ht="15" customHeight="1">
      <c r="A68" s="663" t="s">
        <v>845</v>
      </c>
      <c r="B68" s="629" t="s">
        <v>390</v>
      </c>
      <c r="C68" s="629">
        <v>779</v>
      </c>
      <c r="D68" s="629">
        <v>1800</v>
      </c>
      <c r="E68" s="629">
        <v>800</v>
      </c>
      <c r="F68" s="629">
        <v>630.8204133660538</v>
      </c>
      <c r="G68" s="629">
        <v>362</v>
      </c>
      <c r="H68" s="629">
        <v>290</v>
      </c>
      <c r="I68" s="629">
        <v>208</v>
      </c>
      <c r="J68" s="629">
        <v>33.700000000000003</v>
      </c>
      <c r="K68" s="629">
        <v>49</v>
      </c>
      <c r="L68" s="629">
        <v>12</v>
      </c>
      <c r="M68" s="629">
        <v>761</v>
      </c>
      <c r="N68" s="629">
        <v>6</v>
      </c>
      <c r="O68" s="623">
        <v>96.179859089651529</v>
      </c>
      <c r="P68" s="629">
        <v>6</v>
      </c>
      <c r="Q68" s="623">
        <v>65.209131724135048</v>
      </c>
      <c r="R68" s="629">
        <v>22</v>
      </c>
      <c r="S68" s="629">
        <v>1215.4102066830271</v>
      </c>
      <c r="T68" s="645">
        <v>200.36782187755355</v>
      </c>
      <c r="U68" s="645">
        <v>182.31153100245407</v>
      </c>
      <c r="V68" s="645">
        <v>147.5</v>
      </c>
      <c r="W68" s="793">
        <v>22.669455983731737</v>
      </c>
      <c r="X68" s="646">
        <v>420.54694224403585</v>
      </c>
      <c r="Y68" s="646">
        <v>56.342606776833705</v>
      </c>
      <c r="Z68" s="646">
        <v>6</v>
      </c>
      <c r="AA68" s="646">
        <v>6.7732322820973199</v>
      </c>
      <c r="AB68" s="647">
        <v>76.092534086376943</v>
      </c>
      <c r="AC68" s="784">
        <v>3368.8099552978565</v>
      </c>
      <c r="AD68" s="631">
        <v>0.3095856962017518</v>
      </c>
      <c r="AE68" s="631">
        <v>0.66691709637442997</v>
      </c>
      <c r="AF68" s="631">
        <v>-0.32763415727851269</v>
      </c>
      <c r="AG68" s="631">
        <v>1.0152374596012936</v>
      </c>
      <c r="AH68" s="629"/>
      <c r="AI68" s="648">
        <v>13.773272583882388</v>
      </c>
      <c r="AJ68" s="649">
        <v>89.249319000000014</v>
      </c>
      <c r="AK68" s="646">
        <v>480.44881995716912</v>
      </c>
      <c r="AL68" s="646">
        <v>0</v>
      </c>
      <c r="AM68" s="646">
        <v>0</v>
      </c>
      <c r="AN68" s="646">
        <v>93.861541779172256</v>
      </c>
      <c r="AO68" s="646">
        <v>165.16217529544673</v>
      </c>
      <c r="AP68" s="801">
        <v>1650</v>
      </c>
      <c r="AQ68" s="563" t="s">
        <v>67</v>
      </c>
      <c r="AR68" s="563">
        <v>5</v>
      </c>
      <c r="AS68" s="563">
        <v>0</v>
      </c>
      <c r="AT68" s="563">
        <v>0</v>
      </c>
      <c r="AU68" s="563">
        <v>0</v>
      </c>
      <c r="AV68" s="650">
        <v>1900.1718339296988</v>
      </c>
      <c r="AW68" s="563">
        <v>0</v>
      </c>
      <c r="AX68" s="563">
        <v>0</v>
      </c>
      <c r="AY68" s="563">
        <v>0</v>
      </c>
      <c r="AZ68" s="650">
        <v>1886.8244553854581</v>
      </c>
      <c r="BA68" s="564">
        <v>1886.8244553854581</v>
      </c>
      <c r="BB68" s="565">
        <v>177.82901542957552</v>
      </c>
      <c r="BC68" s="649">
        <v>71.399455200000006</v>
      </c>
      <c r="BD68" s="646">
        <v>487.50121331136961</v>
      </c>
      <c r="BE68" s="646">
        <v>5.8720445594837694</v>
      </c>
      <c r="BF68" s="646">
        <v>19.030212594716716</v>
      </c>
      <c r="BG68" s="646">
        <v>93.000846088524256</v>
      </c>
      <c r="BH68" s="646">
        <v>170.82848272222273</v>
      </c>
      <c r="BI68" s="646">
        <v>2062.5</v>
      </c>
      <c r="BJ68" s="563" t="s">
        <v>67</v>
      </c>
      <c r="BK68" s="563">
        <v>4</v>
      </c>
      <c r="BL68" s="563">
        <v>1</v>
      </c>
      <c r="BM68" s="563">
        <v>6</v>
      </c>
      <c r="BN68" s="563">
        <v>109.594398746341</v>
      </c>
      <c r="BO68" s="650">
        <v>3520.4778494142747</v>
      </c>
      <c r="BP68" s="563">
        <v>1</v>
      </c>
      <c r="BQ68" s="563">
        <v>6</v>
      </c>
      <c r="BR68" s="563">
        <v>149.07231393320603</v>
      </c>
      <c r="BS68" s="650">
        <v>3368.8099552978565</v>
      </c>
      <c r="BT68" s="564">
        <v>3368.8099552978565</v>
      </c>
      <c r="BU68" s="565">
        <v>317.50285820711719</v>
      </c>
      <c r="BV68" s="649">
        <v>71.399455200000006</v>
      </c>
      <c r="BW68" s="646">
        <v>487.50121331136961</v>
      </c>
      <c r="BX68" s="646">
        <v>5.8720445594837694</v>
      </c>
      <c r="BY68" s="646">
        <v>19.030212594716716</v>
      </c>
      <c r="BZ68" s="646">
        <v>93.000846088524256</v>
      </c>
      <c r="CA68" s="646">
        <v>170.82848272222273</v>
      </c>
      <c r="CB68" s="646">
        <v>1650</v>
      </c>
      <c r="CC68" s="563" t="s">
        <v>1584</v>
      </c>
      <c r="CD68" s="563">
        <v>4</v>
      </c>
      <c r="CE68" s="563">
        <v>1</v>
      </c>
      <c r="CF68" s="563">
        <v>6</v>
      </c>
      <c r="CG68" s="563">
        <v>109.594398746341</v>
      </c>
      <c r="CH68" s="650">
        <v>2139.1959054329127</v>
      </c>
      <c r="CI68" s="563">
        <v>1</v>
      </c>
      <c r="CJ68" s="563">
        <v>6</v>
      </c>
      <c r="CK68" s="563">
        <v>149.07231393320603</v>
      </c>
      <c r="CL68" s="650">
        <v>2047.0358771721044</v>
      </c>
      <c r="CM68" s="564">
        <v>2047.0358771721044</v>
      </c>
      <c r="CN68" s="565">
        <v>192.92858620075864</v>
      </c>
      <c r="CO68" s="649">
        <v>89.249319000000014</v>
      </c>
      <c r="CP68" s="646">
        <v>596.11608407320887</v>
      </c>
      <c r="CQ68" s="646">
        <v>7.8293927459783594</v>
      </c>
      <c r="CR68" s="646">
        <v>107.83787137006138</v>
      </c>
      <c r="CS68" s="646">
        <v>96.367249756613077</v>
      </c>
      <c r="CT68" s="646">
        <v>240.81002240914236</v>
      </c>
      <c r="CU68" s="646">
        <v>2062.5</v>
      </c>
      <c r="CV68" s="563" t="s">
        <v>1588</v>
      </c>
      <c r="CW68" s="563">
        <v>5</v>
      </c>
      <c r="CX68" s="563">
        <v>1</v>
      </c>
      <c r="CY68" s="563">
        <v>8</v>
      </c>
      <c r="CZ68" s="563">
        <v>109.594398746341</v>
      </c>
      <c r="DA68" s="650">
        <v>2599.5291558923209</v>
      </c>
      <c r="DB68" s="563">
        <v>1</v>
      </c>
      <c r="DC68" s="563">
        <v>34</v>
      </c>
      <c r="DD68" s="563">
        <v>149.07231393320603</v>
      </c>
      <c r="DE68" s="650">
        <v>-1</v>
      </c>
      <c r="DF68" s="564">
        <v>-1</v>
      </c>
      <c r="DG68" s="565">
        <v>-9.4247779607693788E-2</v>
      </c>
      <c r="DH68" s="649">
        <v>142.79891040000001</v>
      </c>
      <c r="DI68" s="646">
        <v>533.99841135716906</v>
      </c>
      <c r="DJ68" s="646">
        <v>0</v>
      </c>
      <c r="DK68" s="646">
        <v>0</v>
      </c>
      <c r="DL68" s="646">
        <v>98.989728463457496</v>
      </c>
      <c r="DM68" s="646">
        <v>190.91177076179264</v>
      </c>
      <c r="DN68" s="646">
        <v>1650</v>
      </c>
      <c r="DO68" s="563" t="s">
        <v>1589</v>
      </c>
      <c r="DP68" s="563">
        <v>8</v>
      </c>
      <c r="DQ68" s="563">
        <v>0</v>
      </c>
      <c r="DR68" s="563">
        <v>0</v>
      </c>
      <c r="DS68" s="563">
        <v>0</v>
      </c>
      <c r="DT68" s="650">
        <v>1826.0018625148202</v>
      </c>
      <c r="DU68" s="563">
        <v>0</v>
      </c>
      <c r="DV68" s="563">
        <v>0</v>
      </c>
      <c r="DW68" s="563">
        <v>0</v>
      </c>
      <c r="DX68" s="650">
        <v>1910.2885297312837</v>
      </c>
      <c r="DY68" s="564">
        <v>1826.0018625148202</v>
      </c>
      <c r="DZ68" s="565">
        <v>172.09662110153516</v>
      </c>
      <c r="EA68" s="649">
        <v>71.399455200000006</v>
      </c>
      <c r="EB68" s="646">
        <v>487.50121331136961</v>
      </c>
      <c r="EC68" s="646">
        <v>5.8720445594837694</v>
      </c>
      <c r="ED68" s="646">
        <v>19.030212594716716</v>
      </c>
      <c r="EE68" s="646">
        <v>93.000846088524256</v>
      </c>
      <c r="EF68" s="646">
        <v>170.82848272222273</v>
      </c>
      <c r="EG68" s="646">
        <v>2062.5</v>
      </c>
      <c r="EH68" s="563" t="s">
        <v>1589</v>
      </c>
      <c r="EI68" s="563">
        <v>4</v>
      </c>
      <c r="EJ68" s="563">
        <v>1</v>
      </c>
      <c r="EK68" s="563">
        <v>6</v>
      </c>
      <c r="EL68" s="563">
        <v>109.594398746341</v>
      </c>
      <c r="EM68" s="650">
        <v>2371.6792055172427</v>
      </c>
      <c r="EN68" s="563">
        <v>1</v>
      </c>
      <c r="EO68" s="563">
        <v>6</v>
      </c>
      <c r="EP68" s="563">
        <v>149.07231393320603</v>
      </c>
      <c r="EQ68" s="650">
        <v>2269.5034197271557</v>
      </c>
      <c r="ER68" s="564">
        <v>2269.5034197271557</v>
      </c>
      <c r="ES68" s="565">
        <v>213.89565812135237</v>
      </c>
      <c r="ET68" s="649">
        <v>142.79891040000001</v>
      </c>
      <c r="EU68" s="646">
        <v>533.99841135716906</v>
      </c>
      <c r="EV68" s="646">
        <v>0</v>
      </c>
      <c r="EW68" s="646">
        <v>0</v>
      </c>
      <c r="EX68" s="646">
        <v>98.989728463457496</v>
      </c>
      <c r="EY68" s="646">
        <v>190.91177076179264</v>
      </c>
      <c r="EZ68" s="646">
        <v>1650</v>
      </c>
      <c r="FA68" s="563" t="s">
        <v>1589</v>
      </c>
      <c r="FB68" s="563">
        <v>8</v>
      </c>
      <c r="FC68" s="563">
        <v>0</v>
      </c>
      <c r="FD68" s="563">
        <v>0</v>
      </c>
      <c r="FE68" s="563">
        <v>0</v>
      </c>
      <c r="FF68" s="650">
        <v>1826.0018625148202</v>
      </c>
      <c r="FG68" s="563">
        <v>0</v>
      </c>
      <c r="FH68" s="563">
        <v>0</v>
      </c>
      <c r="FI68" s="563">
        <v>0</v>
      </c>
      <c r="FJ68" s="650">
        <v>1910.2885297312837</v>
      </c>
      <c r="FK68" s="564">
        <v>1826.0018625148202</v>
      </c>
      <c r="FL68" s="565">
        <v>172.09662110153516</v>
      </c>
      <c r="FM68" s="649">
        <v>142.79891040000001</v>
      </c>
      <c r="FN68" s="646">
        <v>543.78515228964204</v>
      </c>
      <c r="FO68" s="646">
        <v>9.7867409324729504</v>
      </c>
      <c r="FP68" s="646">
        <v>0</v>
      </c>
      <c r="FQ68" s="646">
        <v>99.817795588616931</v>
      </c>
      <c r="FR68" s="646">
        <v>192.87306040581808</v>
      </c>
      <c r="FS68" s="646">
        <v>2062.5</v>
      </c>
      <c r="FT68" s="563" t="s">
        <v>1587</v>
      </c>
      <c r="FU68" s="563">
        <v>8</v>
      </c>
      <c r="FV68" s="563">
        <v>1</v>
      </c>
      <c r="FW68" s="563">
        <v>10</v>
      </c>
      <c r="FX68" s="563">
        <v>109.594398746341</v>
      </c>
      <c r="FY68" s="650">
        <v>4690.6359608772145</v>
      </c>
      <c r="FZ68" s="563">
        <v>0</v>
      </c>
      <c r="GA68" s="563">
        <v>0</v>
      </c>
      <c r="GB68" s="563">
        <v>0</v>
      </c>
      <c r="GC68" s="650">
        <v>2359.36002531447</v>
      </c>
      <c r="GD68" s="564">
        <v>2359.36002531447</v>
      </c>
      <c r="GE68" s="565">
        <v>222.36444368104102</v>
      </c>
      <c r="GF68" s="649">
        <v>142.79891040000001</v>
      </c>
      <c r="GG68" s="646">
        <v>533.99841135716906</v>
      </c>
      <c r="GH68" s="646">
        <v>0</v>
      </c>
      <c r="GI68" s="646">
        <v>0</v>
      </c>
      <c r="GJ68" s="646">
        <v>98.989728463457496</v>
      </c>
      <c r="GK68" s="646">
        <v>190.91177076179264</v>
      </c>
      <c r="GL68" s="646">
        <v>1650</v>
      </c>
      <c r="GM68" s="563" t="s">
        <v>1587</v>
      </c>
      <c r="GN68" s="563">
        <v>8</v>
      </c>
      <c r="GO68" s="563">
        <v>0</v>
      </c>
      <c r="GP68" s="563">
        <v>0</v>
      </c>
      <c r="GQ68" s="563">
        <v>0</v>
      </c>
      <c r="GR68" s="650">
        <v>2255.2592100698325</v>
      </c>
      <c r="GS68" s="563">
        <v>0</v>
      </c>
      <c r="GT68" s="563">
        <v>0</v>
      </c>
      <c r="GU68" s="563">
        <v>0</v>
      </c>
      <c r="GV68" s="650">
        <v>2359.36002531447</v>
      </c>
      <c r="GW68" s="564">
        <v>2255.2592100698325</v>
      </c>
      <c r="GX68" s="565">
        <v>212.55317298888318</v>
      </c>
      <c r="GY68" s="649">
        <v>142.79891040000001</v>
      </c>
      <c r="GZ68" s="646">
        <v>543.78515228964204</v>
      </c>
      <c r="HA68" s="646">
        <v>9.7867409324729504</v>
      </c>
      <c r="HB68" s="646">
        <v>0</v>
      </c>
      <c r="HC68" s="646">
        <v>99.817795588616931</v>
      </c>
      <c r="HD68" s="646">
        <v>192.87306040581808</v>
      </c>
      <c r="HE68" s="646">
        <v>2062.5</v>
      </c>
      <c r="HF68" s="563" t="s">
        <v>1587</v>
      </c>
      <c r="HG68" s="563">
        <v>8</v>
      </c>
      <c r="HH68" s="563">
        <v>1</v>
      </c>
      <c r="HI68" s="563">
        <v>10</v>
      </c>
      <c r="HJ68" s="563">
        <v>109.594398746341</v>
      </c>
      <c r="HK68" s="650">
        <v>4690.6359608772145</v>
      </c>
      <c r="HL68" s="563">
        <v>0</v>
      </c>
      <c r="HM68" s="563">
        <v>0</v>
      </c>
      <c r="HN68" s="563">
        <v>0</v>
      </c>
      <c r="HO68" s="650">
        <v>2359.36002531447</v>
      </c>
      <c r="HP68" s="564">
        <v>2359.36002531447</v>
      </c>
      <c r="HQ68" s="565">
        <v>222.36444368104102</v>
      </c>
      <c r="HR68" s="649">
        <v>71.399455200000006</v>
      </c>
      <c r="HS68" s="646">
        <v>487.50121331136961</v>
      </c>
      <c r="HT68" s="646">
        <v>5.8720445594837694</v>
      </c>
      <c r="HU68" s="646">
        <v>19.030212594716716</v>
      </c>
      <c r="HV68" s="646">
        <v>93.000846088524256</v>
      </c>
      <c r="HW68" s="646">
        <v>170.82848272222273</v>
      </c>
      <c r="HX68" s="646">
        <v>1650</v>
      </c>
      <c r="HY68" s="563" t="s">
        <v>68</v>
      </c>
      <c r="HZ68" s="563">
        <v>4</v>
      </c>
      <c r="IA68" s="563">
        <v>1</v>
      </c>
      <c r="IB68" s="563">
        <v>6</v>
      </c>
      <c r="IC68" s="563">
        <v>109.594398746341</v>
      </c>
      <c r="ID68" s="650">
        <v>2583.3244832894616</v>
      </c>
      <c r="IE68" s="563">
        <v>1</v>
      </c>
      <c r="IF68" s="563">
        <v>6</v>
      </c>
      <c r="IG68" s="563">
        <v>149.07231393320603</v>
      </c>
      <c r="IH68" s="650">
        <v>2472.0306757556104</v>
      </c>
      <c r="II68" s="564">
        <v>2472.0306757556104</v>
      </c>
      <c r="IJ68" s="565">
        <v>232.98340231207311</v>
      </c>
      <c r="IK68" s="649">
        <v>71.399455200000006</v>
      </c>
      <c r="IL68" s="646">
        <v>487.50121331136961</v>
      </c>
      <c r="IM68" s="646">
        <v>5.8720445594837694</v>
      </c>
      <c r="IN68" s="646">
        <v>19.030212594716716</v>
      </c>
      <c r="IO68" s="646">
        <v>93.000846088524256</v>
      </c>
      <c r="IP68" s="646">
        <v>170.82848272222273</v>
      </c>
      <c r="IQ68" s="646">
        <v>2062.5</v>
      </c>
      <c r="IR68" s="563" t="s">
        <v>68</v>
      </c>
      <c r="IS68" s="563">
        <v>4</v>
      </c>
      <c r="IT68" s="563">
        <v>1</v>
      </c>
      <c r="IU68" s="563">
        <v>6</v>
      </c>
      <c r="IV68" s="563">
        <v>109.594398746341</v>
      </c>
      <c r="IW68" s="650">
        <v>2583.3244832894616</v>
      </c>
      <c r="IX68" s="563">
        <v>1</v>
      </c>
      <c r="IY68" s="563">
        <v>6</v>
      </c>
      <c r="IZ68" s="563">
        <v>149.07231393320603</v>
      </c>
      <c r="JA68" s="650">
        <v>2472.0306757556104</v>
      </c>
      <c r="JB68" s="564">
        <v>2472.0306757556104</v>
      </c>
      <c r="JC68" s="565">
        <v>232.98340231207311</v>
      </c>
      <c r="JD68" s="649">
        <v>89.249319000000014</v>
      </c>
      <c r="JE68" s="646">
        <v>480.44881995716912</v>
      </c>
      <c r="JF68" s="646">
        <v>0</v>
      </c>
      <c r="JG68" s="646">
        <v>0</v>
      </c>
      <c r="JH68" s="646">
        <v>93.861541779172256</v>
      </c>
      <c r="JI68" s="646">
        <v>165.16217529544673</v>
      </c>
      <c r="JJ68" s="646">
        <v>1650</v>
      </c>
      <c r="JK68" s="563" t="s">
        <v>67</v>
      </c>
      <c r="JL68" s="563">
        <v>5</v>
      </c>
      <c r="JM68" s="563">
        <v>0</v>
      </c>
      <c r="JN68" s="563">
        <v>0</v>
      </c>
      <c r="JO68" s="563">
        <v>0</v>
      </c>
      <c r="JP68" s="650">
        <v>1900.1718339296988</v>
      </c>
      <c r="JQ68" s="563">
        <v>0</v>
      </c>
      <c r="JR68" s="563">
        <v>0</v>
      </c>
      <c r="JS68" s="563">
        <v>0</v>
      </c>
      <c r="JT68" s="650">
        <v>1886.8244553854581</v>
      </c>
      <c r="JU68" s="564">
        <v>1886.8244553854581</v>
      </c>
      <c r="JV68" s="565">
        <v>177.82901542957552</v>
      </c>
      <c r="JW68" s="649">
        <v>71.399455200000006</v>
      </c>
      <c r="JX68" s="646">
        <v>487.50121331136961</v>
      </c>
      <c r="JY68" s="646">
        <v>5.8720445594837694</v>
      </c>
      <c r="JZ68" s="646">
        <v>19.030212594716716</v>
      </c>
      <c r="KA68" s="646">
        <v>93.000846088524256</v>
      </c>
      <c r="KB68" s="646">
        <v>170.82848272222273</v>
      </c>
      <c r="KC68" s="646">
        <v>2062.5</v>
      </c>
      <c r="KD68" s="563" t="s">
        <v>67</v>
      </c>
      <c r="KE68" s="563">
        <v>4</v>
      </c>
      <c r="KF68" s="563">
        <v>1</v>
      </c>
      <c r="KG68" s="563">
        <v>6</v>
      </c>
      <c r="KH68" s="563">
        <v>109.594398746341</v>
      </c>
      <c r="KI68" s="650">
        <v>3520.4778494142747</v>
      </c>
      <c r="KJ68" s="563">
        <v>1</v>
      </c>
      <c r="KK68" s="563">
        <v>6</v>
      </c>
      <c r="KL68" s="563">
        <v>149.07231393320603</v>
      </c>
      <c r="KM68" s="650">
        <v>3368.8099552978565</v>
      </c>
      <c r="KN68" s="564">
        <v>3368.8099552978565</v>
      </c>
      <c r="KO68" s="566">
        <v>317.50285820711719</v>
      </c>
    </row>
    <row r="69" spans="1:301" ht="15" customHeight="1">
      <c r="A69" s="663" t="s">
        <v>846</v>
      </c>
      <c r="B69" s="629" t="s">
        <v>391</v>
      </c>
      <c r="C69" s="629">
        <v>871.5</v>
      </c>
      <c r="D69" s="629">
        <v>1800</v>
      </c>
      <c r="E69" s="629">
        <v>900</v>
      </c>
      <c r="F69" s="629">
        <v>695.86547705766793</v>
      </c>
      <c r="G69" s="629">
        <v>420</v>
      </c>
      <c r="H69" s="629">
        <v>331</v>
      </c>
      <c r="I69" s="629">
        <v>229</v>
      </c>
      <c r="J69" s="629">
        <v>35.06</v>
      </c>
      <c r="K69" s="629">
        <v>46.43</v>
      </c>
      <c r="L69" s="629">
        <v>12</v>
      </c>
      <c r="M69" s="629">
        <v>737</v>
      </c>
      <c r="N69" s="629">
        <v>6</v>
      </c>
      <c r="O69" s="623">
        <v>89.891175995328155</v>
      </c>
      <c r="P69" s="629">
        <v>6</v>
      </c>
      <c r="Q69" s="623">
        <v>62.245528801548666</v>
      </c>
      <c r="R69" s="629">
        <v>22</v>
      </c>
      <c r="S69" s="629">
        <v>1247.9327385288339</v>
      </c>
      <c r="T69" s="645">
        <v>211.23436592703695</v>
      </c>
      <c r="U69" s="645">
        <v>187.18991077932506</v>
      </c>
      <c r="V69" s="645">
        <v>160</v>
      </c>
      <c r="W69" s="793">
        <v>25.924217636499986</v>
      </c>
      <c r="X69" s="646">
        <v>463.91031803844527</v>
      </c>
      <c r="Y69" s="646">
        <v>62.152197539433352</v>
      </c>
      <c r="Z69" s="646">
        <v>6</v>
      </c>
      <c r="AA69" s="646">
        <v>8.2420467642508584</v>
      </c>
      <c r="AB69" s="647">
        <v>85.387743910818529</v>
      </c>
      <c r="AC69" s="784">
        <v>2960.8136494965997</v>
      </c>
      <c r="AD69" s="631">
        <v>0.27007016699577463</v>
      </c>
      <c r="AE69" s="631">
        <v>0.70176931262376241</v>
      </c>
      <c r="AF69" s="631">
        <v>-0.33192047321497087</v>
      </c>
      <c r="AG69" s="631">
        <v>0.87689852613387309</v>
      </c>
      <c r="AH69" s="629"/>
      <c r="AI69" s="648">
        <v>13.938361145175204</v>
      </c>
      <c r="AJ69" s="649">
        <v>116.63467200000002</v>
      </c>
      <c r="AK69" s="646">
        <v>514.17200712466456</v>
      </c>
      <c r="AL69" s="646">
        <v>0</v>
      </c>
      <c r="AM69" s="646">
        <v>0</v>
      </c>
      <c r="AN69" s="646">
        <v>104.82367652352251</v>
      </c>
      <c r="AO69" s="646">
        <v>182.48631093564904</v>
      </c>
      <c r="AP69" s="801">
        <v>1550</v>
      </c>
      <c r="AQ69" s="563" t="s">
        <v>67</v>
      </c>
      <c r="AR69" s="563">
        <v>6</v>
      </c>
      <c r="AS69" s="563">
        <v>0</v>
      </c>
      <c r="AT69" s="563">
        <v>0</v>
      </c>
      <c r="AU69" s="563">
        <v>0</v>
      </c>
      <c r="AV69" s="650">
        <v>1799.3676326046957</v>
      </c>
      <c r="AW69" s="563">
        <v>0</v>
      </c>
      <c r="AX69" s="563">
        <v>0</v>
      </c>
      <c r="AY69" s="563">
        <v>0</v>
      </c>
      <c r="AZ69" s="650">
        <v>1874.9476657196865</v>
      </c>
      <c r="BA69" s="564">
        <v>1799.3676326046957</v>
      </c>
      <c r="BB69" s="565">
        <v>169.58640407094512</v>
      </c>
      <c r="BC69" s="649">
        <v>97.195560000000029</v>
      </c>
      <c r="BD69" s="646">
        <v>559.08335408017308</v>
      </c>
      <c r="BE69" s="646">
        <v>8.3864311054176444</v>
      </c>
      <c r="BF69" s="646">
        <v>55.964027850090716</v>
      </c>
      <c r="BG69" s="646">
        <v>104.59274493921464</v>
      </c>
      <c r="BH69" s="646">
        <v>214.00489807861149</v>
      </c>
      <c r="BI69" s="646">
        <v>1937.5</v>
      </c>
      <c r="BJ69" s="563" t="s">
        <v>71</v>
      </c>
      <c r="BK69" s="563">
        <v>5</v>
      </c>
      <c r="BL69" s="563">
        <v>1</v>
      </c>
      <c r="BM69" s="563">
        <v>8</v>
      </c>
      <c r="BN69" s="563">
        <v>103.72306208672528</v>
      </c>
      <c r="BO69" s="650">
        <v>2131.8760985675744</v>
      </c>
      <c r="BP69" s="563">
        <v>1</v>
      </c>
      <c r="BQ69" s="563">
        <v>20</v>
      </c>
      <c r="BR69" s="563">
        <v>130.82577596519474</v>
      </c>
      <c r="BS69" s="650">
        <v>2135.6220018681543</v>
      </c>
      <c r="BT69" s="564">
        <v>2131.8760985675744</v>
      </c>
      <c r="BU69" s="565">
        <v>200.92458868870685</v>
      </c>
      <c r="BV69" s="649">
        <v>77.75644800000002</v>
      </c>
      <c r="BW69" s="646">
        <v>498.37281480875504</v>
      </c>
      <c r="BX69" s="646">
        <v>6.2898233290632337</v>
      </c>
      <c r="BY69" s="646">
        <v>16.789208355027217</v>
      </c>
      <c r="BZ69" s="646">
        <v>101.1820522699403</v>
      </c>
      <c r="CA69" s="646">
        <v>176.3281069424421</v>
      </c>
      <c r="CB69" s="646">
        <v>1550</v>
      </c>
      <c r="CC69" s="563" t="s">
        <v>1584</v>
      </c>
      <c r="CD69" s="563">
        <v>4</v>
      </c>
      <c r="CE69" s="563">
        <v>1</v>
      </c>
      <c r="CF69" s="563">
        <v>6</v>
      </c>
      <c r="CG69" s="563">
        <v>103.72306208672528</v>
      </c>
      <c r="CH69" s="650">
        <v>1799.119524867745</v>
      </c>
      <c r="CI69" s="563">
        <v>1</v>
      </c>
      <c r="CJ69" s="563">
        <v>6</v>
      </c>
      <c r="CK69" s="563">
        <v>130.82577596519474</v>
      </c>
      <c r="CL69" s="650">
        <v>1879.7581927934468</v>
      </c>
      <c r="CM69" s="564">
        <v>1799.119524867745</v>
      </c>
      <c r="CN69" s="565">
        <v>169.563020467634</v>
      </c>
      <c r="CO69" s="649">
        <v>97.195560000000029</v>
      </c>
      <c r="CP69" s="646">
        <v>542.29414572514588</v>
      </c>
      <c r="CQ69" s="646">
        <v>8.3864311054176444</v>
      </c>
      <c r="CR69" s="646">
        <v>39.174819495063502</v>
      </c>
      <c r="CS69" s="646">
        <v>104.28602031245418</v>
      </c>
      <c r="CT69" s="646">
        <v>202.23877752969253</v>
      </c>
      <c r="CU69" s="646">
        <v>1937.5</v>
      </c>
      <c r="CV69" s="563" t="s">
        <v>1588</v>
      </c>
      <c r="CW69" s="563">
        <v>5</v>
      </c>
      <c r="CX69" s="563">
        <v>1</v>
      </c>
      <c r="CY69" s="563">
        <v>8</v>
      </c>
      <c r="CZ69" s="563">
        <v>103.72306208672528</v>
      </c>
      <c r="DA69" s="650">
        <v>2174.0955654316231</v>
      </c>
      <c r="DB69" s="563">
        <v>1</v>
      </c>
      <c r="DC69" s="563">
        <v>14</v>
      </c>
      <c r="DD69" s="563">
        <v>130.82577596519474</v>
      </c>
      <c r="DE69" s="650">
        <v>2145.5839736948351</v>
      </c>
      <c r="DF69" s="564">
        <v>2145.5839736948351</v>
      </c>
      <c r="DG69" s="565">
        <v>202.2165254825907</v>
      </c>
      <c r="DH69" s="649">
        <v>77.75644800000002</v>
      </c>
      <c r="DI69" s="646">
        <v>498.37281480875504</v>
      </c>
      <c r="DJ69" s="646">
        <v>6.2898233290632337</v>
      </c>
      <c r="DK69" s="646">
        <v>16.789208355027217</v>
      </c>
      <c r="DL69" s="646">
        <v>101.1820522699403</v>
      </c>
      <c r="DM69" s="646">
        <v>176.3281069424421</v>
      </c>
      <c r="DN69" s="646">
        <v>1550</v>
      </c>
      <c r="DO69" s="563" t="s">
        <v>1588</v>
      </c>
      <c r="DP69" s="563">
        <v>4</v>
      </c>
      <c r="DQ69" s="563">
        <v>1</v>
      </c>
      <c r="DR69" s="563">
        <v>6</v>
      </c>
      <c r="DS69" s="563">
        <v>103.72306208672528</v>
      </c>
      <c r="DT69" s="650">
        <v>1872.5829719464239</v>
      </c>
      <c r="DU69" s="563">
        <v>1</v>
      </c>
      <c r="DV69" s="563">
        <v>6</v>
      </c>
      <c r="DW69" s="563">
        <v>130.82577596519474</v>
      </c>
      <c r="DX69" s="650">
        <v>1956.5143585780111</v>
      </c>
      <c r="DY69" s="564">
        <v>1872.5829719464239</v>
      </c>
      <c r="DZ69" s="565">
        <v>176.4867872371268</v>
      </c>
      <c r="EA69" s="649">
        <v>97.195560000000029</v>
      </c>
      <c r="EB69" s="646">
        <v>542.29414572514588</v>
      </c>
      <c r="EC69" s="646">
        <v>8.3864311054176444</v>
      </c>
      <c r="ED69" s="646">
        <v>39.174819495063502</v>
      </c>
      <c r="EE69" s="646">
        <v>104.28602031245418</v>
      </c>
      <c r="EF69" s="646">
        <v>202.23877752969253</v>
      </c>
      <c r="EG69" s="646">
        <v>1937.5</v>
      </c>
      <c r="EH69" s="563" t="s">
        <v>1588</v>
      </c>
      <c r="EI69" s="563">
        <v>5</v>
      </c>
      <c r="EJ69" s="563">
        <v>1</v>
      </c>
      <c r="EK69" s="563">
        <v>8</v>
      </c>
      <c r="EL69" s="563">
        <v>103.72306208672528</v>
      </c>
      <c r="EM69" s="650">
        <v>2174.0955654316231</v>
      </c>
      <c r="EN69" s="563">
        <v>1</v>
      </c>
      <c r="EO69" s="563">
        <v>14</v>
      </c>
      <c r="EP69" s="563">
        <v>130.82577596519474</v>
      </c>
      <c r="EQ69" s="650">
        <v>2145.5839736948351</v>
      </c>
      <c r="ER69" s="564">
        <v>2145.5839736948351</v>
      </c>
      <c r="ES69" s="565">
        <v>202.2165254825907</v>
      </c>
      <c r="ET69" s="649">
        <v>155.51289600000004</v>
      </c>
      <c r="EU69" s="646">
        <v>553.05023112466461</v>
      </c>
      <c r="EV69" s="646">
        <v>0</v>
      </c>
      <c r="EW69" s="646">
        <v>0</v>
      </c>
      <c r="EX69" s="646">
        <v>109.08908961415226</v>
      </c>
      <c r="EY69" s="646">
        <v>201.92305257892957</v>
      </c>
      <c r="EZ69" s="646">
        <v>1550</v>
      </c>
      <c r="FA69" s="563" t="s">
        <v>1587</v>
      </c>
      <c r="FB69" s="563">
        <v>8</v>
      </c>
      <c r="FC69" s="563">
        <v>0</v>
      </c>
      <c r="FD69" s="563">
        <v>0</v>
      </c>
      <c r="FE69" s="563">
        <v>0</v>
      </c>
      <c r="FF69" s="650">
        <v>1874.5695986736046</v>
      </c>
      <c r="FG69" s="563">
        <v>0</v>
      </c>
      <c r="FH69" s="563">
        <v>0</v>
      </c>
      <c r="FI69" s="563">
        <v>0</v>
      </c>
      <c r="FJ69" s="650">
        <v>2027.9228763738681</v>
      </c>
      <c r="FK69" s="564">
        <v>1874.5695986736046</v>
      </c>
      <c r="FL69" s="565">
        <v>176.67402239507288</v>
      </c>
      <c r="FM69" s="649">
        <v>97.195560000000029</v>
      </c>
      <c r="FN69" s="646">
        <v>525.50493737011857</v>
      </c>
      <c r="FO69" s="646">
        <v>8.3864311054176444</v>
      </c>
      <c r="FP69" s="646">
        <v>22.385611140036286</v>
      </c>
      <c r="FQ69" s="646">
        <v>103.9596967692989</v>
      </c>
      <c r="FR69" s="646">
        <v>190.47265698077354</v>
      </c>
      <c r="FS69" s="646">
        <v>1937.5</v>
      </c>
      <c r="FT69" s="563" t="s">
        <v>1589</v>
      </c>
      <c r="FU69" s="563">
        <v>5</v>
      </c>
      <c r="FV69" s="563">
        <v>1</v>
      </c>
      <c r="FW69" s="563">
        <v>8</v>
      </c>
      <c r="FX69" s="563">
        <v>103.72306208672528</v>
      </c>
      <c r="FY69" s="650">
        <v>2315.8102093175876</v>
      </c>
      <c r="FZ69" s="563">
        <v>1</v>
      </c>
      <c r="GA69" s="563">
        <v>8</v>
      </c>
      <c r="GB69" s="563">
        <v>130.82577596519474</v>
      </c>
      <c r="GC69" s="650">
        <v>2205.6336610264616</v>
      </c>
      <c r="GD69" s="564">
        <v>2205.6336610264616</v>
      </c>
      <c r="GE69" s="565">
        <v>207.87607517973274</v>
      </c>
      <c r="GF69" s="649">
        <v>155.51289600000004</v>
      </c>
      <c r="GG69" s="646">
        <v>553.05023112466461</v>
      </c>
      <c r="GH69" s="646">
        <v>0</v>
      </c>
      <c r="GI69" s="646">
        <v>0</v>
      </c>
      <c r="GJ69" s="646">
        <v>109.08908961415226</v>
      </c>
      <c r="GK69" s="646">
        <v>201.92305257892957</v>
      </c>
      <c r="GL69" s="646">
        <v>1550</v>
      </c>
      <c r="GM69" s="563" t="s">
        <v>1587</v>
      </c>
      <c r="GN69" s="563">
        <v>8</v>
      </c>
      <c r="GO69" s="563">
        <v>0</v>
      </c>
      <c r="GP69" s="563">
        <v>0</v>
      </c>
      <c r="GQ69" s="563">
        <v>0</v>
      </c>
      <c r="GR69" s="650">
        <v>1874.5695986736046</v>
      </c>
      <c r="GS69" s="563">
        <v>0</v>
      </c>
      <c r="GT69" s="563">
        <v>0</v>
      </c>
      <c r="GU69" s="563">
        <v>0</v>
      </c>
      <c r="GV69" s="650">
        <v>2027.9228763738681</v>
      </c>
      <c r="GW69" s="564">
        <v>1874.5695986736046</v>
      </c>
      <c r="GX69" s="565">
        <v>176.67402239507288</v>
      </c>
      <c r="GY69" s="649">
        <v>77.75644800000002</v>
      </c>
      <c r="GZ69" s="646">
        <v>498.37281480875504</v>
      </c>
      <c r="HA69" s="646">
        <v>6.2898233290632337</v>
      </c>
      <c r="HB69" s="646">
        <v>16.789208355027217</v>
      </c>
      <c r="HC69" s="646">
        <v>101.1820522699403</v>
      </c>
      <c r="HD69" s="646">
        <v>176.3281069424421</v>
      </c>
      <c r="HE69" s="646">
        <v>1937.5</v>
      </c>
      <c r="HF69" s="563" t="s">
        <v>1587</v>
      </c>
      <c r="HG69" s="563">
        <v>4</v>
      </c>
      <c r="HH69" s="563">
        <v>1</v>
      </c>
      <c r="HI69" s="563">
        <v>6</v>
      </c>
      <c r="HJ69" s="563">
        <v>103.72306208672528</v>
      </c>
      <c r="HK69" s="650">
        <v>2463.5458685451017</v>
      </c>
      <c r="HL69" s="563">
        <v>1</v>
      </c>
      <c r="HM69" s="563">
        <v>6</v>
      </c>
      <c r="HN69" s="563">
        <v>130.82577596519474</v>
      </c>
      <c r="HO69" s="650">
        <v>2573.9649121202897</v>
      </c>
      <c r="HP69" s="564">
        <v>2463.5458685451017</v>
      </c>
      <c r="HQ69" s="565">
        <v>232.18372807208334</v>
      </c>
      <c r="HR69" s="649">
        <v>77.75644800000002</v>
      </c>
      <c r="HS69" s="646">
        <v>498.37281480875504</v>
      </c>
      <c r="HT69" s="646">
        <v>6.2898233290632337</v>
      </c>
      <c r="HU69" s="646">
        <v>16.789208355027217</v>
      </c>
      <c r="HV69" s="646">
        <v>101.1820522699403</v>
      </c>
      <c r="HW69" s="646">
        <v>176.3281069424421</v>
      </c>
      <c r="HX69" s="646">
        <v>1550</v>
      </c>
      <c r="HY69" s="563" t="s">
        <v>68</v>
      </c>
      <c r="HZ69" s="563">
        <v>4</v>
      </c>
      <c r="IA69" s="563">
        <v>1</v>
      </c>
      <c r="IB69" s="563">
        <v>6</v>
      </c>
      <c r="IC69" s="563">
        <v>103.72306208672528</v>
      </c>
      <c r="ID69" s="650">
        <v>2172.6432371903193</v>
      </c>
      <c r="IE69" s="563">
        <v>1</v>
      </c>
      <c r="IF69" s="563">
        <v>6</v>
      </c>
      <c r="IG69" s="563">
        <v>130.82577596519474</v>
      </c>
      <c r="IH69" s="650">
        <v>2270.02368029217</v>
      </c>
      <c r="II69" s="564">
        <v>2172.6432371903193</v>
      </c>
      <c r="IJ69" s="565">
        <v>204.7668009848596</v>
      </c>
      <c r="IK69" s="649">
        <v>77.75644800000002</v>
      </c>
      <c r="IL69" s="646">
        <v>498.37281480875504</v>
      </c>
      <c r="IM69" s="646">
        <v>6.2898233290632337</v>
      </c>
      <c r="IN69" s="646">
        <v>16.789208355027217</v>
      </c>
      <c r="IO69" s="646">
        <v>101.1820522699403</v>
      </c>
      <c r="IP69" s="646">
        <v>176.3281069424421</v>
      </c>
      <c r="IQ69" s="646">
        <v>1937.5</v>
      </c>
      <c r="IR69" s="563" t="s">
        <v>68</v>
      </c>
      <c r="IS69" s="563">
        <v>4</v>
      </c>
      <c r="IT69" s="563">
        <v>1</v>
      </c>
      <c r="IU69" s="563">
        <v>6</v>
      </c>
      <c r="IV69" s="563">
        <v>103.72306208672528</v>
      </c>
      <c r="IW69" s="650">
        <v>2172.6432371903193</v>
      </c>
      <c r="IX69" s="563">
        <v>1</v>
      </c>
      <c r="IY69" s="563">
        <v>6</v>
      </c>
      <c r="IZ69" s="563">
        <v>130.82577596519474</v>
      </c>
      <c r="JA69" s="650">
        <v>2270.02368029217</v>
      </c>
      <c r="JB69" s="564">
        <v>2172.6432371903193</v>
      </c>
      <c r="JC69" s="565">
        <v>204.7668009848596</v>
      </c>
      <c r="JD69" s="649">
        <v>116.63467200000002</v>
      </c>
      <c r="JE69" s="646">
        <v>514.17200712466456</v>
      </c>
      <c r="JF69" s="646">
        <v>0</v>
      </c>
      <c r="JG69" s="646">
        <v>0</v>
      </c>
      <c r="JH69" s="646">
        <v>104.82367652352251</v>
      </c>
      <c r="JI69" s="646">
        <v>182.48631093564904</v>
      </c>
      <c r="JJ69" s="646">
        <v>1550</v>
      </c>
      <c r="JK69" s="563" t="s">
        <v>67</v>
      </c>
      <c r="JL69" s="563">
        <v>6</v>
      </c>
      <c r="JM69" s="563">
        <v>0</v>
      </c>
      <c r="JN69" s="563">
        <v>0</v>
      </c>
      <c r="JO69" s="563">
        <v>0</v>
      </c>
      <c r="JP69" s="650">
        <v>1799.3676326046957</v>
      </c>
      <c r="JQ69" s="563">
        <v>0</v>
      </c>
      <c r="JR69" s="563">
        <v>0</v>
      </c>
      <c r="JS69" s="563">
        <v>0</v>
      </c>
      <c r="JT69" s="650">
        <v>1874.9476657196865</v>
      </c>
      <c r="JU69" s="564">
        <v>1799.3676326046957</v>
      </c>
      <c r="JV69" s="565">
        <v>169.58640407094512</v>
      </c>
      <c r="JW69" s="649">
        <v>77.75644800000002</v>
      </c>
      <c r="JX69" s="646">
        <v>498.37281480875504</v>
      </c>
      <c r="JY69" s="646">
        <v>6.2898233290632337</v>
      </c>
      <c r="JZ69" s="646">
        <v>16.789208355027217</v>
      </c>
      <c r="KA69" s="646">
        <v>101.1820522699403</v>
      </c>
      <c r="KB69" s="646">
        <v>176.3281069424421</v>
      </c>
      <c r="KC69" s="646">
        <v>1937.5</v>
      </c>
      <c r="KD69" s="563" t="s">
        <v>67</v>
      </c>
      <c r="KE69" s="563">
        <v>4</v>
      </c>
      <c r="KF69" s="563">
        <v>1</v>
      </c>
      <c r="KG69" s="563">
        <v>6</v>
      </c>
      <c r="KH69" s="563">
        <v>103.72306208672528</v>
      </c>
      <c r="KI69" s="650">
        <v>2960.8136494965997</v>
      </c>
      <c r="KJ69" s="563">
        <v>1</v>
      </c>
      <c r="KK69" s="563">
        <v>6</v>
      </c>
      <c r="KL69" s="563">
        <v>130.82577596519474</v>
      </c>
      <c r="KM69" s="650">
        <v>3093.5208239649551</v>
      </c>
      <c r="KN69" s="564">
        <v>2960.8136494965997</v>
      </c>
      <c r="KO69" s="566">
        <v>279.05011229720708</v>
      </c>
    </row>
    <row r="70" spans="1:301" ht="15" customHeight="1">
      <c r="A70" s="663" t="s">
        <v>847</v>
      </c>
      <c r="B70" s="629" t="s">
        <v>392</v>
      </c>
      <c r="C70" s="629">
        <v>973</v>
      </c>
      <c r="D70" s="629">
        <v>1800</v>
      </c>
      <c r="E70" s="629">
        <v>1000</v>
      </c>
      <c r="F70" s="629">
        <v>782.23549855241902</v>
      </c>
      <c r="G70" s="629">
        <v>449</v>
      </c>
      <c r="H70" s="629">
        <v>367</v>
      </c>
      <c r="I70" s="629">
        <v>268</v>
      </c>
      <c r="J70" s="629">
        <v>35.049999999999997</v>
      </c>
      <c r="K70" s="629">
        <v>45.12</v>
      </c>
      <c r="L70" s="629">
        <v>12</v>
      </c>
      <c r="M70" s="629">
        <v>668</v>
      </c>
      <c r="N70" s="629">
        <v>6</v>
      </c>
      <c r="O70" s="623">
        <v>82.862647831084388</v>
      </c>
      <c r="P70" s="629">
        <v>6</v>
      </c>
      <c r="Q70" s="623">
        <v>58.189368061016388</v>
      </c>
      <c r="R70" s="629">
        <v>22</v>
      </c>
      <c r="S70" s="629">
        <v>1291.1177492762097</v>
      </c>
      <c r="T70" s="645">
        <v>226.10695530898863</v>
      </c>
      <c r="U70" s="645">
        <v>193.66766239143143</v>
      </c>
      <c r="V70" s="645">
        <v>185</v>
      </c>
      <c r="W70" s="793">
        <v>32.085347777511309</v>
      </c>
      <c r="X70" s="646">
        <v>521.49033236827927</v>
      </c>
      <c r="Y70" s="646">
        <v>69.866456709359099</v>
      </c>
      <c r="Z70" s="646">
        <v>6</v>
      </c>
      <c r="AA70" s="646">
        <v>10.415006222568456</v>
      </c>
      <c r="AB70" s="647">
        <v>77.484158173277208</v>
      </c>
      <c r="AC70" s="784">
        <v>2496.7424142934815</v>
      </c>
      <c r="AD70" s="631">
        <v>0.27643136846090716</v>
      </c>
      <c r="AE70" s="631">
        <v>0.7015088575925843</v>
      </c>
      <c r="AF70" s="631">
        <v>-0.32323299331070982</v>
      </c>
      <c r="AG70" s="631">
        <v>0.75404251885708584</v>
      </c>
      <c r="AH70" s="629"/>
      <c r="AI70" s="648">
        <v>13.781801761960725</v>
      </c>
      <c r="AJ70" s="649">
        <v>119.87326800000002</v>
      </c>
      <c r="AK70" s="646">
        <v>529.53259320116922</v>
      </c>
      <c r="AL70" s="646">
        <v>0</v>
      </c>
      <c r="AM70" s="646">
        <v>0</v>
      </c>
      <c r="AN70" s="646">
        <v>110.28746153593541</v>
      </c>
      <c r="AO70" s="646">
        <v>189.81227112315818</v>
      </c>
      <c r="AP70" s="801">
        <v>1300</v>
      </c>
      <c r="AQ70" s="563" t="s">
        <v>67</v>
      </c>
      <c r="AR70" s="563">
        <v>6</v>
      </c>
      <c r="AS70" s="563">
        <v>0</v>
      </c>
      <c r="AT70" s="563">
        <v>0</v>
      </c>
      <c r="AU70" s="563">
        <v>0</v>
      </c>
      <c r="AV70" s="650">
        <v>1518.5462830954534</v>
      </c>
      <c r="AW70" s="563">
        <v>0</v>
      </c>
      <c r="AX70" s="563">
        <v>0</v>
      </c>
      <c r="AY70" s="563">
        <v>0</v>
      </c>
      <c r="AZ70" s="650">
        <v>1554.5164242379556</v>
      </c>
      <c r="BA70" s="564">
        <v>1518.5462830954534</v>
      </c>
      <c r="BB70" s="565">
        <v>143.11961541326289</v>
      </c>
      <c r="BC70" s="649">
        <v>99.89439000000003</v>
      </c>
      <c r="BD70" s="646">
        <v>537.93411391420284</v>
      </c>
      <c r="BE70" s="646">
        <v>8.5459152750048322</v>
      </c>
      <c r="BF70" s="646">
        <v>19.834483438028805</v>
      </c>
      <c r="BG70" s="646">
        <v>109.60576044589949</v>
      </c>
      <c r="BH70" s="646">
        <v>195.94335293792003</v>
      </c>
      <c r="BI70" s="646">
        <v>1625</v>
      </c>
      <c r="BJ70" s="563" t="s">
        <v>71</v>
      </c>
      <c r="BK70" s="563">
        <v>5</v>
      </c>
      <c r="BL70" s="563">
        <v>1</v>
      </c>
      <c r="BM70" s="563">
        <v>8</v>
      </c>
      <c r="BN70" s="563">
        <v>93.531574076715074</v>
      </c>
      <c r="BO70" s="650">
        <v>1789.7333880293902</v>
      </c>
      <c r="BP70" s="563">
        <v>1</v>
      </c>
      <c r="BQ70" s="563">
        <v>8</v>
      </c>
      <c r="BR70" s="563">
        <v>115.403470514506</v>
      </c>
      <c r="BS70" s="650">
        <v>1855.788669140371</v>
      </c>
      <c r="BT70" s="564">
        <v>1789.7333880293902</v>
      </c>
      <c r="BU70" s="565">
        <v>168.67839791152511</v>
      </c>
      <c r="BV70" s="649">
        <v>79.915512000000021</v>
      </c>
      <c r="BW70" s="646">
        <v>510.86013623594442</v>
      </c>
      <c r="BX70" s="646">
        <v>6.4094364562536246</v>
      </c>
      <c r="BY70" s="646">
        <v>14.875862578521604</v>
      </c>
      <c r="BZ70" s="646">
        <v>106.17006614290273</v>
      </c>
      <c r="CA70" s="646">
        <v>181.34087187328234</v>
      </c>
      <c r="CB70" s="646">
        <v>1300</v>
      </c>
      <c r="CC70" s="563" t="s">
        <v>1584</v>
      </c>
      <c r="CD70" s="563">
        <v>4</v>
      </c>
      <c r="CE70" s="563">
        <v>1</v>
      </c>
      <c r="CF70" s="563">
        <v>6</v>
      </c>
      <c r="CG70" s="563">
        <v>93.531574076715074</v>
      </c>
      <c r="CH70" s="650">
        <v>1517.1295994535158</v>
      </c>
      <c r="CI70" s="563">
        <v>1</v>
      </c>
      <c r="CJ70" s="563">
        <v>6</v>
      </c>
      <c r="CK70" s="563">
        <v>115.403470514506</v>
      </c>
      <c r="CL70" s="650">
        <v>1556.0310487636789</v>
      </c>
      <c r="CM70" s="564">
        <v>1517.1295994535158</v>
      </c>
      <c r="CN70" s="565">
        <v>142.98609612560369</v>
      </c>
      <c r="CO70" s="649">
        <v>119.87326800000002</v>
      </c>
      <c r="CP70" s="646">
        <v>557.91299191420285</v>
      </c>
      <c r="CQ70" s="646">
        <v>8.5459152750048322</v>
      </c>
      <c r="CR70" s="646">
        <v>19.834483438028805</v>
      </c>
      <c r="CS70" s="646">
        <v>112.25191498675159</v>
      </c>
      <c r="CT70" s="646">
        <v>206.39912142667777</v>
      </c>
      <c r="CU70" s="646">
        <v>1625</v>
      </c>
      <c r="CV70" s="563" t="s">
        <v>1584</v>
      </c>
      <c r="CW70" s="563">
        <v>6</v>
      </c>
      <c r="CX70" s="563">
        <v>1</v>
      </c>
      <c r="CY70" s="563">
        <v>8</v>
      </c>
      <c r="CZ70" s="563">
        <v>93.531574076715074</v>
      </c>
      <c r="DA70" s="650">
        <v>2013.6380771616182</v>
      </c>
      <c r="DB70" s="563">
        <v>1</v>
      </c>
      <c r="DC70" s="563">
        <v>8</v>
      </c>
      <c r="DD70" s="563">
        <v>115.403470514506</v>
      </c>
      <c r="DE70" s="650">
        <v>1895.4077800184218</v>
      </c>
      <c r="DF70" s="564">
        <v>1895.4077800184218</v>
      </c>
      <c r="DG70" s="565">
        <v>178.63797471788439</v>
      </c>
      <c r="DH70" s="649">
        <v>79.915512000000021</v>
      </c>
      <c r="DI70" s="646">
        <v>510.86013623594442</v>
      </c>
      <c r="DJ70" s="646">
        <v>6.4094364562536246</v>
      </c>
      <c r="DK70" s="646">
        <v>14.875862578521604</v>
      </c>
      <c r="DL70" s="646">
        <v>106.17006614290273</v>
      </c>
      <c r="DM70" s="646">
        <v>181.34087187328234</v>
      </c>
      <c r="DN70" s="646">
        <v>1300</v>
      </c>
      <c r="DO70" s="563" t="s">
        <v>1588</v>
      </c>
      <c r="DP70" s="563">
        <v>4</v>
      </c>
      <c r="DQ70" s="563">
        <v>1</v>
      </c>
      <c r="DR70" s="563">
        <v>6</v>
      </c>
      <c r="DS70" s="563">
        <v>93.531574076715074</v>
      </c>
      <c r="DT70" s="650">
        <v>1579.0785519830283</v>
      </c>
      <c r="DU70" s="563">
        <v>1</v>
      </c>
      <c r="DV70" s="563">
        <v>6</v>
      </c>
      <c r="DW70" s="563">
        <v>115.403470514506</v>
      </c>
      <c r="DX70" s="650">
        <v>1619.5684641624889</v>
      </c>
      <c r="DY70" s="564">
        <v>1579.0785519830283</v>
      </c>
      <c r="DZ70" s="565">
        <v>148.8246473505327</v>
      </c>
      <c r="EA70" s="649">
        <v>99.89439000000003</v>
      </c>
      <c r="EB70" s="646">
        <v>537.93411391420284</v>
      </c>
      <c r="EC70" s="646">
        <v>8.5459152750048322</v>
      </c>
      <c r="ED70" s="646">
        <v>19.834483438028805</v>
      </c>
      <c r="EE70" s="646">
        <v>109.60576044589949</v>
      </c>
      <c r="EF70" s="646">
        <v>195.94335293792003</v>
      </c>
      <c r="EG70" s="646">
        <v>1625</v>
      </c>
      <c r="EH70" s="563" t="s">
        <v>1588</v>
      </c>
      <c r="EI70" s="563">
        <v>5</v>
      </c>
      <c r="EJ70" s="563">
        <v>1</v>
      </c>
      <c r="EK70" s="563">
        <v>8</v>
      </c>
      <c r="EL70" s="563">
        <v>93.531574076715074</v>
      </c>
      <c r="EM70" s="650">
        <v>1825.1770939380781</v>
      </c>
      <c r="EN70" s="563">
        <v>1</v>
      </c>
      <c r="EO70" s="563">
        <v>8</v>
      </c>
      <c r="EP70" s="563">
        <v>115.403470514506</v>
      </c>
      <c r="EQ70" s="650">
        <v>1892.5405274102272</v>
      </c>
      <c r="ER70" s="564">
        <v>1825.1770939380781</v>
      </c>
      <c r="ES70" s="565">
        <v>172.01888849448702</v>
      </c>
      <c r="ET70" s="649">
        <v>159.83102400000004</v>
      </c>
      <c r="EU70" s="646">
        <v>569.49034920116924</v>
      </c>
      <c r="EV70" s="646">
        <v>0</v>
      </c>
      <c r="EW70" s="646">
        <v>0</v>
      </c>
      <c r="EX70" s="646">
        <v>115.42435060208238</v>
      </c>
      <c r="EY70" s="646">
        <v>210.72380810067369</v>
      </c>
      <c r="EZ70" s="646">
        <v>1300</v>
      </c>
      <c r="FA70" s="563" t="s">
        <v>1587</v>
      </c>
      <c r="FB70" s="563">
        <v>8</v>
      </c>
      <c r="FC70" s="563">
        <v>0</v>
      </c>
      <c r="FD70" s="563">
        <v>0</v>
      </c>
      <c r="FE70" s="563">
        <v>0</v>
      </c>
      <c r="FF70" s="650">
        <v>1566.2571936784552</v>
      </c>
      <c r="FG70" s="563">
        <v>0</v>
      </c>
      <c r="FH70" s="563">
        <v>0</v>
      </c>
      <c r="FI70" s="563">
        <v>0</v>
      </c>
      <c r="FJ70" s="650">
        <v>1643.5359885491378</v>
      </c>
      <c r="FK70" s="564">
        <v>1566.2571936784552</v>
      </c>
      <c r="FL70" s="565">
        <v>147.61626279877203</v>
      </c>
      <c r="FM70" s="649">
        <v>99.89439000000003</v>
      </c>
      <c r="FN70" s="646">
        <v>537.93411391420284</v>
      </c>
      <c r="FO70" s="646">
        <v>8.5459152750048322</v>
      </c>
      <c r="FP70" s="646">
        <v>19.834483438028805</v>
      </c>
      <c r="FQ70" s="646">
        <v>109.60576044589949</v>
      </c>
      <c r="FR70" s="646">
        <v>195.94335293792003</v>
      </c>
      <c r="FS70" s="646">
        <v>1625</v>
      </c>
      <c r="FT70" s="563" t="s">
        <v>1589</v>
      </c>
      <c r="FU70" s="563">
        <v>5</v>
      </c>
      <c r="FV70" s="563">
        <v>1</v>
      </c>
      <c r="FW70" s="563">
        <v>8</v>
      </c>
      <c r="FX70" s="563">
        <v>93.531574076715074</v>
      </c>
      <c r="FY70" s="650">
        <v>1944.1480931935321</v>
      </c>
      <c r="FZ70" s="563">
        <v>1</v>
      </c>
      <c r="GA70" s="563">
        <v>8</v>
      </c>
      <c r="GB70" s="563">
        <v>115.403470514506</v>
      </c>
      <c r="GC70" s="650">
        <v>2015.9024950928435</v>
      </c>
      <c r="GD70" s="564">
        <v>1944.1480931935321</v>
      </c>
      <c r="GE70" s="565">
        <v>183.23164101202212</v>
      </c>
      <c r="GF70" s="649">
        <v>159.83102400000004</v>
      </c>
      <c r="GG70" s="646">
        <v>569.49034920116924</v>
      </c>
      <c r="GH70" s="646">
        <v>0</v>
      </c>
      <c r="GI70" s="646">
        <v>0</v>
      </c>
      <c r="GJ70" s="646">
        <v>115.42435060208238</v>
      </c>
      <c r="GK70" s="646">
        <v>210.72380810067369</v>
      </c>
      <c r="GL70" s="646">
        <v>1300</v>
      </c>
      <c r="GM70" s="563" t="s">
        <v>1587</v>
      </c>
      <c r="GN70" s="563">
        <v>8</v>
      </c>
      <c r="GO70" s="563">
        <v>0</v>
      </c>
      <c r="GP70" s="563">
        <v>0</v>
      </c>
      <c r="GQ70" s="563">
        <v>0</v>
      </c>
      <c r="GR70" s="650">
        <v>1566.2571936784552</v>
      </c>
      <c r="GS70" s="563">
        <v>0</v>
      </c>
      <c r="GT70" s="563">
        <v>0</v>
      </c>
      <c r="GU70" s="563">
        <v>0</v>
      </c>
      <c r="GV70" s="650">
        <v>1643.5359885491378</v>
      </c>
      <c r="GW70" s="564">
        <v>1566.2571936784552</v>
      </c>
      <c r="GX70" s="565">
        <v>147.61626279877203</v>
      </c>
      <c r="GY70" s="649">
        <v>79.915512000000021</v>
      </c>
      <c r="GZ70" s="646">
        <v>510.86013623594442</v>
      </c>
      <c r="HA70" s="646">
        <v>6.4094364562536246</v>
      </c>
      <c r="HB70" s="646">
        <v>14.875862578521604</v>
      </c>
      <c r="HC70" s="646">
        <v>106.17006614290273</v>
      </c>
      <c r="HD70" s="646">
        <v>181.34087187328234</v>
      </c>
      <c r="HE70" s="646">
        <v>1625</v>
      </c>
      <c r="HF70" s="563" t="s">
        <v>1587</v>
      </c>
      <c r="HG70" s="563">
        <v>4</v>
      </c>
      <c r="HH70" s="563">
        <v>1</v>
      </c>
      <c r="HI70" s="563">
        <v>6</v>
      </c>
      <c r="HJ70" s="563">
        <v>93.531574076715074</v>
      </c>
      <c r="HK70" s="650">
        <v>2077.41526069867</v>
      </c>
      <c r="HL70" s="563">
        <v>1</v>
      </c>
      <c r="HM70" s="563">
        <v>6</v>
      </c>
      <c r="HN70" s="563">
        <v>115.403470514506</v>
      </c>
      <c r="HO70" s="650">
        <v>2130.68326396572</v>
      </c>
      <c r="HP70" s="564">
        <v>2077.41526069867</v>
      </c>
      <c r="HQ70" s="565">
        <v>195.79177564398799</v>
      </c>
      <c r="HR70" s="649">
        <v>79.915512000000021</v>
      </c>
      <c r="HS70" s="646">
        <v>510.86013623594442</v>
      </c>
      <c r="HT70" s="646">
        <v>6.4094364562536246</v>
      </c>
      <c r="HU70" s="646">
        <v>14.875862578521604</v>
      </c>
      <c r="HV70" s="646">
        <v>106.17006614290273</v>
      </c>
      <c r="HW70" s="646">
        <v>181.34087187328234</v>
      </c>
      <c r="HX70" s="646">
        <v>1300</v>
      </c>
      <c r="HY70" s="563" t="s">
        <v>68</v>
      </c>
      <c r="HZ70" s="563">
        <v>4</v>
      </c>
      <c r="IA70" s="563">
        <v>1</v>
      </c>
      <c r="IB70" s="563">
        <v>6</v>
      </c>
      <c r="IC70" s="563">
        <v>93.531574076715074</v>
      </c>
      <c r="ID70" s="650">
        <v>1832.1080498730312</v>
      </c>
      <c r="IE70" s="563">
        <v>1</v>
      </c>
      <c r="IF70" s="563">
        <v>6</v>
      </c>
      <c r="IG70" s="563">
        <v>115.403470514506</v>
      </c>
      <c r="IH70" s="650">
        <v>1879.0860130335618</v>
      </c>
      <c r="II70" s="564">
        <v>1832.1080498730312</v>
      </c>
      <c r="IJ70" s="565">
        <v>172.67211570191512</v>
      </c>
      <c r="IK70" s="649">
        <v>79.915512000000021</v>
      </c>
      <c r="IL70" s="646">
        <v>510.86013623594442</v>
      </c>
      <c r="IM70" s="646">
        <v>6.4094364562536246</v>
      </c>
      <c r="IN70" s="646">
        <v>14.875862578521604</v>
      </c>
      <c r="IO70" s="646">
        <v>106.17006614290273</v>
      </c>
      <c r="IP70" s="646">
        <v>181.34087187328234</v>
      </c>
      <c r="IQ70" s="646">
        <v>1625</v>
      </c>
      <c r="IR70" s="563" t="s">
        <v>68</v>
      </c>
      <c r="IS70" s="563">
        <v>4</v>
      </c>
      <c r="IT70" s="563">
        <v>1</v>
      </c>
      <c r="IU70" s="563">
        <v>6</v>
      </c>
      <c r="IV70" s="563">
        <v>93.531574076715074</v>
      </c>
      <c r="IW70" s="650">
        <v>1832.1080498730312</v>
      </c>
      <c r="IX70" s="563">
        <v>1</v>
      </c>
      <c r="IY70" s="563">
        <v>6</v>
      </c>
      <c r="IZ70" s="563">
        <v>115.403470514506</v>
      </c>
      <c r="JA70" s="650">
        <v>1879.0860130335618</v>
      </c>
      <c r="JB70" s="564">
        <v>1832.1080498730312</v>
      </c>
      <c r="JC70" s="565">
        <v>172.67211570191512</v>
      </c>
      <c r="JD70" s="649">
        <v>119.87326800000002</v>
      </c>
      <c r="JE70" s="646">
        <v>529.53259320116922</v>
      </c>
      <c r="JF70" s="646">
        <v>0</v>
      </c>
      <c r="JG70" s="646">
        <v>0</v>
      </c>
      <c r="JH70" s="646">
        <v>110.28746153593541</v>
      </c>
      <c r="JI70" s="646">
        <v>189.81227112315818</v>
      </c>
      <c r="JJ70" s="646">
        <v>1300</v>
      </c>
      <c r="JK70" s="563" t="s">
        <v>67</v>
      </c>
      <c r="JL70" s="563">
        <v>6</v>
      </c>
      <c r="JM70" s="563">
        <v>0</v>
      </c>
      <c r="JN70" s="563">
        <v>0</v>
      </c>
      <c r="JO70" s="563">
        <v>0</v>
      </c>
      <c r="JP70" s="650">
        <v>1518.5462830954534</v>
      </c>
      <c r="JQ70" s="563">
        <v>0</v>
      </c>
      <c r="JR70" s="563">
        <v>0</v>
      </c>
      <c r="JS70" s="563">
        <v>0</v>
      </c>
      <c r="JT70" s="650">
        <v>1554.5164242379556</v>
      </c>
      <c r="JU70" s="564">
        <v>1518.5462830954534</v>
      </c>
      <c r="JV70" s="565">
        <v>143.11961541326289</v>
      </c>
      <c r="JW70" s="649">
        <v>79.915512000000021</v>
      </c>
      <c r="JX70" s="646">
        <v>510.86013623594442</v>
      </c>
      <c r="JY70" s="646">
        <v>6.4094364562536246</v>
      </c>
      <c r="JZ70" s="646">
        <v>14.875862578521604</v>
      </c>
      <c r="KA70" s="646">
        <v>106.17006614290273</v>
      </c>
      <c r="KB70" s="646">
        <v>181.34087187328234</v>
      </c>
      <c r="KC70" s="646">
        <v>1625</v>
      </c>
      <c r="KD70" s="563" t="s">
        <v>67</v>
      </c>
      <c r="KE70" s="563">
        <v>4</v>
      </c>
      <c r="KF70" s="563">
        <v>1</v>
      </c>
      <c r="KG70" s="563">
        <v>6</v>
      </c>
      <c r="KH70" s="563">
        <v>93.531574076715074</v>
      </c>
      <c r="KI70" s="650">
        <v>2496.7424142934815</v>
      </c>
      <c r="KJ70" s="563">
        <v>1</v>
      </c>
      <c r="KK70" s="563">
        <v>6</v>
      </c>
      <c r="KL70" s="563">
        <v>115.403470514506</v>
      </c>
      <c r="KM70" s="650">
        <v>2560.762586667126</v>
      </c>
      <c r="KN70" s="564">
        <v>2496.7424142934815</v>
      </c>
      <c r="KO70" s="566">
        <v>235.31242879951336</v>
      </c>
    </row>
    <row r="71" spans="1:301" ht="15" customHeight="1">
      <c r="A71" s="663" t="s">
        <v>848</v>
      </c>
      <c r="B71" s="629" t="s">
        <v>393</v>
      </c>
      <c r="C71" s="629">
        <v>1126.5</v>
      </c>
      <c r="D71" s="629">
        <v>1800</v>
      </c>
      <c r="E71" s="629">
        <v>1120</v>
      </c>
      <c r="F71" s="629">
        <v>928.74096758399003</v>
      </c>
      <c r="G71" s="629">
        <v>506.62799530184145</v>
      </c>
      <c r="H71" s="629">
        <v>455</v>
      </c>
      <c r="I71" s="629">
        <v>340</v>
      </c>
      <c r="J71" s="629">
        <v>16.82</v>
      </c>
      <c r="K71" s="629">
        <v>29.93</v>
      </c>
      <c r="L71" s="629">
        <v>12</v>
      </c>
      <c r="M71" s="629">
        <v>774</v>
      </c>
      <c r="N71" s="629">
        <v>6</v>
      </c>
      <c r="O71" s="623">
        <v>73.451818541696952</v>
      </c>
      <c r="P71" s="629">
        <v>6</v>
      </c>
      <c r="Q71" s="623">
        <v>50.993569266487867</v>
      </c>
      <c r="R71" s="629">
        <v>22</v>
      </c>
      <c r="S71" s="629">
        <v>1364.370483791995</v>
      </c>
      <c r="T71" s="645">
        <v>252.49155088892653</v>
      </c>
      <c r="U71" s="645">
        <v>204.65557256879924</v>
      </c>
      <c r="V71" s="645">
        <v>222.5</v>
      </c>
      <c r="W71" s="793">
        <v>43.092130453557559</v>
      </c>
      <c r="X71" s="646">
        <v>619.16064505599331</v>
      </c>
      <c r="Y71" s="646">
        <v>82.951797413943211</v>
      </c>
      <c r="Z71" s="646">
        <v>6</v>
      </c>
      <c r="AA71" s="646">
        <v>14.681610510141315</v>
      </c>
      <c r="AB71" s="647">
        <v>101.1719097663796</v>
      </c>
      <c r="AC71" s="784">
        <v>1928.8759241769219</v>
      </c>
      <c r="AD71" s="631">
        <v>0.28960600313197232</v>
      </c>
      <c r="AE71" s="631">
        <v>0.30229872525299156</v>
      </c>
      <c r="AF71" s="631">
        <v>-0.70539734865355619</v>
      </c>
      <c r="AG71" s="631">
        <v>1.172195053928101</v>
      </c>
      <c r="AH71" s="629"/>
      <c r="AI71" s="648">
        <v>15.569376124636472</v>
      </c>
      <c r="AJ71" s="649">
        <v>173.89225800000003</v>
      </c>
      <c r="AK71" s="646">
        <v>635.35572502551497</v>
      </c>
      <c r="AL71" s="646">
        <v>7.1368445048373124</v>
      </c>
      <c r="AM71" s="646">
        <v>19.615942859867324</v>
      </c>
      <c r="AN71" s="646">
        <v>135.78649788658979</v>
      </c>
      <c r="AO71" s="646">
        <v>247.79687750598939</v>
      </c>
      <c r="AP71" s="801">
        <v>1150</v>
      </c>
      <c r="AQ71" s="563" t="s">
        <v>71</v>
      </c>
      <c r="AR71" s="563">
        <v>6</v>
      </c>
      <c r="AS71" s="563">
        <v>1</v>
      </c>
      <c r="AT71" s="563">
        <v>8</v>
      </c>
      <c r="AU71" s="563">
        <v>66.166944435299868</v>
      </c>
      <c r="AV71" s="650">
        <v>1389.7584234086557</v>
      </c>
      <c r="AW71" s="563">
        <v>1</v>
      </c>
      <c r="AX71" s="563">
        <v>8</v>
      </c>
      <c r="AY71" s="563">
        <v>114.08888983015085</v>
      </c>
      <c r="AZ71" s="650">
        <v>1463.1404905122643</v>
      </c>
      <c r="BA71" s="564">
        <v>1389.7584234086557</v>
      </c>
      <c r="BB71" s="565">
        <v>130.98164559735497</v>
      </c>
      <c r="BC71" s="649">
        <v>231.85634400000004</v>
      </c>
      <c r="BD71" s="646">
        <v>700.00800786669106</v>
      </c>
      <c r="BE71" s="646">
        <v>8.9210556310466416</v>
      </c>
      <c r="BF71" s="646">
        <v>24.519928574834157</v>
      </c>
      <c r="BG71" s="646">
        <v>143.85427430759316</v>
      </c>
      <c r="BH71" s="646">
        <v>284.60394737230575</v>
      </c>
      <c r="BI71" s="646">
        <v>1437.5</v>
      </c>
      <c r="BJ71" s="563" t="s">
        <v>71</v>
      </c>
      <c r="BK71" s="563">
        <v>8</v>
      </c>
      <c r="BL71" s="563">
        <v>1</v>
      </c>
      <c r="BM71" s="563">
        <v>10</v>
      </c>
      <c r="BN71" s="563">
        <v>66.166944435299868</v>
      </c>
      <c r="BO71" s="650">
        <v>1837.9385843541368</v>
      </c>
      <c r="BP71" s="563">
        <v>1</v>
      </c>
      <c r="BQ71" s="563">
        <v>10</v>
      </c>
      <c r="BR71" s="563">
        <v>114.08888983015085</v>
      </c>
      <c r="BS71" s="650">
        <v>1775.674216872445</v>
      </c>
      <c r="BT71" s="564">
        <v>1775.674216872445</v>
      </c>
      <c r="BU71" s="565">
        <v>167.35335224685846</v>
      </c>
      <c r="BV71" s="649">
        <v>173.89225800000003</v>
      </c>
      <c r="BW71" s="646">
        <v>635.35572502551497</v>
      </c>
      <c r="BX71" s="646">
        <v>7.1368445048373124</v>
      </c>
      <c r="BY71" s="646">
        <v>19.615942859867324</v>
      </c>
      <c r="BZ71" s="646">
        <v>135.78649788658979</v>
      </c>
      <c r="CA71" s="646">
        <v>247.79687750598939</v>
      </c>
      <c r="CB71" s="646">
        <v>1150</v>
      </c>
      <c r="CC71" s="563" t="s">
        <v>1584</v>
      </c>
      <c r="CD71" s="563">
        <v>6</v>
      </c>
      <c r="CE71" s="563">
        <v>1</v>
      </c>
      <c r="CF71" s="563">
        <v>8</v>
      </c>
      <c r="CG71" s="563">
        <v>66.166944435299868</v>
      </c>
      <c r="CH71" s="650">
        <v>1361.6796012344091</v>
      </c>
      <c r="CI71" s="563">
        <v>1</v>
      </c>
      <c r="CJ71" s="563">
        <v>8</v>
      </c>
      <c r="CK71" s="563">
        <v>114.08888983015085</v>
      </c>
      <c r="CL71" s="650">
        <v>1433.5790495042156</v>
      </c>
      <c r="CM71" s="564">
        <v>1361.6796012344091</v>
      </c>
      <c r="CN71" s="565">
        <v>128.33527895343295</v>
      </c>
      <c r="CO71" s="649">
        <v>231.85634400000004</v>
      </c>
      <c r="CP71" s="646">
        <v>700.00800786669106</v>
      </c>
      <c r="CQ71" s="646">
        <v>8.9210556310466416</v>
      </c>
      <c r="CR71" s="646">
        <v>24.519928574834157</v>
      </c>
      <c r="CS71" s="646">
        <v>143.85427430759316</v>
      </c>
      <c r="CT71" s="646">
        <v>284.60394737230575</v>
      </c>
      <c r="CU71" s="646">
        <v>1437.5</v>
      </c>
      <c r="CV71" s="563" t="s">
        <v>1584</v>
      </c>
      <c r="CW71" s="563">
        <v>8</v>
      </c>
      <c r="CX71" s="563">
        <v>1</v>
      </c>
      <c r="CY71" s="563">
        <v>10</v>
      </c>
      <c r="CZ71" s="563">
        <v>66.166944435299868</v>
      </c>
      <c r="DA71" s="650">
        <v>1800.8046840963573</v>
      </c>
      <c r="DB71" s="563">
        <v>1</v>
      </c>
      <c r="DC71" s="563">
        <v>10</v>
      </c>
      <c r="DD71" s="563">
        <v>114.08888983015085</v>
      </c>
      <c r="DE71" s="650">
        <v>1739.7983123014428</v>
      </c>
      <c r="DF71" s="564">
        <v>1739.7983123014428</v>
      </c>
      <c r="DG71" s="565">
        <v>163.97212789962398</v>
      </c>
      <c r="DH71" s="649">
        <v>173.89225800000003</v>
      </c>
      <c r="DI71" s="646">
        <v>635.35572502551497</v>
      </c>
      <c r="DJ71" s="646">
        <v>7.1368445048373124</v>
      </c>
      <c r="DK71" s="646">
        <v>19.615942859867324</v>
      </c>
      <c r="DL71" s="646">
        <v>135.78649788658979</v>
      </c>
      <c r="DM71" s="646">
        <v>247.79687750598939</v>
      </c>
      <c r="DN71" s="646">
        <v>1150</v>
      </c>
      <c r="DO71" s="563" t="s">
        <v>1588</v>
      </c>
      <c r="DP71" s="563">
        <v>6</v>
      </c>
      <c r="DQ71" s="563">
        <v>1</v>
      </c>
      <c r="DR71" s="563">
        <v>8</v>
      </c>
      <c r="DS71" s="563">
        <v>66.166944435299868</v>
      </c>
      <c r="DT71" s="650">
        <v>1417.2810640281355</v>
      </c>
      <c r="DU71" s="563">
        <v>1</v>
      </c>
      <c r="DV71" s="563">
        <v>8</v>
      </c>
      <c r="DW71" s="563">
        <v>114.08888983015085</v>
      </c>
      <c r="DX71" s="650">
        <v>1492.1163824499506</v>
      </c>
      <c r="DY71" s="564">
        <v>1417.2810640281355</v>
      </c>
      <c r="DZ71" s="565">
        <v>133.57559336468145</v>
      </c>
      <c r="EA71" s="649">
        <v>231.85634400000004</v>
      </c>
      <c r="EB71" s="646">
        <v>700.00800786669106</v>
      </c>
      <c r="EC71" s="646">
        <v>8.9210556310466416</v>
      </c>
      <c r="ED71" s="646">
        <v>24.519928574834157</v>
      </c>
      <c r="EE71" s="646">
        <v>143.85427430759316</v>
      </c>
      <c r="EF71" s="646">
        <v>284.60394737230575</v>
      </c>
      <c r="EG71" s="646">
        <v>1437.5</v>
      </c>
      <c r="EH71" s="563" t="s">
        <v>1588</v>
      </c>
      <c r="EI71" s="563">
        <v>8</v>
      </c>
      <c r="EJ71" s="563">
        <v>1</v>
      </c>
      <c r="EK71" s="563">
        <v>10</v>
      </c>
      <c r="EL71" s="563">
        <v>66.166944435299868</v>
      </c>
      <c r="EM71" s="650">
        <v>1874.3369412813686</v>
      </c>
      <c r="EN71" s="563">
        <v>1</v>
      </c>
      <c r="EO71" s="563">
        <v>10</v>
      </c>
      <c r="EP71" s="563">
        <v>114.08888983015085</v>
      </c>
      <c r="EQ71" s="650">
        <v>1810.8394963232367</v>
      </c>
      <c r="ER71" s="564">
        <v>1810.8394963232367</v>
      </c>
      <c r="ES71" s="565">
        <v>170.66760175437966</v>
      </c>
      <c r="ET71" s="649">
        <v>144.91021500000002</v>
      </c>
      <c r="EU71" s="646">
        <v>606.37368202551488</v>
      </c>
      <c r="EV71" s="646">
        <v>7.1368445048373124</v>
      </c>
      <c r="EW71" s="646">
        <v>19.615942859867324</v>
      </c>
      <c r="EX71" s="646">
        <v>131.4029886072085</v>
      </c>
      <c r="EY71" s="646">
        <v>231.46186536891477</v>
      </c>
      <c r="EZ71" s="646">
        <v>1150</v>
      </c>
      <c r="FA71" s="563" t="s">
        <v>1589</v>
      </c>
      <c r="FB71" s="563">
        <v>5</v>
      </c>
      <c r="FC71" s="563">
        <v>1</v>
      </c>
      <c r="FD71" s="563">
        <v>8</v>
      </c>
      <c r="FE71" s="563">
        <v>66.166944435299868</v>
      </c>
      <c r="FF71" s="650">
        <v>1328.802808178634</v>
      </c>
      <c r="FG71" s="563">
        <v>1</v>
      </c>
      <c r="FH71" s="563">
        <v>8</v>
      </c>
      <c r="FI71" s="563">
        <v>114.08888983015085</v>
      </c>
      <c r="FJ71" s="650">
        <v>1384.3673774912661</v>
      </c>
      <c r="FK71" s="564">
        <v>1328.802808178634</v>
      </c>
      <c r="FL71" s="565">
        <v>125.2367142073045</v>
      </c>
      <c r="FM71" s="649">
        <v>231.85634400000004</v>
      </c>
      <c r="FN71" s="646">
        <v>700.00800786669106</v>
      </c>
      <c r="FO71" s="646">
        <v>8.9210556310466416</v>
      </c>
      <c r="FP71" s="646">
        <v>24.519928574834157</v>
      </c>
      <c r="FQ71" s="646">
        <v>143.85427430759316</v>
      </c>
      <c r="FR71" s="646">
        <v>284.60394737230575</v>
      </c>
      <c r="FS71" s="646">
        <v>1437.5</v>
      </c>
      <c r="FT71" s="563" t="s">
        <v>1589</v>
      </c>
      <c r="FU71" s="563">
        <v>8</v>
      </c>
      <c r="FV71" s="563">
        <v>1</v>
      </c>
      <c r="FW71" s="563">
        <v>10</v>
      </c>
      <c r="FX71" s="563">
        <v>66.166944435299868</v>
      </c>
      <c r="FY71" s="650">
        <v>1996.5123398146261</v>
      </c>
      <c r="FZ71" s="563">
        <v>1</v>
      </c>
      <c r="GA71" s="563">
        <v>10</v>
      </c>
      <c r="GB71" s="563">
        <v>114.08888983015085</v>
      </c>
      <c r="GC71" s="650">
        <v>1928.8759241769219</v>
      </c>
      <c r="GD71" s="564">
        <v>1928.8759241769219</v>
      </c>
      <c r="GE71" s="565">
        <v>181.79227299241322</v>
      </c>
      <c r="GF71" s="649">
        <v>115.92817200000002</v>
      </c>
      <c r="GG71" s="646">
        <v>570.70344218433866</v>
      </c>
      <c r="GH71" s="646">
        <v>5.3526333786279841</v>
      </c>
      <c r="GI71" s="646">
        <v>14.711957144900495</v>
      </c>
      <c r="GJ71" s="646">
        <v>125.89080130770665</v>
      </c>
      <c r="GK71" s="646">
        <v>210.98980763967296</v>
      </c>
      <c r="GL71" s="646">
        <v>1150</v>
      </c>
      <c r="GM71" s="563" t="s">
        <v>1587</v>
      </c>
      <c r="GN71" s="563">
        <v>4</v>
      </c>
      <c r="GO71" s="563">
        <v>1</v>
      </c>
      <c r="GP71" s="563">
        <v>6</v>
      </c>
      <c r="GQ71" s="563">
        <v>66.166944435299868</v>
      </c>
      <c r="GR71" s="650">
        <v>1429.9606029586973</v>
      </c>
      <c r="GS71" s="563">
        <v>1</v>
      </c>
      <c r="GT71" s="563">
        <v>6</v>
      </c>
      <c r="GU71" s="563">
        <v>114.08888983015085</v>
      </c>
      <c r="GV71" s="650">
        <v>1479.4439139893557</v>
      </c>
      <c r="GW71" s="564">
        <v>1429.9606029586973</v>
      </c>
      <c r="GX71" s="565">
        <v>134.77061175533623</v>
      </c>
      <c r="GY71" s="649">
        <v>144.91021500000002</v>
      </c>
      <c r="GZ71" s="646">
        <v>606.37368202551488</v>
      </c>
      <c r="HA71" s="646">
        <v>7.1368445048373124</v>
      </c>
      <c r="HB71" s="646">
        <v>19.615942859867324</v>
      </c>
      <c r="HC71" s="646">
        <v>131.4029886072085</v>
      </c>
      <c r="HD71" s="646">
        <v>231.46186536891477</v>
      </c>
      <c r="HE71" s="646">
        <v>1437.5</v>
      </c>
      <c r="HF71" s="563" t="s">
        <v>1587</v>
      </c>
      <c r="HG71" s="563">
        <v>5</v>
      </c>
      <c r="HH71" s="563">
        <v>1</v>
      </c>
      <c r="HI71" s="563">
        <v>8</v>
      </c>
      <c r="HJ71" s="563">
        <v>66.166944435299868</v>
      </c>
      <c r="HK71" s="650">
        <v>1641.1783761185495</v>
      </c>
      <c r="HL71" s="563">
        <v>1</v>
      </c>
      <c r="HM71" s="563">
        <v>8</v>
      </c>
      <c r="HN71" s="563">
        <v>114.08888983015085</v>
      </c>
      <c r="HO71" s="650">
        <v>1709.8050896331201</v>
      </c>
      <c r="HP71" s="564">
        <v>1641.1783761185495</v>
      </c>
      <c r="HQ71" s="565">
        <v>154.67741788933384</v>
      </c>
      <c r="HR71" s="649">
        <v>144.91021500000002</v>
      </c>
      <c r="HS71" s="646">
        <v>606.37368202551488</v>
      </c>
      <c r="HT71" s="646">
        <v>7.1368445048373124</v>
      </c>
      <c r="HU71" s="646">
        <v>19.615942859867324</v>
      </c>
      <c r="HV71" s="646">
        <v>131.4029886072085</v>
      </c>
      <c r="HW71" s="646">
        <v>231.46186536891477</v>
      </c>
      <c r="HX71" s="646">
        <v>1150</v>
      </c>
      <c r="HY71" s="563" t="s">
        <v>68</v>
      </c>
      <c r="HZ71" s="563">
        <v>5</v>
      </c>
      <c r="IA71" s="563">
        <v>1</v>
      </c>
      <c r="IB71" s="563">
        <v>8</v>
      </c>
      <c r="IC71" s="563">
        <v>66.166944435299868</v>
      </c>
      <c r="ID71" s="650">
        <v>1447.3832801021695</v>
      </c>
      <c r="IE71" s="563">
        <v>1</v>
      </c>
      <c r="IF71" s="563">
        <v>8</v>
      </c>
      <c r="IG71" s="563">
        <v>114.08888983015085</v>
      </c>
      <c r="IH71" s="650">
        <v>1507.9063525205793</v>
      </c>
      <c r="II71" s="564">
        <v>1447.3832801021695</v>
      </c>
      <c r="IJ71" s="565">
        <v>136.4126603909302</v>
      </c>
      <c r="IK71" s="649">
        <v>173.89225800000003</v>
      </c>
      <c r="IL71" s="646">
        <v>635.35572502551497</v>
      </c>
      <c r="IM71" s="646">
        <v>7.1368445048373124</v>
      </c>
      <c r="IN71" s="646">
        <v>19.615942859867324</v>
      </c>
      <c r="IO71" s="646">
        <v>135.78649788658979</v>
      </c>
      <c r="IP71" s="646">
        <v>247.79687750598939</v>
      </c>
      <c r="IQ71" s="646">
        <v>1437.5</v>
      </c>
      <c r="IR71" s="563" t="s">
        <v>68</v>
      </c>
      <c r="IS71" s="563">
        <v>6</v>
      </c>
      <c r="IT71" s="563">
        <v>1</v>
      </c>
      <c r="IU71" s="563">
        <v>8</v>
      </c>
      <c r="IV71" s="563">
        <v>66.166944435299868</v>
      </c>
      <c r="IW71" s="650">
        <v>1644.3843424240686</v>
      </c>
      <c r="IX71" s="563">
        <v>1</v>
      </c>
      <c r="IY71" s="563">
        <v>8</v>
      </c>
      <c r="IZ71" s="563">
        <v>114.08888983015085</v>
      </c>
      <c r="JA71" s="650">
        <v>1731.2111751508123</v>
      </c>
      <c r="JB71" s="564">
        <v>1644.3843424240686</v>
      </c>
      <c r="JC71" s="565">
        <v>154.97957309512609</v>
      </c>
      <c r="JD71" s="649">
        <v>115.92817200000002</v>
      </c>
      <c r="JE71" s="646">
        <v>570.70344218433866</v>
      </c>
      <c r="JF71" s="646">
        <v>5.3526333786279841</v>
      </c>
      <c r="JG71" s="646">
        <v>14.711957144900495</v>
      </c>
      <c r="JH71" s="646">
        <v>125.89080130770665</v>
      </c>
      <c r="JI71" s="646">
        <v>210.98980763967296</v>
      </c>
      <c r="JJ71" s="646">
        <v>1150</v>
      </c>
      <c r="JK71" s="563" t="s">
        <v>67</v>
      </c>
      <c r="JL71" s="563">
        <v>4</v>
      </c>
      <c r="JM71" s="563">
        <v>1</v>
      </c>
      <c r="JN71" s="563">
        <v>6</v>
      </c>
      <c r="JO71" s="563">
        <v>66.166944435299868</v>
      </c>
      <c r="JP71" s="650">
        <v>1718.5987586203287</v>
      </c>
      <c r="JQ71" s="563">
        <v>1</v>
      </c>
      <c r="JR71" s="563">
        <v>6</v>
      </c>
      <c r="JS71" s="563">
        <v>114.08888983015085</v>
      </c>
      <c r="JT71" s="650">
        <v>1778.0702970205862</v>
      </c>
      <c r="JU71" s="564">
        <v>1718.5987586203287</v>
      </c>
      <c r="JV71" s="565">
        <v>161.97411703650488</v>
      </c>
      <c r="JW71" s="649">
        <v>115.92817200000002</v>
      </c>
      <c r="JX71" s="646">
        <v>570.70344218433866</v>
      </c>
      <c r="JY71" s="646">
        <v>5.3526333786279841</v>
      </c>
      <c r="JZ71" s="646">
        <v>14.711957144900495</v>
      </c>
      <c r="KA71" s="646">
        <v>125.89080130770665</v>
      </c>
      <c r="KB71" s="646">
        <v>210.98980763967296</v>
      </c>
      <c r="KC71" s="646">
        <v>1437.5</v>
      </c>
      <c r="KD71" s="563" t="s">
        <v>67</v>
      </c>
      <c r="KE71" s="563">
        <v>4</v>
      </c>
      <c r="KF71" s="563">
        <v>1</v>
      </c>
      <c r="KG71" s="563">
        <v>6</v>
      </c>
      <c r="KH71" s="563">
        <v>66.166944435299868</v>
      </c>
      <c r="KI71" s="650">
        <v>1718.5987586203287</v>
      </c>
      <c r="KJ71" s="563">
        <v>1</v>
      </c>
      <c r="KK71" s="563">
        <v>6</v>
      </c>
      <c r="KL71" s="563">
        <v>114.08888983015085</v>
      </c>
      <c r="KM71" s="650">
        <v>1778.0702970205857</v>
      </c>
      <c r="KN71" s="564">
        <v>1718.5987586203287</v>
      </c>
      <c r="KO71" s="566">
        <v>161.97411703650488</v>
      </c>
    </row>
    <row r="72" spans="1:301" ht="15" customHeight="1">
      <c r="A72" s="663" t="s">
        <v>849</v>
      </c>
      <c r="B72" s="629" t="s">
        <v>387</v>
      </c>
      <c r="C72" s="629">
        <v>577.5</v>
      </c>
      <c r="D72" s="629">
        <v>1980</v>
      </c>
      <c r="E72" s="629">
        <v>560</v>
      </c>
      <c r="F72" s="629">
        <v>496.32260826422504</v>
      </c>
      <c r="G72" s="629">
        <v>250.03311182380949</v>
      </c>
      <c r="H72" s="629">
        <v>203.58760484812865</v>
      </c>
      <c r="I72" s="629">
        <v>150</v>
      </c>
      <c r="J72" s="629">
        <v>38</v>
      </c>
      <c r="K72" s="629">
        <v>52</v>
      </c>
      <c r="L72" s="629">
        <v>12</v>
      </c>
      <c r="M72" s="629">
        <v>1007.9889764683711</v>
      </c>
      <c r="N72" s="629">
        <v>6</v>
      </c>
      <c r="O72" s="623">
        <v>133.42365990944427</v>
      </c>
      <c r="P72" s="629">
        <v>6</v>
      </c>
      <c r="Q72" s="623">
        <v>88.313699975857617</v>
      </c>
      <c r="R72" s="629">
        <v>22</v>
      </c>
      <c r="S72" s="629">
        <v>1238.1613041321125</v>
      </c>
      <c r="T72" s="645">
        <v>207.93934564310769</v>
      </c>
      <c r="U72" s="645">
        <v>185.72419561981687</v>
      </c>
      <c r="V72" s="645">
        <v>122.5</v>
      </c>
      <c r="W72" s="793">
        <v>19.538618912345985</v>
      </c>
      <c r="X72" s="646">
        <v>330.88173884281667</v>
      </c>
      <c r="Y72" s="646">
        <v>44.329747356569186</v>
      </c>
      <c r="Z72" s="646">
        <v>6</v>
      </c>
      <c r="AA72" s="646">
        <v>4.1928816997063336</v>
      </c>
      <c r="AB72" s="647">
        <v>82.414946991502362</v>
      </c>
      <c r="AC72" s="784">
        <v>3036.2456880536483</v>
      </c>
      <c r="AD72" s="631">
        <v>0.20919237943096525</v>
      </c>
      <c r="AE72" s="631">
        <v>0.78128562650671729</v>
      </c>
      <c r="AF72" s="631">
        <v>-0.19601880215771755</v>
      </c>
      <c r="AG72" s="631">
        <v>1.3277671010560492</v>
      </c>
      <c r="AH72" s="629"/>
      <c r="AI72" s="648">
        <v>16.069378341503501</v>
      </c>
      <c r="AJ72" s="649">
        <v>134.29619529776303</v>
      </c>
      <c r="AK72" s="646">
        <v>587.70440143822498</v>
      </c>
      <c r="AL72" s="646">
        <v>0</v>
      </c>
      <c r="AM72" s="646">
        <v>0</v>
      </c>
      <c r="AN72" s="646">
        <v>76.017590842868671</v>
      </c>
      <c r="AO72" s="646">
        <v>242.13150735744</v>
      </c>
      <c r="AP72" s="801">
        <v>1800</v>
      </c>
      <c r="AQ72" s="563" t="s">
        <v>71</v>
      </c>
      <c r="AR72" s="563">
        <v>8</v>
      </c>
      <c r="AS72" s="563">
        <v>0</v>
      </c>
      <c r="AT72" s="563">
        <v>0</v>
      </c>
      <c r="AU72" s="563">
        <v>0</v>
      </c>
      <c r="AV72" s="650">
        <v>2915.9659348209293</v>
      </c>
      <c r="AW72" s="563">
        <v>0</v>
      </c>
      <c r="AX72" s="563">
        <v>0</v>
      </c>
      <c r="AY72" s="563">
        <v>0</v>
      </c>
      <c r="AZ72" s="650">
        <v>2795.0907141254197</v>
      </c>
      <c r="BA72" s="564">
        <v>2795.0907141254197</v>
      </c>
      <c r="BB72" s="565">
        <v>289.77420296924441</v>
      </c>
      <c r="BC72" s="649">
        <v>134.29619529776303</v>
      </c>
      <c r="BD72" s="646">
        <v>587.70440143822498</v>
      </c>
      <c r="BE72" s="646">
        <v>0</v>
      </c>
      <c r="BF72" s="646">
        <v>0</v>
      </c>
      <c r="BG72" s="646">
        <v>76.017590842868671</v>
      </c>
      <c r="BH72" s="646">
        <v>242.13150735744</v>
      </c>
      <c r="BI72" s="646">
        <v>2250</v>
      </c>
      <c r="BJ72" s="563" t="s">
        <v>71</v>
      </c>
      <c r="BK72" s="563">
        <v>8</v>
      </c>
      <c r="BL72" s="563">
        <v>0</v>
      </c>
      <c r="BM72" s="563">
        <v>0</v>
      </c>
      <c r="BN72" s="563">
        <v>0</v>
      </c>
      <c r="BO72" s="650">
        <v>2915.9659348209293</v>
      </c>
      <c r="BP72" s="563">
        <v>0</v>
      </c>
      <c r="BQ72" s="563">
        <v>0</v>
      </c>
      <c r="BR72" s="563">
        <v>0</v>
      </c>
      <c r="BS72" s="650">
        <v>2795.0907141254197</v>
      </c>
      <c r="BT72" s="564">
        <v>2795.0907141254197</v>
      </c>
      <c r="BU72" s="565">
        <v>289.77420296924441</v>
      </c>
      <c r="BV72" s="649">
        <v>134.29619529776303</v>
      </c>
      <c r="BW72" s="646">
        <v>587.70440143822498</v>
      </c>
      <c r="BX72" s="646">
        <v>0</v>
      </c>
      <c r="BY72" s="646">
        <v>0</v>
      </c>
      <c r="BZ72" s="646">
        <v>76.017590842868671</v>
      </c>
      <c r="CA72" s="646">
        <v>242.13150735744</v>
      </c>
      <c r="CB72" s="646">
        <v>1800</v>
      </c>
      <c r="CC72" s="563" t="s">
        <v>1584</v>
      </c>
      <c r="CD72" s="563">
        <v>8</v>
      </c>
      <c r="CE72" s="563">
        <v>0</v>
      </c>
      <c r="CF72" s="563">
        <v>0</v>
      </c>
      <c r="CG72" s="563">
        <v>0</v>
      </c>
      <c r="CH72" s="650">
        <v>2857.0514590596113</v>
      </c>
      <c r="CI72" s="563">
        <v>0</v>
      </c>
      <c r="CJ72" s="563">
        <v>0</v>
      </c>
      <c r="CK72" s="563">
        <v>0</v>
      </c>
      <c r="CL72" s="650">
        <v>2738.6184137594892</v>
      </c>
      <c r="CM72" s="564">
        <v>2738.6184137594892</v>
      </c>
      <c r="CN72" s="565">
        <v>283.91957515853397</v>
      </c>
      <c r="CO72" s="649">
        <v>134.29619529776303</v>
      </c>
      <c r="CP72" s="646">
        <v>587.70440143822498</v>
      </c>
      <c r="CQ72" s="646">
        <v>0</v>
      </c>
      <c r="CR72" s="646">
        <v>0</v>
      </c>
      <c r="CS72" s="646">
        <v>76.017590842868671</v>
      </c>
      <c r="CT72" s="646">
        <v>242.13150735744</v>
      </c>
      <c r="CU72" s="646">
        <v>2250</v>
      </c>
      <c r="CV72" s="563" t="s">
        <v>1584</v>
      </c>
      <c r="CW72" s="563">
        <v>8</v>
      </c>
      <c r="CX72" s="563">
        <v>0</v>
      </c>
      <c r="CY72" s="563">
        <v>0</v>
      </c>
      <c r="CZ72" s="563">
        <v>0</v>
      </c>
      <c r="DA72" s="650">
        <v>2857.0514590596113</v>
      </c>
      <c r="DB72" s="563">
        <v>0</v>
      </c>
      <c r="DC72" s="563">
        <v>0</v>
      </c>
      <c r="DD72" s="563">
        <v>0</v>
      </c>
      <c r="DE72" s="650">
        <v>2738.6184137594892</v>
      </c>
      <c r="DF72" s="564">
        <v>2738.6184137594892</v>
      </c>
      <c r="DG72" s="565">
        <v>283.91957515853397</v>
      </c>
      <c r="DH72" s="649">
        <v>134.29619529776303</v>
      </c>
      <c r="DI72" s="646">
        <v>587.70440143822498</v>
      </c>
      <c r="DJ72" s="646">
        <v>0</v>
      </c>
      <c r="DK72" s="646">
        <v>0</v>
      </c>
      <c r="DL72" s="646">
        <v>76.017590842868671</v>
      </c>
      <c r="DM72" s="646">
        <v>242.13150735744</v>
      </c>
      <c r="DN72" s="646">
        <v>1800</v>
      </c>
      <c r="DO72" s="563" t="s">
        <v>1588</v>
      </c>
      <c r="DP72" s="563">
        <v>8</v>
      </c>
      <c r="DQ72" s="563">
        <v>0</v>
      </c>
      <c r="DR72" s="563">
        <v>0</v>
      </c>
      <c r="DS72" s="563">
        <v>0</v>
      </c>
      <c r="DT72" s="650">
        <v>2973.7134405247498</v>
      </c>
      <c r="DU72" s="563">
        <v>0</v>
      </c>
      <c r="DV72" s="563">
        <v>0</v>
      </c>
      <c r="DW72" s="563">
        <v>0</v>
      </c>
      <c r="DX72" s="650">
        <v>2850.4444187175009</v>
      </c>
      <c r="DY72" s="564">
        <v>2850.4444187175009</v>
      </c>
      <c r="DZ72" s="565">
        <v>295.51286309519469</v>
      </c>
      <c r="EA72" s="649">
        <v>134.29619529776303</v>
      </c>
      <c r="EB72" s="646">
        <v>587.70440143822498</v>
      </c>
      <c r="EC72" s="646">
        <v>0</v>
      </c>
      <c r="ED72" s="646">
        <v>0</v>
      </c>
      <c r="EE72" s="646">
        <v>76.017590842868671</v>
      </c>
      <c r="EF72" s="646">
        <v>242.13150735744</v>
      </c>
      <c r="EG72" s="646">
        <v>2250</v>
      </c>
      <c r="EH72" s="563" t="s">
        <v>1588</v>
      </c>
      <c r="EI72" s="563">
        <v>8</v>
      </c>
      <c r="EJ72" s="563">
        <v>0</v>
      </c>
      <c r="EK72" s="563">
        <v>0</v>
      </c>
      <c r="EL72" s="563">
        <v>0</v>
      </c>
      <c r="EM72" s="650">
        <v>2973.7134405247502</v>
      </c>
      <c r="EN72" s="563">
        <v>0</v>
      </c>
      <c r="EO72" s="563">
        <v>0</v>
      </c>
      <c r="EP72" s="563">
        <v>0</v>
      </c>
      <c r="EQ72" s="650">
        <v>2850.4444187175009</v>
      </c>
      <c r="ER72" s="564">
        <v>2850.4444187175009</v>
      </c>
      <c r="ES72" s="565">
        <v>295.51286309519469</v>
      </c>
      <c r="ET72" s="649">
        <v>100.72214647332228</v>
      </c>
      <c r="EU72" s="646">
        <v>554.13035261378423</v>
      </c>
      <c r="EV72" s="646">
        <v>0</v>
      </c>
      <c r="EW72" s="646">
        <v>0</v>
      </c>
      <c r="EX72" s="646">
        <v>74.455843174555412</v>
      </c>
      <c r="EY72" s="646">
        <v>224.27890034092829</v>
      </c>
      <c r="EZ72" s="646">
        <v>1800</v>
      </c>
      <c r="FA72" s="563" t="s">
        <v>1589</v>
      </c>
      <c r="FB72" s="563">
        <v>6</v>
      </c>
      <c r="FC72" s="563">
        <v>0</v>
      </c>
      <c r="FD72" s="563">
        <v>0</v>
      </c>
      <c r="FE72" s="563">
        <v>0</v>
      </c>
      <c r="FF72" s="650">
        <v>2384.3304192638475</v>
      </c>
      <c r="FG72" s="563">
        <v>0</v>
      </c>
      <c r="FH72" s="563">
        <v>0</v>
      </c>
      <c r="FI72" s="563">
        <v>0</v>
      </c>
      <c r="FJ72" s="650">
        <v>2090.3157194824253</v>
      </c>
      <c r="FK72" s="564">
        <v>2090.3157194824253</v>
      </c>
      <c r="FL72" s="565">
        <v>216.70837676430526</v>
      </c>
      <c r="FM72" s="649">
        <v>134.29619529776303</v>
      </c>
      <c r="FN72" s="646">
        <v>587.70440143822498</v>
      </c>
      <c r="FO72" s="646">
        <v>0</v>
      </c>
      <c r="FP72" s="646">
        <v>0</v>
      </c>
      <c r="FQ72" s="646">
        <v>76.017590842868671</v>
      </c>
      <c r="FR72" s="646">
        <v>242.13150735744</v>
      </c>
      <c r="FS72" s="646">
        <v>2250</v>
      </c>
      <c r="FT72" s="563" t="s">
        <v>1589</v>
      </c>
      <c r="FU72" s="563">
        <v>8</v>
      </c>
      <c r="FV72" s="563">
        <v>0</v>
      </c>
      <c r="FW72" s="563">
        <v>0</v>
      </c>
      <c r="FX72" s="563">
        <v>0</v>
      </c>
      <c r="FY72" s="650">
        <v>3167.54978697772</v>
      </c>
      <c r="FZ72" s="563">
        <v>0</v>
      </c>
      <c r="GA72" s="563">
        <v>0</v>
      </c>
      <c r="GB72" s="563">
        <v>0</v>
      </c>
      <c r="GC72" s="650">
        <v>3036.2456880536483</v>
      </c>
      <c r="GD72" s="564">
        <v>3036.2456880536483</v>
      </c>
      <c r="GE72" s="565">
        <v>314.77535588673993</v>
      </c>
      <c r="GF72" s="649">
        <v>83.935122061101893</v>
      </c>
      <c r="GG72" s="646">
        <v>537.34332820156385</v>
      </c>
      <c r="GH72" s="646">
        <v>0</v>
      </c>
      <c r="GI72" s="646">
        <v>0</v>
      </c>
      <c r="GJ72" s="646">
        <v>73.601784018675019</v>
      </c>
      <c r="GK72" s="646">
        <v>215.35259683267242</v>
      </c>
      <c r="GL72" s="646">
        <v>1800</v>
      </c>
      <c r="GM72" s="563" t="s">
        <v>1587</v>
      </c>
      <c r="GN72" s="563">
        <v>5</v>
      </c>
      <c r="GO72" s="563">
        <v>0</v>
      </c>
      <c r="GP72" s="563">
        <v>0</v>
      </c>
      <c r="GQ72" s="563">
        <v>0</v>
      </c>
      <c r="GR72" s="650">
        <v>2589.4223276225343</v>
      </c>
      <c r="GS72" s="563">
        <v>0</v>
      </c>
      <c r="GT72" s="563">
        <v>0</v>
      </c>
      <c r="GU72" s="563">
        <v>0</v>
      </c>
      <c r="GV72" s="650">
        <v>2230.0410639118572</v>
      </c>
      <c r="GW72" s="564">
        <v>2230.0410639118572</v>
      </c>
      <c r="GX72" s="565">
        <v>231.19406057843889</v>
      </c>
      <c r="GY72" s="649">
        <v>100.72214647332228</v>
      </c>
      <c r="GZ72" s="646">
        <v>554.13035261378423</v>
      </c>
      <c r="HA72" s="646">
        <v>0</v>
      </c>
      <c r="HB72" s="646">
        <v>0</v>
      </c>
      <c r="HC72" s="646">
        <v>74.455843174555412</v>
      </c>
      <c r="HD72" s="646">
        <v>224.27890034092829</v>
      </c>
      <c r="HE72" s="646">
        <v>2250</v>
      </c>
      <c r="HF72" s="563" t="s">
        <v>1587</v>
      </c>
      <c r="HG72" s="563">
        <v>6</v>
      </c>
      <c r="HH72" s="563">
        <v>0</v>
      </c>
      <c r="HI72" s="563">
        <v>0</v>
      </c>
      <c r="HJ72" s="563">
        <v>0</v>
      </c>
      <c r="HK72" s="650">
        <v>2944.8398976377343</v>
      </c>
      <c r="HL72" s="563">
        <v>0</v>
      </c>
      <c r="HM72" s="563">
        <v>0</v>
      </c>
      <c r="HN72" s="563">
        <v>0</v>
      </c>
      <c r="HO72" s="650">
        <v>2581.7080886346707</v>
      </c>
      <c r="HP72" s="564">
        <v>2581.7080886346707</v>
      </c>
      <c r="HQ72" s="565">
        <v>267.65228044394496</v>
      </c>
      <c r="HR72" s="649">
        <v>100.72214647332228</v>
      </c>
      <c r="HS72" s="646">
        <v>554.13035261378423</v>
      </c>
      <c r="HT72" s="646">
        <v>0</v>
      </c>
      <c r="HU72" s="646">
        <v>0</v>
      </c>
      <c r="HV72" s="646">
        <v>74.455843174555412</v>
      </c>
      <c r="HW72" s="646">
        <v>224.27890034092829</v>
      </c>
      <c r="HX72" s="646">
        <v>1800</v>
      </c>
      <c r="HY72" s="563" t="s">
        <v>68</v>
      </c>
      <c r="HZ72" s="563">
        <v>6</v>
      </c>
      <c r="IA72" s="563">
        <v>0</v>
      </c>
      <c r="IB72" s="563">
        <v>0</v>
      </c>
      <c r="IC72" s="563">
        <v>0</v>
      </c>
      <c r="ID72" s="650">
        <v>2597.1046733498333</v>
      </c>
      <c r="IE72" s="563">
        <v>0</v>
      </c>
      <c r="IF72" s="563">
        <v>0</v>
      </c>
      <c r="IG72" s="563">
        <v>0</v>
      </c>
      <c r="IH72" s="650">
        <v>2276.8525200970798</v>
      </c>
      <c r="II72" s="564">
        <v>2276.8525200970798</v>
      </c>
      <c r="IJ72" s="565">
        <v>236.04712396466496</v>
      </c>
      <c r="IK72" s="649">
        <v>100.72214647332228</v>
      </c>
      <c r="IL72" s="646">
        <v>646.23248776954949</v>
      </c>
      <c r="IM72" s="646">
        <v>0</v>
      </c>
      <c r="IN72" s="646">
        <v>92.102135155765225</v>
      </c>
      <c r="IO72" s="646">
        <v>74.533397315567427</v>
      </c>
      <c r="IP72" s="646">
        <v>298.25768831503416</v>
      </c>
      <c r="IQ72" s="646">
        <v>2250</v>
      </c>
      <c r="IR72" s="563" t="s">
        <v>68</v>
      </c>
      <c r="IS72" s="563">
        <v>6</v>
      </c>
      <c r="IT72" s="563">
        <v>0</v>
      </c>
      <c r="IU72" s="563">
        <v>0</v>
      </c>
      <c r="IV72" s="563">
        <v>0</v>
      </c>
      <c r="IW72" s="650">
        <v>2597.1046733501171</v>
      </c>
      <c r="IX72" s="563">
        <v>1</v>
      </c>
      <c r="IY72" s="563">
        <v>20</v>
      </c>
      <c r="IZ72" s="563">
        <v>198.57653824352738</v>
      </c>
      <c r="JA72" s="650">
        <v>2481.4885452455828</v>
      </c>
      <c r="JB72" s="564">
        <v>2481.4885452455828</v>
      </c>
      <c r="JC72" s="565">
        <v>257.26226406245462</v>
      </c>
      <c r="JD72" s="649">
        <v>67.148097648881517</v>
      </c>
      <c r="JE72" s="646">
        <v>520.55630378934347</v>
      </c>
      <c r="JF72" s="646">
        <v>0</v>
      </c>
      <c r="JG72" s="646">
        <v>0</v>
      </c>
      <c r="JH72" s="646">
        <v>72.692641054204159</v>
      </c>
      <c r="JI72" s="646">
        <v>206.42629332441658</v>
      </c>
      <c r="JJ72" s="646">
        <v>1800</v>
      </c>
      <c r="JK72" s="563" t="s">
        <v>67</v>
      </c>
      <c r="JL72" s="563">
        <v>4</v>
      </c>
      <c r="JM72" s="563">
        <v>0</v>
      </c>
      <c r="JN72" s="563">
        <v>0</v>
      </c>
      <c r="JO72" s="563">
        <v>0</v>
      </c>
      <c r="JP72" s="650">
        <v>2709.7312754259042</v>
      </c>
      <c r="JQ72" s="563">
        <v>0</v>
      </c>
      <c r="JR72" s="563">
        <v>0</v>
      </c>
      <c r="JS72" s="563">
        <v>0</v>
      </c>
      <c r="JT72" s="650">
        <v>2306.7161562559659</v>
      </c>
      <c r="JU72" s="564">
        <v>2306.7161562559659</v>
      </c>
      <c r="JV72" s="565">
        <v>239.14316350355071</v>
      </c>
      <c r="JW72" s="649">
        <v>83.935122061101893</v>
      </c>
      <c r="JX72" s="646">
        <v>537.34332820156385</v>
      </c>
      <c r="JY72" s="646">
        <v>0</v>
      </c>
      <c r="JZ72" s="646">
        <v>0</v>
      </c>
      <c r="KA72" s="646">
        <v>73.601784018675019</v>
      </c>
      <c r="KB72" s="646">
        <v>215.35259683267242</v>
      </c>
      <c r="KC72" s="646">
        <v>2250</v>
      </c>
      <c r="KD72" s="563" t="s">
        <v>67</v>
      </c>
      <c r="KE72" s="563">
        <v>5</v>
      </c>
      <c r="KF72" s="563">
        <v>0</v>
      </c>
      <c r="KG72" s="563">
        <v>0</v>
      </c>
      <c r="KH72" s="563">
        <v>0</v>
      </c>
      <c r="KI72" s="650">
        <v>3112.0983253581198</v>
      </c>
      <c r="KJ72" s="563">
        <v>0</v>
      </c>
      <c r="KK72" s="563">
        <v>0</v>
      </c>
      <c r="KL72" s="563">
        <v>0</v>
      </c>
      <c r="KM72" s="650">
        <v>2680.1758007748226</v>
      </c>
      <c r="KN72" s="564">
        <v>2680.1758007748226</v>
      </c>
      <c r="KO72" s="566">
        <v>277.86067999942969</v>
      </c>
    </row>
    <row r="73" spans="1:301" ht="15" customHeight="1">
      <c r="A73" s="663" t="s">
        <v>850</v>
      </c>
      <c r="B73" s="629" t="s">
        <v>389</v>
      </c>
      <c r="C73" s="629">
        <v>721</v>
      </c>
      <c r="D73" s="629">
        <v>1980</v>
      </c>
      <c r="E73" s="629">
        <v>700</v>
      </c>
      <c r="F73" s="629">
        <v>620.6806230479873</v>
      </c>
      <c r="G73" s="629">
        <v>301.37385020147832</v>
      </c>
      <c r="H73" s="629">
        <v>243.69532630908583</v>
      </c>
      <c r="I73" s="629">
        <v>185</v>
      </c>
      <c r="J73" s="629">
        <v>34.08</v>
      </c>
      <c r="K73" s="629">
        <v>45.15</v>
      </c>
      <c r="L73" s="629">
        <v>12</v>
      </c>
      <c r="M73" s="629">
        <v>1001.876396615011</v>
      </c>
      <c r="N73" s="629">
        <v>6</v>
      </c>
      <c r="O73" s="623">
        <v>126.89822639274638</v>
      </c>
      <c r="P73" s="629">
        <v>6</v>
      </c>
      <c r="Q73" s="623">
        <v>82.474786798953929</v>
      </c>
      <c r="R73" s="629">
        <v>22</v>
      </c>
      <c r="S73" s="629">
        <v>1300.3403115239935</v>
      </c>
      <c r="T73" s="645">
        <v>229.34869395842122</v>
      </c>
      <c r="U73" s="645">
        <v>195.051046728599</v>
      </c>
      <c r="V73" s="645">
        <v>147.5</v>
      </c>
      <c r="W73" s="793">
        <v>25.948328797994673</v>
      </c>
      <c r="X73" s="646">
        <v>413.78708203199153</v>
      </c>
      <c r="Y73" s="646">
        <v>55.436957234451427</v>
      </c>
      <c r="Z73" s="646">
        <v>6</v>
      </c>
      <c r="AA73" s="646">
        <v>6.5572367935918123</v>
      </c>
      <c r="AB73" s="647">
        <v>93.164367734113242</v>
      </c>
      <c r="AC73" s="784">
        <v>2550.1378134180068</v>
      </c>
      <c r="AD73" s="631">
        <v>0.17205720574032859</v>
      </c>
      <c r="AE73" s="631">
        <v>0.67654194305478299</v>
      </c>
      <c r="AF73" s="631">
        <v>-0.22431483543126632</v>
      </c>
      <c r="AG73" s="631">
        <v>1.2871382700484362</v>
      </c>
      <c r="AH73" s="629"/>
      <c r="AI73" s="648">
        <v>16.65373225103496</v>
      </c>
      <c r="AJ73" s="649">
        <v>121.37662334990556</v>
      </c>
      <c r="AK73" s="646">
        <v>592.60389609161359</v>
      </c>
      <c r="AL73" s="646">
        <v>0</v>
      </c>
      <c r="AM73" s="646">
        <v>0</v>
      </c>
      <c r="AN73" s="646">
        <v>85.351562502085201</v>
      </c>
      <c r="AO73" s="646">
        <v>243.79098785546665</v>
      </c>
      <c r="AP73" s="801">
        <v>1800</v>
      </c>
      <c r="AQ73" s="563" t="s">
        <v>67</v>
      </c>
      <c r="AR73" s="563">
        <v>6</v>
      </c>
      <c r="AS73" s="563">
        <v>0</v>
      </c>
      <c r="AT73" s="563">
        <v>0</v>
      </c>
      <c r="AU73" s="563">
        <v>0</v>
      </c>
      <c r="AV73" s="650">
        <v>2520.0364398654128</v>
      </c>
      <c r="AW73" s="563">
        <v>0</v>
      </c>
      <c r="AX73" s="563">
        <v>0</v>
      </c>
      <c r="AY73" s="563">
        <v>0</v>
      </c>
      <c r="AZ73" s="650">
        <v>2257.3144099354527</v>
      </c>
      <c r="BA73" s="564">
        <v>2257.3144099354527</v>
      </c>
      <c r="BB73" s="565">
        <v>234.02155811415471</v>
      </c>
      <c r="BC73" s="649">
        <v>121.37662334990556</v>
      </c>
      <c r="BD73" s="646">
        <v>625.73175911318174</v>
      </c>
      <c r="BE73" s="646">
        <v>0</v>
      </c>
      <c r="BF73" s="646">
        <v>33.127863021568139</v>
      </c>
      <c r="BG73" s="646">
        <v>85.73001933250849</v>
      </c>
      <c r="BH73" s="646">
        <v>270.95815668752982</v>
      </c>
      <c r="BI73" s="646">
        <v>2250</v>
      </c>
      <c r="BJ73" s="563" t="s">
        <v>67</v>
      </c>
      <c r="BK73" s="563">
        <v>6</v>
      </c>
      <c r="BL73" s="563">
        <v>0</v>
      </c>
      <c r="BM73" s="563">
        <v>0</v>
      </c>
      <c r="BN73" s="563">
        <v>0</v>
      </c>
      <c r="BO73" s="650">
        <v>2520.0364398654133</v>
      </c>
      <c r="BP73" s="563">
        <v>1</v>
      </c>
      <c r="BQ73" s="563">
        <v>8</v>
      </c>
      <c r="BR73" s="563">
        <v>177.57145972206825</v>
      </c>
      <c r="BS73" s="650">
        <v>3116.6863366219304</v>
      </c>
      <c r="BT73" s="564">
        <v>2520.0364398654133</v>
      </c>
      <c r="BU73" s="565">
        <v>261.25862288657203</v>
      </c>
      <c r="BV73" s="649">
        <v>161.83549779987408</v>
      </c>
      <c r="BW73" s="646">
        <v>682.75456507393426</v>
      </c>
      <c r="BX73" s="646">
        <v>0</v>
      </c>
      <c r="BY73" s="646">
        <v>49.691794532352205</v>
      </c>
      <c r="BZ73" s="646">
        <v>88.034532247423456</v>
      </c>
      <c r="CA73" s="646">
        <v>306.99763524688672</v>
      </c>
      <c r="CB73" s="646">
        <v>1800</v>
      </c>
      <c r="CC73" s="563" t="s">
        <v>1588</v>
      </c>
      <c r="CD73" s="563">
        <v>8</v>
      </c>
      <c r="CE73" s="563">
        <v>0</v>
      </c>
      <c r="CF73" s="563">
        <v>0</v>
      </c>
      <c r="CG73" s="563">
        <v>0</v>
      </c>
      <c r="CH73" s="650">
        <v>2051.7267068494148</v>
      </c>
      <c r="CI73" s="563">
        <v>1</v>
      </c>
      <c r="CJ73" s="563">
        <v>12</v>
      </c>
      <c r="CK73" s="563">
        <v>177.57145972206825</v>
      </c>
      <c r="CL73" s="650">
        <v>1987.8987338357767</v>
      </c>
      <c r="CM73" s="564">
        <v>1987.8987338357767</v>
      </c>
      <c r="CN73" s="565">
        <v>206.09054592386462</v>
      </c>
      <c r="CO73" s="649">
        <v>101.14718612492129</v>
      </c>
      <c r="CP73" s="646">
        <v>-3559.5977485626054</v>
      </c>
      <c r="CQ73" s="646">
        <v>9.0106702667827303</v>
      </c>
      <c r="CR73" s="646">
        <v>-4140.9828776960176</v>
      </c>
      <c r="CS73" s="646">
        <v>93.782570905033822</v>
      </c>
      <c r="CT73" s="646">
        <v>-3161.6173806456673</v>
      </c>
      <c r="CU73" s="646">
        <v>2250</v>
      </c>
      <c r="CV73" s="563" t="s">
        <v>1588</v>
      </c>
      <c r="CW73" s="563">
        <v>5</v>
      </c>
      <c r="CX73" s="563">
        <v>1</v>
      </c>
      <c r="CY73" s="563">
        <v>8</v>
      </c>
      <c r="CZ73" s="563">
        <v>140.35033787694928</v>
      </c>
      <c r="DA73" s="650">
        <v>3088.1184681405439</v>
      </c>
      <c r="DB73" s="563">
        <v>1</v>
      </c>
      <c r="DC73" s="563">
        <v>-1000</v>
      </c>
      <c r="DD73" s="563">
        <v>177.57145972206825</v>
      </c>
      <c r="DE73" s="650">
        <v>-1</v>
      </c>
      <c r="DF73" s="564">
        <v>-1</v>
      </c>
      <c r="DG73" s="565">
        <v>-0.10367255756846318</v>
      </c>
      <c r="DH73" s="649">
        <v>161.83549779987408</v>
      </c>
      <c r="DI73" s="646">
        <v>633.06277054158204</v>
      </c>
      <c r="DJ73" s="646">
        <v>0</v>
      </c>
      <c r="DK73" s="646">
        <v>0</v>
      </c>
      <c r="DL73" s="646">
        <v>87.684018654810757</v>
      </c>
      <c r="DM73" s="646">
        <v>266.24688199879199</v>
      </c>
      <c r="DN73" s="646">
        <v>1800</v>
      </c>
      <c r="DO73" s="563" t="s">
        <v>1589</v>
      </c>
      <c r="DP73" s="563">
        <v>8</v>
      </c>
      <c r="DQ73" s="563">
        <v>0</v>
      </c>
      <c r="DR73" s="563">
        <v>0</v>
      </c>
      <c r="DS73" s="563">
        <v>0</v>
      </c>
      <c r="DT73" s="650">
        <v>2185.4649491951518</v>
      </c>
      <c r="DU73" s="563">
        <v>0</v>
      </c>
      <c r="DV73" s="563">
        <v>0</v>
      </c>
      <c r="DW73" s="563">
        <v>0</v>
      </c>
      <c r="DX73" s="650">
        <v>2064.7544087965684</v>
      </c>
      <c r="DY73" s="564">
        <v>2064.7544087965684</v>
      </c>
      <c r="DZ73" s="565">
        <v>214.05837031070041</v>
      </c>
      <c r="EA73" s="649">
        <v>80.917748899937038</v>
      </c>
      <c r="EB73" s="646">
        <v>-3582.0798533542857</v>
      </c>
      <c r="EC73" s="646">
        <v>6.7580027000870482</v>
      </c>
      <c r="ED73" s="646">
        <v>-4140.9828776960176</v>
      </c>
      <c r="EE73" s="646">
        <v>93.958715036592125</v>
      </c>
      <c r="EF73" s="646">
        <v>-3173.2742483619354</v>
      </c>
      <c r="EG73" s="646">
        <v>2250</v>
      </c>
      <c r="EH73" s="563" t="s">
        <v>1589</v>
      </c>
      <c r="EI73" s="563">
        <v>4</v>
      </c>
      <c r="EJ73" s="563">
        <v>1</v>
      </c>
      <c r="EK73" s="563">
        <v>6</v>
      </c>
      <c r="EL73" s="563">
        <v>140.35033787694928</v>
      </c>
      <c r="EM73" s="650">
        <v>2799.2220861827614</v>
      </c>
      <c r="EN73" s="563">
        <v>1</v>
      </c>
      <c r="EO73" s="563">
        <v>-1000</v>
      </c>
      <c r="EP73" s="563">
        <v>177.57145972206825</v>
      </c>
      <c r="EQ73" s="650">
        <v>-1</v>
      </c>
      <c r="ER73" s="564">
        <v>-1</v>
      </c>
      <c r="ES73" s="565">
        <v>-0.10367255756846318</v>
      </c>
      <c r="ET73" s="649">
        <v>161.83549779987408</v>
      </c>
      <c r="EU73" s="646">
        <v>633.06277054158204</v>
      </c>
      <c r="EV73" s="646">
        <v>0</v>
      </c>
      <c r="EW73" s="646">
        <v>0</v>
      </c>
      <c r="EX73" s="646">
        <v>87.684018654810757</v>
      </c>
      <c r="EY73" s="646">
        <v>266.24688199879199</v>
      </c>
      <c r="EZ73" s="646">
        <v>1800</v>
      </c>
      <c r="FA73" s="563" t="s">
        <v>1589</v>
      </c>
      <c r="FB73" s="563">
        <v>8</v>
      </c>
      <c r="FC73" s="563">
        <v>0</v>
      </c>
      <c r="FD73" s="563">
        <v>0</v>
      </c>
      <c r="FE73" s="563">
        <v>0</v>
      </c>
      <c r="FF73" s="650">
        <v>2185.4649491951518</v>
      </c>
      <c r="FG73" s="563">
        <v>0</v>
      </c>
      <c r="FH73" s="563">
        <v>0</v>
      </c>
      <c r="FI73" s="563">
        <v>0</v>
      </c>
      <c r="FJ73" s="650">
        <v>2064.7544087965684</v>
      </c>
      <c r="FK73" s="564">
        <v>2064.7544087965684</v>
      </c>
      <c r="FL73" s="565">
        <v>214.05837031070041</v>
      </c>
      <c r="FM73" s="649">
        <v>161.83549779987408</v>
      </c>
      <c r="FN73" s="646">
        <v>633.06277054158204</v>
      </c>
      <c r="FO73" s="646">
        <v>0</v>
      </c>
      <c r="FP73" s="646">
        <v>0</v>
      </c>
      <c r="FQ73" s="646">
        <v>87.684018654810757</v>
      </c>
      <c r="FR73" s="646">
        <v>266.24688199879199</v>
      </c>
      <c r="FS73" s="646">
        <v>2250</v>
      </c>
      <c r="FT73" s="563" t="s">
        <v>1587</v>
      </c>
      <c r="FU73" s="563">
        <v>8</v>
      </c>
      <c r="FV73" s="563">
        <v>0</v>
      </c>
      <c r="FW73" s="563">
        <v>0</v>
      </c>
      <c r="FX73" s="563">
        <v>0</v>
      </c>
      <c r="FY73" s="650">
        <v>2699.2250425030225</v>
      </c>
      <c r="FZ73" s="563">
        <v>0</v>
      </c>
      <c r="GA73" s="563">
        <v>0</v>
      </c>
      <c r="GB73" s="563">
        <v>0</v>
      </c>
      <c r="GC73" s="650">
        <v>2550.1378134180068</v>
      </c>
      <c r="GD73" s="564">
        <v>2550.1378134180068</v>
      </c>
      <c r="GE73" s="565">
        <v>264.37930926909314</v>
      </c>
      <c r="GF73" s="649">
        <v>161.83549779987408</v>
      </c>
      <c r="GG73" s="646">
        <v>633.06277054158204</v>
      </c>
      <c r="GH73" s="646">
        <v>0</v>
      </c>
      <c r="GI73" s="646">
        <v>0</v>
      </c>
      <c r="GJ73" s="646">
        <v>87.684018654810757</v>
      </c>
      <c r="GK73" s="646">
        <v>266.24688199879199</v>
      </c>
      <c r="GL73" s="646">
        <v>1800</v>
      </c>
      <c r="GM73" s="563" t="s">
        <v>1587</v>
      </c>
      <c r="GN73" s="563">
        <v>8</v>
      </c>
      <c r="GO73" s="563">
        <v>0</v>
      </c>
      <c r="GP73" s="563">
        <v>0</v>
      </c>
      <c r="GQ73" s="563">
        <v>0</v>
      </c>
      <c r="GR73" s="650">
        <v>2699.2250425030225</v>
      </c>
      <c r="GS73" s="563">
        <v>0</v>
      </c>
      <c r="GT73" s="563">
        <v>0</v>
      </c>
      <c r="GU73" s="563">
        <v>0</v>
      </c>
      <c r="GV73" s="650">
        <v>2550.1378134180068</v>
      </c>
      <c r="GW73" s="564">
        <v>2550.1378134180068</v>
      </c>
      <c r="GX73" s="565">
        <v>264.37930926909314</v>
      </c>
      <c r="GY73" s="649">
        <v>161.83549779987408</v>
      </c>
      <c r="GZ73" s="646">
        <v>633.06277054158204</v>
      </c>
      <c r="HA73" s="646">
        <v>0</v>
      </c>
      <c r="HB73" s="646">
        <v>0</v>
      </c>
      <c r="HC73" s="646">
        <v>87.684018654810757</v>
      </c>
      <c r="HD73" s="646">
        <v>266.24688199879199</v>
      </c>
      <c r="HE73" s="646">
        <v>2250</v>
      </c>
      <c r="HF73" s="563" t="s">
        <v>1587</v>
      </c>
      <c r="HG73" s="563">
        <v>8</v>
      </c>
      <c r="HH73" s="563">
        <v>0</v>
      </c>
      <c r="HI73" s="563">
        <v>0</v>
      </c>
      <c r="HJ73" s="563">
        <v>0</v>
      </c>
      <c r="HK73" s="650">
        <v>2699.2250425030225</v>
      </c>
      <c r="HL73" s="563">
        <v>0</v>
      </c>
      <c r="HM73" s="563">
        <v>0</v>
      </c>
      <c r="HN73" s="563">
        <v>0</v>
      </c>
      <c r="HO73" s="650">
        <v>2550.1378134180068</v>
      </c>
      <c r="HP73" s="564">
        <v>2550.1378134180068</v>
      </c>
      <c r="HQ73" s="565">
        <v>264.37930926909314</v>
      </c>
      <c r="HR73" s="649">
        <v>80.917748899937038</v>
      </c>
      <c r="HS73" s="646">
        <v>583.74892160790819</v>
      </c>
      <c r="HT73" s="646">
        <v>6.7580027000870482</v>
      </c>
      <c r="HU73" s="646">
        <v>24.845897266176102</v>
      </c>
      <c r="HV73" s="646">
        <v>83.548833580764452</v>
      </c>
      <c r="HW73" s="646">
        <v>242.9972322700055</v>
      </c>
      <c r="HX73" s="646">
        <v>1800</v>
      </c>
      <c r="HY73" s="563" t="s">
        <v>68</v>
      </c>
      <c r="HZ73" s="563">
        <v>4</v>
      </c>
      <c r="IA73" s="563">
        <v>1</v>
      </c>
      <c r="IB73" s="563">
        <v>6</v>
      </c>
      <c r="IC73" s="563">
        <v>140.35033787694928</v>
      </c>
      <c r="ID73" s="650">
        <v>3049.0206822989985</v>
      </c>
      <c r="IE73" s="563">
        <v>1</v>
      </c>
      <c r="IF73" s="563">
        <v>6</v>
      </c>
      <c r="IG73" s="563">
        <v>177.57145972206825</v>
      </c>
      <c r="IH73" s="650">
        <v>2306.437047111559</v>
      </c>
      <c r="II73" s="564">
        <v>2306.437047111559</v>
      </c>
      <c r="IJ73" s="565">
        <v>239.11422754470931</v>
      </c>
      <c r="IK73" s="649">
        <v>80.917748899937038</v>
      </c>
      <c r="IL73" s="646">
        <v>1262.8701135500551</v>
      </c>
      <c r="IM73" s="646">
        <v>6.7580027000870482</v>
      </c>
      <c r="IN73" s="646">
        <v>703.96708920832293</v>
      </c>
      <c r="IO73" s="646">
        <v>88.362413966173449</v>
      </c>
      <c r="IP73" s="646">
        <v>799.92419332730003</v>
      </c>
      <c r="IQ73" s="646">
        <v>2250</v>
      </c>
      <c r="IR73" s="563" t="s">
        <v>68</v>
      </c>
      <c r="IS73" s="563">
        <v>4</v>
      </c>
      <c r="IT73" s="563">
        <v>1</v>
      </c>
      <c r="IU73" s="563">
        <v>6</v>
      </c>
      <c r="IV73" s="563">
        <v>140.35033787694928</v>
      </c>
      <c r="IW73" s="650">
        <v>3049.0206822989985</v>
      </c>
      <c r="IX73" s="563">
        <v>1</v>
      </c>
      <c r="IY73" s="563">
        <v>170</v>
      </c>
      <c r="IZ73" s="563">
        <v>177.57145972206825</v>
      </c>
      <c r="JA73" s="650">
        <v>-1</v>
      </c>
      <c r="JB73" s="564">
        <v>-1</v>
      </c>
      <c r="JC73" s="565">
        <v>-0.10367255756846318</v>
      </c>
      <c r="JD73" s="649">
        <v>121.37662334990556</v>
      </c>
      <c r="JE73" s="646">
        <v>592.60389609161359</v>
      </c>
      <c r="JF73" s="646">
        <v>0</v>
      </c>
      <c r="JG73" s="646">
        <v>0</v>
      </c>
      <c r="JH73" s="646">
        <v>85.351562502085201</v>
      </c>
      <c r="JI73" s="646">
        <v>243.79098785546665</v>
      </c>
      <c r="JJ73" s="646">
        <v>1800</v>
      </c>
      <c r="JK73" s="563" t="s">
        <v>67</v>
      </c>
      <c r="JL73" s="563">
        <v>6</v>
      </c>
      <c r="JM73" s="563">
        <v>0</v>
      </c>
      <c r="JN73" s="563">
        <v>0</v>
      </c>
      <c r="JO73" s="563">
        <v>0</v>
      </c>
      <c r="JP73" s="650">
        <v>2520.0364398654128</v>
      </c>
      <c r="JQ73" s="563">
        <v>0</v>
      </c>
      <c r="JR73" s="563">
        <v>0</v>
      </c>
      <c r="JS73" s="563">
        <v>0</v>
      </c>
      <c r="JT73" s="650">
        <v>2257.3144099354527</v>
      </c>
      <c r="JU73" s="564">
        <v>2257.3144099354527</v>
      </c>
      <c r="JV73" s="565">
        <v>234.02155811415471</v>
      </c>
      <c r="JW73" s="649">
        <v>121.37662334990556</v>
      </c>
      <c r="JX73" s="646">
        <v>625.73175911318174</v>
      </c>
      <c r="JY73" s="646">
        <v>0</v>
      </c>
      <c r="JZ73" s="646">
        <v>33.127863021568139</v>
      </c>
      <c r="KA73" s="646">
        <v>85.73001933250849</v>
      </c>
      <c r="KB73" s="646">
        <v>270.95815668752982</v>
      </c>
      <c r="KC73" s="646">
        <v>2250</v>
      </c>
      <c r="KD73" s="563" t="s">
        <v>67</v>
      </c>
      <c r="KE73" s="563">
        <v>6</v>
      </c>
      <c r="KF73" s="563">
        <v>0</v>
      </c>
      <c r="KG73" s="563">
        <v>0</v>
      </c>
      <c r="KH73" s="563">
        <v>0</v>
      </c>
      <c r="KI73" s="650">
        <v>2520.0364398654133</v>
      </c>
      <c r="KJ73" s="563">
        <v>1</v>
      </c>
      <c r="KK73" s="563">
        <v>8</v>
      </c>
      <c r="KL73" s="563">
        <v>177.57145972206825</v>
      </c>
      <c r="KM73" s="650">
        <v>3116.6863366219304</v>
      </c>
      <c r="KN73" s="564">
        <v>2520.0364398654133</v>
      </c>
      <c r="KO73" s="566">
        <v>261.25862288657203</v>
      </c>
    </row>
    <row r="74" spans="1:301" ht="15" customHeight="1">
      <c r="A74" s="663" t="s">
        <v>851</v>
      </c>
      <c r="B74" s="629" t="s">
        <v>391</v>
      </c>
      <c r="C74" s="629">
        <v>881</v>
      </c>
      <c r="D74" s="629">
        <v>1980</v>
      </c>
      <c r="E74" s="629">
        <v>900</v>
      </c>
      <c r="F74" s="629">
        <v>717.79592360180652</v>
      </c>
      <c r="G74" s="629">
        <v>372.17891447350576</v>
      </c>
      <c r="H74" s="629">
        <v>302.77861037296844</v>
      </c>
      <c r="I74" s="629">
        <v>230</v>
      </c>
      <c r="J74" s="629">
        <v>34.93</v>
      </c>
      <c r="K74" s="629">
        <v>48.06</v>
      </c>
      <c r="L74" s="629">
        <v>12</v>
      </c>
      <c r="M74" s="629">
        <v>843.77133514242735</v>
      </c>
      <c r="N74" s="629">
        <v>6</v>
      </c>
      <c r="O74" s="623">
        <v>115.06070527402002</v>
      </c>
      <c r="P74" s="629">
        <v>6</v>
      </c>
      <c r="Q74" s="623">
        <v>77.716074248987738</v>
      </c>
      <c r="R74" s="629">
        <v>22</v>
      </c>
      <c r="S74" s="629">
        <v>1348.8979618009034</v>
      </c>
      <c r="T74" s="645">
        <v>246.79730664163057</v>
      </c>
      <c r="U74" s="645">
        <v>202.33469427013551</v>
      </c>
      <c r="V74" s="645">
        <v>172.5</v>
      </c>
      <c r="W74" s="793">
        <v>32.655069763732797</v>
      </c>
      <c r="X74" s="646">
        <v>478.53061573453766</v>
      </c>
      <c r="Y74" s="646">
        <v>64.110946019818627</v>
      </c>
      <c r="Z74" s="646">
        <v>6</v>
      </c>
      <c r="AA74" s="646">
        <v>8.7697349451914697</v>
      </c>
      <c r="AB74" s="647">
        <v>95.247071739471593</v>
      </c>
      <c r="AC74" s="784">
        <v>2966.4299843265876</v>
      </c>
      <c r="AD74" s="631">
        <v>0.25716111892954335</v>
      </c>
      <c r="AE74" s="631">
        <v>0.69838836010707595</v>
      </c>
      <c r="AF74" s="631">
        <v>-0.3024376603990061</v>
      </c>
      <c r="AG74" s="631">
        <v>0.96438733551714861</v>
      </c>
      <c r="AH74" s="629"/>
      <c r="AI74" s="648">
        <v>16.491628824248689</v>
      </c>
      <c r="AJ74" s="649">
        <v>127.04094206518874</v>
      </c>
      <c r="AK74" s="646">
        <v>608.03983293875126</v>
      </c>
      <c r="AL74" s="646">
        <v>0</v>
      </c>
      <c r="AM74" s="646">
        <v>0</v>
      </c>
      <c r="AN74" s="646">
        <v>98.868681801820145</v>
      </c>
      <c r="AO74" s="646">
        <v>254.76067837853535</v>
      </c>
      <c r="AP74" s="801">
        <v>1550</v>
      </c>
      <c r="AQ74" s="563" t="s">
        <v>67</v>
      </c>
      <c r="AR74" s="563">
        <v>6</v>
      </c>
      <c r="AS74" s="563">
        <v>0</v>
      </c>
      <c r="AT74" s="563">
        <v>0</v>
      </c>
      <c r="AU74" s="563">
        <v>0</v>
      </c>
      <c r="AV74" s="650">
        <v>1802.6741978965265</v>
      </c>
      <c r="AW74" s="563">
        <v>0</v>
      </c>
      <c r="AX74" s="563">
        <v>0</v>
      </c>
      <c r="AY74" s="563">
        <v>0</v>
      </c>
      <c r="AZ74" s="650">
        <v>1806.5114158998938</v>
      </c>
      <c r="BA74" s="564">
        <v>1802.6741978965265</v>
      </c>
      <c r="BB74" s="565">
        <v>186.88784455861085</v>
      </c>
      <c r="BC74" s="649">
        <v>84.693961376792501</v>
      </c>
      <c r="BD74" s="646">
        <v>595.10043606454201</v>
      </c>
      <c r="BE74" s="646">
        <v>7.3328828780844049</v>
      </c>
      <c r="BF74" s="646">
        <v>22.074700936102541</v>
      </c>
      <c r="BG74" s="646">
        <v>96.37688692241187</v>
      </c>
      <c r="BH74" s="646">
        <v>250.2446096137908</v>
      </c>
      <c r="BI74" s="646">
        <v>1937.5</v>
      </c>
      <c r="BJ74" s="563" t="s">
        <v>67</v>
      </c>
      <c r="BK74" s="563">
        <v>4</v>
      </c>
      <c r="BL74" s="563">
        <v>1</v>
      </c>
      <c r="BM74" s="563">
        <v>6</v>
      </c>
      <c r="BN74" s="563">
        <v>120.78064062564894</v>
      </c>
      <c r="BO74" s="650">
        <v>2966.4299843265876</v>
      </c>
      <c r="BP74" s="563">
        <v>1</v>
      </c>
      <c r="BQ74" s="563">
        <v>6</v>
      </c>
      <c r="BR74" s="563">
        <v>156.90879957911642</v>
      </c>
      <c r="BS74" s="650">
        <v>2980.4632686430014</v>
      </c>
      <c r="BT74" s="564">
        <v>2966.4299843265876</v>
      </c>
      <c r="BU74" s="565">
        <v>307.53738332291346</v>
      </c>
      <c r="BV74" s="649">
        <v>84.693961376792501</v>
      </c>
      <c r="BW74" s="646">
        <v>595.10043606454201</v>
      </c>
      <c r="BX74" s="646">
        <v>7.3328828780844049</v>
      </c>
      <c r="BY74" s="646">
        <v>22.074700936102541</v>
      </c>
      <c r="BZ74" s="646">
        <v>96.37688692241187</v>
      </c>
      <c r="CA74" s="646">
        <v>250.2446096137908</v>
      </c>
      <c r="CB74" s="646">
        <v>1550</v>
      </c>
      <c r="CC74" s="563" t="s">
        <v>1584</v>
      </c>
      <c r="CD74" s="563">
        <v>4</v>
      </c>
      <c r="CE74" s="563">
        <v>1</v>
      </c>
      <c r="CF74" s="563">
        <v>6</v>
      </c>
      <c r="CG74" s="563">
        <v>120.78064062564894</v>
      </c>
      <c r="CH74" s="650">
        <v>1802.5322548964648</v>
      </c>
      <c r="CI74" s="563">
        <v>1</v>
      </c>
      <c r="CJ74" s="563">
        <v>6</v>
      </c>
      <c r="CK74" s="563">
        <v>156.90879957911642</v>
      </c>
      <c r="CL74" s="650">
        <v>1811.059490580978</v>
      </c>
      <c r="CM74" s="564">
        <v>1802.5322548964648</v>
      </c>
      <c r="CN74" s="565">
        <v>186.87312896476547</v>
      </c>
      <c r="CO74" s="649">
        <v>105.86745172099063</v>
      </c>
      <c r="CP74" s="646">
        <v>-3082.4733029184245</v>
      </c>
      <c r="CQ74" s="646">
        <v>9.7771771707792059</v>
      </c>
      <c r="CR74" s="646">
        <v>-3679.1168226837567</v>
      </c>
      <c r="CS74" s="646">
        <v>118.31655360346259</v>
      </c>
      <c r="CT74" s="646">
        <v>-2834.8610441748342</v>
      </c>
      <c r="CU74" s="646">
        <v>1937.5</v>
      </c>
      <c r="CV74" s="563" t="s">
        <v>1588</v>
      </c>
      <c r="CW74" s="563">
        <v>5</v>
      </c>
      <c r="CX74" s="563">
        <v>1</v>
      </c>
      <c r="CY74" s="563">
        <v>8</v>
      </c>
      <c r="CZ74" s="563">
        <v>120.78064062564894</v>
      </c>
      <c r="DA74" s="650">
        <v>2178.9538543456924</v>
      </c>
      <c r="DB74" s="563">
        <v>1</v>
      </c>
      <c r="DC74" s="563">
        <v>-1000</v>
      </c>
      <c r="DD74" s="563">
        <v>156.90879957911642</v>
      </c>
      <c r="DE74" s="650">
        <v>-1</v>
      </c>
      <c r="DF74" s="564">
        <v>-1</v>
      </c>
      <c r="DG74" s="565">
        <v>-0.10367255756846318</v>
      </c>
      <c r="DH74" s="649">
        <v>84.693961376792501</v>
      </c>
      <c r="DI74" s="646">
        <v>595.10043606454201</v>
      </c>
      <c r="DJ74" s="646">
        <v>7.3328828780844049</v>
      </c>
      <c r="DK74" s="646">
        <v>22.074700936102541</v>
      </c>
      <c r="DL74" s="646">
        <v>96.37688692241187</v>
      </c>
      <c r="DM74" s="646">
        <v>250.2446096137908</v>
      </c>
      <c r="DN74" s="646">
        <v>1550</v>
      </c>
      <c r="DO74" s="563" t="s">
        <v>1588</v>
      </c>
      <c r="DP74" s="563">
        <v>4</v>
      </c>
      <c r="DQ74" s="563">
        <v>1</v>
      </c>
      <c r="DR74" s="563">
        <v>6</v>
      </c>
      <c r="DS74" s="563">
        <v>120.78064062564894</v>
      </c>
      <c r="DT74" s="650">
        <v>1876.1350539794958</v>
      </c>
      <c r="DU74" s="563">
        <v>1</v>
      </c>
      <c r="DV74" s="563">
        <v>6</v>
      </c>
      <c r="DW74" s="563">
        <v>156.90879957911642</v>
      </c>
      <c r="DX74" s="650">
        <v>1885.0104822764381</v>
      </c>
      <c r="DY74" s="564">
        <v>1876.1350539794958</v>
      </c>
      <c r="DZ74" s="565">
        <v>194.50371938990105</v>
      </c>
      <c r="EA74" s="649">
        <v>105.86745172099063</v>
      </c>
      <c r="EB74" s="646">
        <v>655.50938892827253</v>
      </c>
      <c r="EC74" s="646">
        <v>9.7771771707792059</v>
      </c>
      <c r="ED74" s="646">
        <v>58.865869162940108</v>
      </c>
      <c r="EE74" s="646">
        <v>99.404208218762733</v>
      </c>
      <c r="EF74" s="646">
        <v>294.09389990184121</v>
      </c>
      <c r="EG74" s="646">
        <v>1937.5</v>
      </c>
      <c r="EH74" s="563" t="s">
        <v>1589</v>
      </c>
      <c r="EI74" s="563">
        <v>5</v>
      </c>
      <c r="EJ74" s="563">
        <v>1</v>
      </c>
      <c r="EK74" s="563">
        <v>8</v>
      </c>
      <c r="EL74" s="563">
        <v>120.78064062564894</v>
      </c>
      <c r="EM74" s="650">
        <v>2320.9851773575883</v>
      </c>
      <c r="EN74" s="563">
        <v>1</v>
      </c>
      <c r="EO74" s="563">
        <v>16</v>
      </c>
      <c r="EP74" s="563">
        <v>156.90879957911642</v>
      </c>
      <c r="EQ74" s="650">
        <v>2132.730282745249</v>
      </c>
      <c r="ER74" s="564">
        <v>2132.730282745249</v>
      </c>
      <c r="ES74" s="565">
        <v>221.10560301591158</v>
      </c>
      <c r="ET74" s="649">
        <v>169.387922753585</v>
      </c>
      <c r="EU74" s="646">
        <v>650.3868136271476</v>
      </c>
      <c r="EV74" s="646">
        <v>0</v>
      </c>
      <c r="EW74" s="646">
        <v>0</v>
      </c>
      <c r="EX74" s="646">
        <v>102.28832343294324</v>
      </c>
      <c r="EY74" s="646">
        <v>279.62132562464473</v>
      </c>
      <c r="EZ74" s="646">
        <v>1550</v>
      </c>
      <c r="FA74" s="563" t="s">
        <v>1587</v>
      </c>
      <c r="FB74" s="563">
        <v>8</v>
      </c>
      <c r="FC74" s="563">
        <v>0</v>
      </c>
      <c r="FD74" s="563">
        <v>0</v>
      </c>
      <c r="FE74" s="563">
        <v>0</v>
      </c>
      <c r="FF74" s="650">
        <v>1879.4453871707274</v>
      </c>
      <c r="FG74" s="563">
        <v>0</v>
      </c>
      <c r="FH74" s="563">
        <v>0</v>
      </c>
      <c r="FI74" s="563">
        <v>0</v>
      </c>
      <c r="FJ74" s="650">
        <v>1952.5005160806463</v>
      </c>
      <c r="FK74" s="564">
        <v>1879.4453871707274</v>
      </c>
      <c r="FL74" s="565">
        <v>194.84691009823979</v>
      </c>
      <c r="FM74" s="649">
        <v>105.86745172099063</v>
      </c>
      <c r="FN74" s="646">
        <v>655.50938892827253</v>
      </c>
      <c r="FO74" s="646">
        <v>9.7771771707792059</v>
      </c>
      <c r="FP74" s="646">
        <v>58.865869162940108</v>
      </c>
      <c r="FQ74" s="646">
        <v>99.404208218762733</v>
      </c>
      <c r="FR74" s="646">
        <v>294.09389990184121</v>
      </c>
      <c r="FS74" s="646">
        <v>1937.5</v>
      </c>
      <c r="FT74" s="563" t="s">
        <v>1589</v>
      </c>
      <c r="FU74" s="563">
        <v>5</v>
      </c>
      <c r="FV74" s="563">
        <v>1</v>
      </c>
      <c r="FW74" s="563">
        <v>8</v>
      </c>
      <c r="FX74" s="563">
        <v>120.78064062564894</v>
      </c>
      <c r="FY74" s="650">
        <v>2320.9851773575883</v>
      </c>
      <c r="FZ74" s="563">
        <v>1</v>
      </c>
      <c r="GA74" s="563">
        <v>16</v>
      </c>
      <c r="GB74" s="563">
        <v>156.90879957911642</v>
      </c>
      <c r="GC74" s="650">
        <v>2132.730282745249</v>
      </c>
      <c r="GD74" s="564">
        <v>2132.730282745249</v>
      </c>
      <c r="GE74" s="565">
        <v>221.10560301591158</v>
      </c>
      <c r="GF74" s="649">
        <v>169.387922753585</v>
      </c>
      <c r="GG74" s="646">
        <v>650.3868136271476</v>
      </c>
      <c r="GH74" s="646">
        <v>0</v>
      </c>
      <c r="GI74" s="646">
        <v>0</v>
      </c>
      <c r="GJ74" s="646">
        <v>102.28832343294324</v>
      </c>
      <c r="GK74" s="646">
        <v>279.62132562464473</v>
      </c>
      <c r="GL74" s="646">
        <v>1550</v>
      </c>
      <c r="GM74" s="563" t="s">
        <v>1587</v>
      </c>
      <c r="GN74" s="563">
        <v>8</v>
      </c>
      <c r="GO74" s="563">
        <v>0</v>
      </c>
      <c r="GP74" s="563">
        <v>0</v>
      </c>
      <c r="GQ74" s="563">
        <v>0</v>
      </c>
      <c r="GR74" s="650">
        <v>1879.4453871707274</v>
      </c>
      <c r="GS74" s="563">
        <v>0</v>
      </c>
      <c r="GT74" s="563">
        <v>0</v>
      </c>
      <c r="GU74" s="563">
        <v>0</v>
      </c>
      <c r="GV74" s="650">
        <v>1952.5005160806463</v>
      </c>
      <c r="GW74" s="564">
        <v>1879.4453871707274</v>
      </c>
      <c r="GX74" s="565">
        <v>194.84691009823979</v>
      </c>
      <c r="GY74" s="649">
        <v>84.693961376792501</v>
      </c>
      <c r="GZ74" s="646">
        <v>595.10043606454201</v>
      </c>
      <c r="HA74" s="646">
        <v>7.3328828780844049</v>
      </c>
      <c r="HB74" s="646">
        <v>22.074700936102541</v>
      </c>
      <c r="HC74" s="646">
        <v>96.37688692241187</v>
      </c>
      <c r="HD74" s="646">
        <v>250.2446096137908</v>
      </c>
      <c r="HE74" s="646">
        <v>1937.5</v>
      </c>
      <c r="HF74" s="563" t="s">
        <v>1587</v>
      </c>
      <c r="HG74" s="563">
        <v>4</v>
      </c>
      <c r="HH74" s="563">
        <v>1</v>
      </c>
      <c r="HI74" s="563">
        <v>6</v>
      </c>
      <c r="HJ74" s="563">
        <v>120.78064062564894</v>
      </c>
      <c r="HK74" s="650">
        <v>2468.2189415936141</v>
      </c>
      <c r="HL74" s="563">
        <v>1</v>
      </c>
      <c r="HM74" s="563">
        <v>6</v>
      </c>
      <c r="HN74" s="563">
        <v>156.90879957911642</v>
      </c>
      <c r="HO74" s="650">
        <v>2479.8953399375414</v>
      </c>
      <c r="HP74" s="564">
        <v>2468.2189415936141</v>
      </c>
      <c r="HQ74" s="565">
        <v>255.88657031393524</v>
      </c>
      <c r="HR74" s="649">
        <v>84.693961376792501</v>
      </c>
      <c r="HS74" s="646">
        <v>595.10043606454201</v>
      </c>
      <c r="HT74" s="646">
        <v>7.3328828780844049</v>
      </c>
      <c r="HU74" s="646">
        <v>22.074700936102541</v>
      </c>
      <c r="HV74" s="646">
        <v>96.37688692241187</v>
      </c>
      <c r="HW74" s="646">
        <v>250.2446096137908</v>
      </c>
      <c r="HX74" s="646">
        <v>1550</v>
      </c>
      <c r="HY74" s="563" t="s">
        <v>68</v>
      </c>
      <c r="HZ74" s="563">
        <v>4</v>
      </c>
      <c r="IA74" s="563">
        <v>1</v>
      </c>
      <c r="IB74" s="563">
        <v>6</v>
      </c>
      <c r="IC74" s="563">
        <v>120.78064062564894</v>
      </c>
      <c r="ID74" s="650">
        <v>2176.7645002385871</v>
      </c>
      <c r="IE74" s="563">
        <v>1</v>
      </c>
      <c r="IF74" s="563">
        <v>6</v>
      </c>
      <c r="IG74" s="563">
        <v>156.90879957911642</v>
      </c>
      <c r="IH74" s="650">
        <v>2187.0621156475727</v>
      </c>
      <c r="II74" s="564">
        <v>2176.7645002385871</v>
      </c>
      <c r="IJ74" s="565">
        <v>225.67074296397189</v>
      </c>
      <c r="IK74" s="649">
        <v>84.693961376792501</v>
      </c>
      <c r="IL74" s="646">
        <v>595.10043606454201</v>
      </c>
      <c r="IM74" s="646">
        <v>7.3328828780844049</v>
      </c>
      <c r="IN74" s="646">
        <v>22.074700936102541</v>
      </c>
      <c r="IO74" s="646">
        <v>96.37688692241187</v>
      </c>
      <c r="IP74" s="646">
        <v>250.2446096137908</v>
      </c>
      <c r="IQ74" s="646">
        <v>1937.5</v>
      </c>
      <c r="IR74" s="563" t="s">
        <v>68</v>
      </c>
      <c r="IS74" s="563">
        <v>4</v>
      </c>
      <c r="IT74" s="563">
        <v>1</v>
      </c>
      <c r="IU74" s="563">
        <v>6</v>
      </c>
      <c r="IV74" s="563">
        <v>120.78064062564894</v>
      </c>
      <c r="IW74" s="650">
        <v>2176.7645002385871</v>
      </c>
      <c r="IX74" s="563">
        <v>1</v>
      </c>
      <c r="IY74" s="563">
        <v>6</v>
      </c>
      <c r="IZ74" s="563">
        <v>156.90879957911642</v>
      </c>
      <c r="JA74" s="650">
        <v>2187.0621156475727</v>
      </c>
      <c r="JB74" s="564">
        <v>2176.7645002385871</v>
      </c>
      <c r="JC74" s="565">
        <v>225.67074296397189</v>
      </c>
      <c r="JD74" s="649">
        <v>127.04094206518874</v>
      </c>
      <c r="JE74" s="646">
        <v>608.03983293875126</v>
      </c>
      <c r="JF74" s="646">
        <v>0</v>
      </c>
      <c r="JG74" s="646">
        <v>0</v>
      </c>
      <c r="JH74" s="646">
        <v>98.868681801820145</v>
      </c>
      <c r="JI74" s="646">
        <v>254.76067837853535</v>
      </c>
      <c r="JJ74" s="646">
        <v>1550</v>
      </c>
      <c r="JK74" s="563" t="s">
        <v>67</v>
      </c>
      <c r="JL74" s="563">
        <v>6</v>
      </c>
      <c r="JM74" s="563">
        <v>0</v>
      </c>
      <c r="JN74" s="563">
        <v>0</v>
      </c>
      <c r="JO74" s="563">
        <v>0</v>
      </c>
      <c r="JP74" s="650">
        <v>1802.6741978965265</v>
      </c>
      <c r="JQ74" s="563">
        <v>0</v>
      </c>
      <c r="JR74" s="563">
        <v>0</v>
      </c>
      <c r="JS74" s="563">
        <v>0</v>
      </c>
      <c r="JT74" s="650">
        <v>1806.5114158998938</v>
      </c>
      <c r="JU74" s="564">
        <v>1802.6741978965265</v>
      </c>
      <c r="JV74" s="565">
        <v>186.88784455861085</v>
      </c>
      <c r="JW74" s="649">
        <v>84.693961376792501</v>
      </c>
      <c r="JX74" s="646">
        <v>595.10043606454201</v>
      </c>
      <c r="JY74" s="646">
        <v>7.3328828780844049</v>
      </c>
      <c r="JZ74" s="646">
        <v>22.074700936102541</v>
      </c>
      <c r="KA74" s="646">
        <v>96.37688692241187</v>
      </c>
      <c r="KB74" s="646">
        <v>250.2446096137908</v>
      </c>
      <c r="KC74" s="646">
        <v>1937.5</v>
      </c>
      <c r="KD74" s="563" t="s">
        <v>67</v>
      </c>
      <c r="KE74" s="563">
        <v>4</v>
      </c>
      <c r="KF74" s="563">
        <v>1</v>
      </c>
      <c r="KG74" s="563">
        <v>6</v>
      </c>
      <c r="KH74" s="563">
        <v>120.78064062564894</v>
      </c>
      <c r="KI74" s="650">
        <v>2966.4299843265876</v>
      </c>
      <c r="KJ74" s="563">
        <v>1</v>
      </c>
      <c r="KK74" s="563">
        <v>6</v>
      </c>
      <c r="KL74" s="563">
        <v>156.90879957911642</v>
      </c>
      <c r="KM74" s="650">
        <v>2980.4632686430014</v>
      </c>
      <c r="KN74" s="564">
        <v>2966.4299843265876</v>
      </c>
      <c r="KO74" s="566">
        <v>307.53738332291346</v>
      </c>
    </row>
    <row r="75" spans="1:301" ht="15" customHeight="1">
      <c r="A75" s="663" t="s">
        <v>852</v>
      </c>
      <c r="B75" s="629" t="s">
        <v>392</v>
      </c>
      <c r="C75" s="629">
        <v>952</v>
      </c>
      <c r="D75" s="629">
        <v>1980</v>
      </c>
      <c r="E75" s="629">
        <v>1000</v>
      </c>
      <c r="F75" s="629">
        <v>749.12888895398396</v>
      </c>
      <c r="G75" s="629">
        <v>422.09156579474592</v>
      </c>
      <c r="H75" s="629">
        <v>371</v>
      </c>
      <c r="I75" s="629">
        <v>277</v>
      </c>
      <c r="J75" s="629">
        <v>34.32</v>
      </c>
      <c r="K75" s="629">
        <v>46.54</v>
      </c>
      <c r="L75" s="629">
        <v>12</v>
      </c>
      <c r="M75" s="629">
        <v>798</v>
      </c>
      <c r="N75" s="629">
        <v>6</v>
      </c>
      <c r="O75" s="623">
        <v>108.03217710977627</v>
      </c>
      <c r="P75" s="629">
        <v>6</v>
      </c>
      <c r="Q75" s="623">
        <v>76.143518320195483</v>
      </c>
      <c r="R75" s="629">
        <v>22</v>
      </c>
      <c r="S75" s="629">
        <v>1364.5644444769921</v>
      </c>
      <c r="T75" s="645">
        <v>252.56334504720218</v>
      </c>
      <c r="U75" s="645">
        <v>204.6846666715488</v>
      </c>
      <c r="V75" s="645">
        <v>172.5</v>
      </c>
      <c r="W75" s="793">
        <v>33.418005101060906</v>
      </c>
      <c r="X75" s="646">
        <v>499.41925930265597</v>
      </c>
      <c r="Y75" s="646">
        <v>66.909493607348068</v>
      </c>
      <c r="Z75" s="646">
        <v>6</v>
      </c>
      <c r="AA75" s="646">
        <v>9.552071900136351</v>
      </c>
      <c r="AB75" s="647">
        <v>106.60496799504556</v>
      </c>
      <c r="AC75" s="784">
        <v>2383.6434670925505</v>
      </c>
      <c r="AD75" s="631">
        <v>0.25637060942852491</v>
      </c>
      <c r="AE75" s="631">
        <v>0.68266536918217413</v>
      </c>
      <c r="AF75" s="631">
        <v>-0.36495885953317142</v>
      </c>
      <c r="AG75" s="631">
        <v>0.89912972421774251</v>
      </c>
      <c r="AH75" s="629"/>
      <c r="AI75" s="648">
        <v>17.097928844973904</v>
      </c>
      <c r="AJ75" s="649">
        <v>146.1335904</v>
      </c>
      <c r="AK75" s="646">
        <v>653.38746027638774</v>
      </c>
      <c r="AL75" s="646">
        <v>0</v>
      </c>
      <c r="AM75" s="646">
        <v>27.544752398016644</v>
      </c>
      <c r="AN75" s="646">
        <v>118.17055585778654</v>
      </c>
      <c r="AO75" s="646">
        <v>292.03173250020768</v>
      </c>
      <c r="AP75" s="801">
        <v>1350</v>
      </c>
      <c r="AQ75" s="563" t="s">
        <v>67</v>
      </c>
      <c r="AR75" s="563">
        <v>6</v>
      </c>
      <c r="AS75" s="563">
        <v>0</v>
      </c>
      <c r="AT75" s="563">
        <v>0</v>
      </c>
      <c r="AU75" s="563">
        <v>0</v>
      </c>
      <c r="AV75" s="650">
        <v>1489.4926213789602</v>
      </c>
      <c r="AW75" s="563">
        <v>1</v>
      </c>
      <c r="AX75" s="563">
        <v>8</v>
      </c>
      <c r="AY75" s="563">
        <v>146.43966471363311</v>
      </c>
      <c r="AZ75" s="650">
        <v>2921.3310570962053</v>
      </c>
      <c r="BA75" s="564">
        <v>1489.4926213789602</v>
      </c>
      <c r="BB75" s="565">
        <v>154.41950953771138</v>
      </c>
      <c r="BC75" s="649">
        <v>146.1335904</v>
      </c>
      <c r="BD75" s="646">
        <v>677.20388380047575</v>
      </c>
      <c r="BE75" s="646">
        <v>10.044047325079665</v>
      </c>
      <c r="BF75" s="646">
        <v>41.317128597024968</v>
      </c>
      <c r="BG75" s="646">
        <v>119.58260457583663</v>
      </c>
      <c r="BH75" s="646">
        <v>306.56560143607584</v>
      </c>
      <c r="BI75" s="646">
        <v>1687.5</v>
      </c>
      <c r="BJ75" s="563" t="s">
        <v>71</v>
      </c>
      <c r="BK75" s="563">
        <v>6</v>
      </c>
      <c r="BL75" s="563">
        <v>1</v>
      </c>
      <c r="BM75" s="563">
        <v>8</v>
      </c>
      <c r="BN75" s="563">
        <v>113.74836032996119</v>
      </c>
      <c r="BO75" s="650">
        <v>2010.7873486982262</v>
      </c>
      <c r="BP75" s="563">
        <v>1</v>
      </c>
      <c r="BQ75" s="563">
        <v>12</v>
      </c>
      <c r="BR75" s="563">
        <v>146.43966471363311</v>
      </c>
      <c r="BS75" s="650">
        <v>1873.8897024984333</v>
      </c>
      <c r="BT75" s="564">
        <v>1873.8897024984333</v>
      </c>
      <c r="BU75" s="565">
        <v>194.27093805921916</v>
      </c>
      <c r="BV75" s="649">
        <v>121.77799200000001</v>
      </c>
      <c r="BW75" s="646">
        <v>639.07590920146743</v>
      </c>
      <c r="BX75" s="646">
        <v>10.044047325079665</v>
      </c>
      <c r="BY75" s="646">
        <v>27.544752398016644</v>
      </c>
      <c r="BZ75" s="646">
        <v>116.662771313238</v>
      </c>
      <c r="CA75" s="646">
        <v>280.22162004740414</v>
      </c>
      <c r="CB75" s="646">
        <v>1350</v>
      </c>
      <c r="CC75" s="563" t="s">
        <v>1584</v>
      </c>
      <c r="CD75" s="563">
        <v>5</v>
      </c>
      <c r="CE75" s="563">
        <v>1</v>
      </c>
      <c r="CF75" s="563">
        <v>8</v>
      </c>
      <c r="CG75" s="563">
        <v>113.74836032996119</v>
      </c>
      <c r="CH75" s="650">
        <v>1718.1462114035858</v>
      </c>
      <c r="CI75" s="563">
        <v>1</v>
      </c>
      <c r="CJ75" s="563">
        <v>8</v>
      </c>
      <c r="CK75" s="563">
        <v>146.43966471363311</v>
      </c>
      <c r="CL75" s="650">
        <v>1689.5388753685379</v>
      </c>
      <c r="CM75" s="564">
        <v>1689.5388753685379</v>
      </c>
      <c r="CN75" s="565">
        <v>175.15881632080126</v>
      </c>
      <c r="CO75" s="649">
        <v>146.1335904</v>
      </c>
      <c r="CP75" s="646">
        <v>690.97625999948411</v>
      </c>
      <c r="CQ75" s="646">
        <v>10.044047325079665</v>
      </c>
      <c r="CR75" s="646">
        <v>55.089504796033289</v>
      </c>
      <c r="CS75" s="646">
        <v>119.95966164938524</v>
      </c>
      <c r="CT75" s="646">
        <v>318.21492479728835</v>
      </c>
      <c r="CU75" s="646">
        <v>1687.5</v>
      </c>
      <c r="CV75" s="563" t="s">
        <v>1584</v>
      </c>
      <c r="CW75" s="563">
        <v>6</v>
      </c>
      <c r="CX75" s="563">
        <v>1</v>
      </c>
      <c r="CY75" s="563">
        <v>8</v>
      </c>
      <c r="CZ75" s="563">
        <v>113.74836032996119</v>
      </c>
      <c r="DA75" s="650">
        <v>1970.1611942217946</v>
      </c>
      <c r="DB75" s="563">
        <v>1</v>
      </c>
      <c r="DC75" s="563">
        <v>16</v>
      </c>
      <c r="DD75" s="563">
        <v>146.43966471363311</v>
      </c>
      <c r="DE75" s="650">
        <v>1868.92865094438</v>
      </c>
      <c r="DF75" s="564">
        <v>1868.92865094438</v>
      </c>
      <c r="DG75" s="565">
        <v>193.75661315638146</v>
      </c>
      <c r="DH75" s="649">
        <v>97.422393600000007</v>
      </c>
      <c r="DI75" s="646">
        <v>605.32311087069343</v>
      </c>
      <c r="DJ75" s="646">
        <v>7.5330354938097486</v>
      </c>
      <c r="DK75" s="646">
        <v>20.658564298512484</v>
      </c>
      <c r="DL75" s="646">
        <v>113.35908404122807</v>
      </c>
      <c r="DM75" s="646">
        <v>258.98116394567478</v>
      </c>
      <c r="DN75" s="646">
        <v>1350</v>
      </c>
      <c r="DO75" s="563" t="s">
        <v>1588</v>
      </c>
      <c r="DP75" s="563">
        <v>4</v>
      </c>
      <c r="DQ75" s="563">
        <v>1</v>
      </c>
      <c r="DR75" s="563">
        <v>6</v>
      </c>
      <c r="DS75" s="563">
        <v>113.74836032996119</v>
      </c>
      <c r="DT75" s="650">
        <v>1548.6066941701292</v>
      </c>
      <c r="DU75" s="563">
        <v>1</v>
      </c>
      <c r="DV75" s="563">
        <v>6</v>
      </c>
      <c r="DW75" s="563">
        <v>146.43966471363311</v>
      </c>
      <c r="DX75" s="650">
        <v>1507.5484971611907</v>
      </c>
      <c r="DY75" s="564">
        <v>1507.5484971611907</v>
      </c>
      <c r="DZ75" s="565">
        <v>156.2914083591937</v>
      </c>
      <c r="EA75" s="649">
        <v>146.1335904</v>
      </c>
      <c r="EB75" s="646">
        <v>670.31769570097163</v>
      </c>
      <c r="EC75" s="646">
        <v>10.044047325079665</v>
      </c>
      <c r="ED75" s="646">
        <v>34.430940497520808</v>
      </c>
      <c r="EE75" s="646">
        <v>119.38826576592757</v>
      </c>
      <c r="EF75" s="646">
        <v>300.74093975546958</v>
      </c>
      <c r="EG75" s="646">
        <v>1687.5</v>
      </c>
      <c r="EH75" s="563" t="s">
        <v>1588</v>
      </c>
      <c r="EI75" s="563">
        <v>6</v>
      </c>
      <c r="EJ75" s="563">
        <v>1</v>
      </c>
      <c r="EK75" s="563">
        <v>8</v>
      </c>
      <c r="EL75" s="563">
        <v>113.74836032996119</v>
      </c>
      <c r="EM75" s="650">
        <v>2050.6087857395505</v>
      </c>
      <c r="EN75" s="563">
        <v>1</v>
      </c>
      <c r="EO75" s="563">
        <v>10</v>
      </c>
      <c r="EP75" s="563">
        <v>146.43966471363311</v>
      </c>
      <c r="EQ75" s="650">
        <v>1884.8708942166695</v>
      </c>
      <c r="ER75" s="564">
        <v>1884.8708942166695</v>
      </c>
      <c r="ES75" s="565">
        <v>195.40938628979836</v>
      </c>
      <c r="ET75" s="649">
        <v>194.84478720000001</v>
      </c>
      <c r="EU75" s="646">
        <v>674.55390467837117</v>
      </c>
      <c r="EV75" s="646">
        <v>0</v>
      </c>
      <c r="EW75" s="646">
        <v>0</v>
      </c>
      <c r="EX75" s="646">
        <v>122.20244757154981</v>
      </c>
      <c r="EY75" s="646">
        <v>298.12240183270109</v>
      </c>
      <c r="EZ75" s="646">
        <v>1350</v>
      </c>
      <c r="FA75" s="563" t="s">
        <v>1587</v>
      </c>
      <c r="FB75" s="563">
        <v>8</v>
      </c>
      <c r="FC75" s="563">
        <v>0</v>
      </c>
      <c r="FD75" s="563">
        <v>0</v>
      </c>
      <c r="FE75" s="563">
        <v>0</v>
      </c>
      <c r="FF75" s="650">
        <v>1533.1316449772935</v>
      </c>
      <c r="FG75" s="563">
        <v>0</v>
      </c>
      <c r="FH75" s="563">
        <v>0</v>
      </c>
      <c r="FI75" s="563">
        <v>0</v>
      </c>
      <c r="FJ75" s="650">
        <v>1524.1185306050118</v>
      </c>
      <c r="FK75" s="564">
        <v>1524.1185306050118</v>
      </c>
      <c r="FL75" s="565">
        <v>158.00926610530959</v>
      </c>
      <c r="FM75" s="649">
        <v>121.77799200000001</v>
      </c>
      <c r="FN75" s="646">
        <v>639.07590920146743</v>
      </c>
      <c r="FO75" s="646">
        <v>10.044047325079665</v>
      </c>
      <c r="FP75" s="646">
        <v>27.544752398016644</v>
      </c>
      <c r="FQ75" s="646">
        <v>116.662771313238</v>
      </c>
      <c r="FR75" s="646">
        <v>280.22162004740414</v>
      </c>
      <c r="FS75" s="646">
        <v>1687.5</v>
      </c>
      <c r="FT75" s="563" t="s">
        <v>1589</v>
      </c>
      <c r="FU75" s="563">
        <v>5</v>
      </c>
      <c r="FV75" s="563">
        <v>1</v>
      </c>
      <c r="FW75" s="563">
        <v>8</v>
      </c>
      <c r="FX75" s="563">
        <v>113.74836032996119</v>
      </c>
      <c r="FY75" s="650">
        <v>1904.8707186077356</v>
      </c>
      <c r="FZ75" s="563">
        <v>1</v>
      </c>
      <c r="GA75" s="563">
        <v>8</v>
      </c>
      <c r="GB75" s="563">
        <v>146.43966471363311</v>
      </c>
      <c r="GC75" s="650">
        <v>1873.1543976200142</v>
      </c>
      <c r="GD75" s="564">
        <v>1873.1543976200142</v>
      </c>
      <c r="GE75" s="565">
        <v>194.1947071218809</v>
      </c>
      <c r="GF75" s="649">
        <v>194.84478720000001</v>
      </c>
      <c r="GG75" s="646">
        <v>674.55390467837117</v>
      </c>
      <c r="GH75" s="646">
        <v>0</v>
      </c>
      <c r="GI75" s="646">
        <v>0</v>
      </c>
      <c r="GJ75" s="646">
        <v>122.20244757154981</v>
      </c>
      <c r="GK75" s="646">
        <v>298.12240183270109</v>
      </c>
      <c r="GL75" s="646">
        <v>1350</v>
      </c>
      <c r="GM75" s="563" t="s">
        <v>1587</v>
      </c>
      <c r="GN75" s="563">
        <v>8</v>
      </c>
      <c r="GO75" s="563">
        <v>0</v>
      </c>
      <c r="GP75" s="563">
        <v>0</v>
      </c>
      <c r="GQ75" s="563">
        <v>0</v>
      </c>
      <c r="GR75" s="650">
        <v>1533.1316449772935</v>
      </c>
      <c r="GS75" s="563">
        <v>0</v>
      </c>
      <c r="GT75" s="563">
        <v>0</v>
      </c>
      <c r="GU75" s="563">
        <v>0</v>
      </c>
      <c r="GV75" s="650">
        <v>1524.1185306050118</v>
      </c>
      <c r="GW75" s="564">
        <v>1524.1185306050118</v>
      </c>
      <c r="GX75" s="565">
        <v>158.00926610530959</v>
      </c>
      <c r="GY75" s="649">
        <v>97.422393600000007</v>
      </c>
      <c r="GZ75" s="646">
        <v>605.32311087069343</v>
      </c>
      <c r="HA75" s="646">
        <v>7.5330354938097486</v>
      </c>
      <c r="HB75" s="646">
        <v>20.658564298512484</v>
      </c>
      <c r="HC75" s="646">
        <v>113.35908404122807</v>
      </c>
      <c r="HD75" s="646">
        <v>258.98116394567478</v>
      </c>
      <c r="HE75" s="646">
        <v>1687.5</v>
      </c>
      <c r="HF75" s="563" t="s">
        <v>1587</v>
      </c>
      <c r="HG75" s="563">
        <v>4</v>
      </c>
      <c r="HH75" s="563">
        <v>1</v>
      </c>
      <c r="HI75" s="563">
        <v>6</v>
      </c>
      <c r="HJ75" s="563">
        <v>113.74836032996119</v>
      </c>
      <c r="HK75" s="650">
        <v>2037.3268798116899</v>
      </c>
      <c r="HL75" s="563">
        <v>1</v>
      </c>
      <c r="HM75" s="563">
        <v>6</v>
      </c>
      <c r="HN75" s="563">
        <v>146.43966471363311</v>
      </c>
      <c r="HO75" s="650">
        <v>1983.3112483908349</v>
      </c>
      <c r="HP75" s="564">
        <v>1983.3112483908349</v>
      </c>
      <c r="HQ75" s="565">
        <v>205.61494957497942</v>
      </c>
      <c r="HR75" s="649">
        <v>97.422393600000007</v>
      </c>
      <c r="HS75" s="646">
        <v>605.32311087069343</v>
      </c>
      <c r="HT75" s="646">
        <v>7.5330354938097486</v>
      </c>
      <c r="HU75" s="646">
        <v>20.658564298512484</v>
      </c>
      <c r="HV75" s="646">
        <v>113.35908404122807</v>
      </c>
      <c r="HW75" s="646">
        <v>258.98116394567478</v>
      </c>
      <c r="HX75" s="646">
        <v>1350</v>
      </c>
      <c r="HY75" s="563" t="s">
        <v>68</v>
      </c>
      <c r="HZ75" s="563">
        <v>4</v>
      </c>
      <c r="IA75" s="563">
        <v>1</v>
      </c>
      <c r="IB75" s="563">
        <v>6</v>
      </c>
      <c r="IC75" s="563">
        <v>113.74836032996119</v>
      </c>
      <c r="ID75" s="650">
        <v>1796.753421109637</v>
      </c>
      <c r="IE75" s="563">
        <v>1</v>
      </c>
      <c r="IF75" s="563">
        <v>6</v>
      </c>
      <c r="IG75" s="563">
        <v>146.43966471363311</v>
      </c>
      <c r="IH75" s="650">
        <v>1749.1161118930677</v>
      </c>
      <c r="II75" s="564">
        <v>1749.1161118930677</v>
      </c>
      <c r="IJ75" s="565">
        <v>181.33534080416055</v>
      </c>
      <c r="IK75" s="649">
        <v>121.77799200000001</v>
      </c>
      <c r="IL75" s="646">
        <v>639.07590920146743</v>
      </c>
      <c r="IM75" s="646">
        <v>10.044047325079665</v>
      </c>
      <c r="IN75" s="646">
        <v>27.544752398016644</v>
      </c>
      <c r="IO75" s="646">
        <v>116.662771313238</v>
      </c>
      <c r="IP75" s="646">
        <v>280.22162004740414</v>
      </c>
      <c r="IQ75" s="646">
        <v>1687.5</v>
      </c>
      <c r="IR75" s="563" t="s">
        <v>68</v>
      </c>
      <c r="IS75" s="563">
        <v>5</v>
      </c>
      <c r="IT75" s="563">
        <v>1</v>
      </c>
      <c r="IU75" s="563">
        <v>8</v>
      </c>
      <c r="IV75" s="563">
        <v>113.74836032996119</v>
      </c>
      <c r="IW75" s="650">
        <v>2074.8586712035317</v>
      </c>
      <c r="IX75" s="563">
        <v>1</v>
      </c>
      <c r="IY75" s="563">
        <v>8</v>
      </c>
      <c r="IZ75" s="563">
        <v>146.43966471363311</v>
      </c>
      <c r="JA75" s="650">
        <v>2040.312030858224</v>
      </c>
      <c r="JB75" s="564">
        <v>2040.312030858224</v>
      </c>
      <c r="JC75" s="565">
        <v>211.52436647677726</v>
      </c>
      <c r="JD75" s="649">
        <v>146.1335904</v>
      </c>
      <c r="JE75" s="646">
        <v>653.38746027638774</v>
      </c>
      <c r="JF75" s="646">
        <v>0</v>
      </c>
      <c r="JG75" s="646">
        <v>27.544752398016644</v>
      </c>
      <c r="JH75" s="646">
        <v>118.17055585778654</v>
      </c>
      <c r="JI75" s="646">
        <v>292.03173250020768</v>
      </c>
      <c r="JJ75" s="646">
        <v>1350</v>
      </c>
      <c r="JK75" s="563" t="s">
        <v>67</v>
      </c>
      <c r="JL75" s="563">
        <v>6</v>
      </c>
      <c r="JM75" s="563">
        <v>0</v>
      </c>
      <c r="JN75" s="563">
        <v>0</v>
      </c>
      <c r="JO75" s="563">
        <v>0</v>
      </c>
      <c r="JP75" s="650">
        <v>1489.4926213789602</v>
      </c>
      <c r="JQ75" s="563">
        <v>1</v>
      </c>
      <c r="JR75" s="563">
        <v>8</v>
      </c>
      <c r="JS75" s="563">
        <v>146.43966471363311</v>
      </c>
      <c r="JT75" s="650">
        <v>2921.3310570962053</v>
      </c>
      <c r="JU75" s="564">
        <v>1489.4926213789602</v>
      </c>
      <c r="JV75" s="565">
        <v>154.41950953771138</v>
      </c>
      <c r="JW75" s="649">
        <v>97.422393600000007</v>
      </c>
      <c r="JX75" s="646">
        <v>605.32311087069343</v>
      </c>
      <c r="JY75" s="646">
        <v>7.5330354938097486</v>
      </c>
      <c r="JZ75" s="646">
        <v>20.658564298512484</v>
      </c>
      <c r="KA75" s="646">
        <v>113.35908404122807</v>
      </c>
      <c r="KB75" s="646">
        <v>258.98116394567478</v>
      </c>
      <c r="KC75" s="646">
        <v>1687.5</v>
      </c>
      <c r="KD75" s="563" t="s">
        <v>67</v>
      </c>
      <c r="KE75" s="563">
        <v>4</v>
      </c>
      <c r="KF75" s="563">
        <v>1</v>
      </c>
      <c r="KG75" s="563">
        <v>6</v>
      </c>
      <c r="KH75" s="563">
        <v>113.74836032996119</v>
      </c>
      <c r="KI75" s="650">
        <v>2448.5621766807021</v>
      </c>
      <c r="KJ75" s="563">
        <v>1</v>
      </c>
      <c r="KK75" s="563">
        <v>6</v>
      </c>
      <c r="KL75" s="563">
        <v>146.43966471363311</v>
      </c>
      <c r="KM75" s="650">
        <v>2383.6434670925505</v>
      </c>
      <c r="KN75" s="564">
        <v>2383.6434670925505</v>
      </c>
      <c r="KO75" s="566">
        <v>247.11841456484362</v>
      </c>
    </row>
    <row r="76" spans="1:301" ht="15" customHeight="1">
      <c r="A76" s="663" t="s">
        <v>853</v>
      </c>
      <c r="B76" s="629" t="s">
        <v>393</v>
      </c>
      <c r="C76" s="629">
        <v>1061</v>
      </c>
      <c r="D76" s="629">
        <v>1980</v>
      </c>
      <c r="E76" s="629">
        <v>1120</v>
      </c>
      <c r="F76" s="629">
        <v>818</v>
      </c>
      <c r="G76" s="629">
        <v>511</v>
      </c>
      <c r="H76" s="629">
        <v>416</v>
      </c>
      <c r="I76" s="629">
        <v>290</v>
      </c>
      <c r="J76" s="629">
        <v>35.26</v>
      </c>
      <c r="K76" s="629">
        <v>45.29</v>
      </c>
      <c r="L76" s="629">
        <v>12</v>
      </c>
      <c r="M76" s="629">
        <v>743</v>
      </c>
      <c r="N76" s="629">
        <v>6</v>
      </c>
      <c r="O76" s="623">
        <v>98.62134782038882</v>
      </c>
      <c r="P76" s="629">
        <v>6</v>
      </c>
      <c r="Q76" s="623">
        <v>72.620924139959541</v>
      </c>
      <c r="R76" s="629">
        <v>22</v>
      </c>
      <c r="S76" s="629">
        <v>1399.0215538237808</v>
      </c>
      <c r="T76" s="645">
        <v>265.47952370806735</v>
      </c>
      <c r="U76" s="645">
        <v>209.85323307356711</v>
      </c>
      <c r="V76" s="645">
        <v>197.5</v>
      </c>
      <c r="W76" s="793">
        <v>40.217885232195144</v>
      </c>
      <c r="X76" s="646">
        <v>545.33333333333326</v>
      </c>
      <c r="Y76" s="646">
        <v>73.060813136219451</v>
      </c>
      <c r="Z76" s="646">
        <v>6</v>
      </c>
      <c r="AA76" s="646">
        <v>11.389144408676007</v>
      </c>
      <c r="AB76" s="647">
        <v>89.211331105827597</v>
      </c>
      <c r="AC76" s="784">
        <v>2137.6743036610828</v>
      </c>
      <c r="AD76" s="631">
        <v>0.24849659912631414</v>
      </c>
      <c r="AE76" s="631">
        <v>0.70699186578603546</v>
      </c>
      <c r="AF76" s="631">
        <v>-0.38350331221494455</v>
      </c>
      <c r="AG76" s="631">
        <v>0.76026220771476616</v>
      </c>
      <c r="AH76" s="629"/>
      <c r="AI76" s="648">
        <v>16.842717427337547</v>
      </c>
      <c r="AJ76" s="649">
        <v>148.24009080000002</v>
      </c>
      <c r="AK76" s="646">
        <v>636.56891610928687</v>
      </c>
      <c r="AL76" s="646">
        <v>0</v>
      </c>
      <c r="AM76" s="646">
        <v>0</v>
      </c>
      <c r="AN76" s="646">
        <v>124.70939335286738</v>
      </c>
      <c r="AO76" s="646">
        <v>276.02802270977099</v>
      </c>
      <c r="AP76" s="801">
        <v>1100</v>
      </c>
      <c r="AQ76" s="563" t="s">
        <v>67</v>
      </c>
      <c r="AR76" s="563">
        <v>6</v>
      </c>
      <c r="AS76" s="563">
        <v>0</v>
      </c>
      <c r="AT76" s="563">
        <v>0</v>
      </c>
      <c r="AU76" s="563">
        <v>0</v>
      </c>
      <c r="AV76" s="650">
        <v>1301.0736549846822</v>
      </c>
      <c r="AW76" s="563">
        <v>0</v>
      </c>
      <c r="AX76" s="563">
        <v>0</v>
      </c>
      <c r="AY76" s="563">
        <v>0</v>
      </c>
      <c r="AZ76" s="650">
        <v>1360.8246392167332</v>
      </c>
      <c r="BA76" s="564">
        <v>1301.0736549846822</v>
      </c>
      <c r="BB76" s="565">
        <v>134.88563339721026</v>
      </c>
      <c r="BC76" s="649">
        <v>123.53340900000003</v>
      </c>
      <c r="BD76" s="646">
        <v>646.49127573766714</v>
      </c>
      <c r="BE76" s="646">
        <v>10.374942593468026</v>
      </c>
      <c r="BF76" s="646">
        <v>24.254098834912131</v>
      </c>
      <c r="BG76" s="646">
        <v>123.624198702746</v>
      </c>
      <c r="BH76" s="646">
        <v>284.88351112572985</v>
      </c>
      <c r="BI76" s="646">
        <v>1375</v>
      </c>
      <c r="BJ76" s="563" t="s">
        <v>71</v>
      </c>
      <c r="BK76" s="563">
        <v>5</v>
      </c>
      <c r="BL76" s="563">
        <v>1</v>
      </c>
      <c r="BM76" s="563">
        <v>8</v>
      </c>
      <c r="BN76" s="563">
        <v>104.24816680984186</v>
      </c>
      <c r="BO76" s="650">
        <v>1526.4736909015221</v>
      </c>
      <c r="BP76" s="563">
        <v>1</v>
      </c>
      <c r="BQ76" s="563">
        <v>8</v>
      </c>
      <c r="BR76" s="563">
        <v>128.33590835061563</v>
      </c>
      <c r="BS76" s="650">
        <v>1616.8074607463586</v>
      </c>
      <c r="BT76" s="564">
        <v>1526.4736909015221</v>
      </c>
      <c r="BU76" s="565">
        <v>158.2534315967325</v>
      </c>
      <c r="BV76" s="649">
        <v>98.826727200000022</v>
      </c>
      <c r="BW76" s="646">
        <v>613.1273335805721</v>
      </c>
      <c r="BX76" s="646">
        <v>7.7812069451010197</v>
      </c>
      <c r="BY76" s="646">
        <v>18.190574126184099</v>
      </c>
      <c r="BZ76" s="646">
        <v>119.65584308714935</v>
      </c>
      <c r="CA76" s="646">
        <v>263.18949747934988</v>
      </c>
      <c r="CB76" s="646">
        <v>1100</v>
      </c>
      <c r="CC76" s="563" t="s">
        <v>1584</v>
      </c>
      <c r="CD76" s="563">
        <v>4</v>
      </c>
      <c r="CE76" s="563">
        <v>1</v>
      </c>
      <c r="CF76" s="563">
        <v>6</v>
      </c>
      <c r="CG76" s="563">
        <v>104.24816680984186</v>
      </c>
      <c r="CH76" s="650">
        <v>1298.9441527924457</v>
      </c>
      <c r="CI76" s="563">
        <v>1</v>
      </c>
      <c r="CJ76" s="563">
        <v>6</v>
      </c>
      <c r="CK76" s="563">
        <v>128.33590835061563</v>
      </c>
      <c r="CL76" s="650">
        <v>1361.2016837984368</v>
      </c>
      <c r="CM76" s="564">
        <v>1298.9441527924457</v>
      </c>
      <c r="CN76" s="565">
        <v>134.66486245859346</v>
      </c>
      <c r="CO76" s="649">
        <v>148.24009080000002</v>
      </c>
      <c r="CP76" s="646">
        <v>671.19795753766709</v>
      </c>
      <c r="CQ76" s="646">
        <v>10.374942593468026</v>
      </c>
      <c r="CR76" s="646">
        <v>24.254098834912131</v>
      </c>
      <c r="CS76" s="646">
        <v>126.73005748980032</v>
      </c>
      <c r="CT76" s="646">
        <v>300.46762435964212</v>
      </c>
      <c r="CU76" s="646">
        <v>1375</v>
      </c>
      <c r="CV76" s="563" t="s">
        <v>1584</v>
      </c>
      <c r="CW76" s="563">
        <v>6</v>
      </c>
      <c r="CX76" s="563">
        <v>1</v>
      </c>
      <c r="CY76" s="563">
        <v>8</v>
      </c>
      <c r="CZ76" s="563">
        <v>104.24816680984186</v>
      </c>
      <c r="DA76" s="650">
        <v>1707.4313758782143</v>
      </c>
      <c r="DB76" s="563">
        <v>1</v>
      </c>
      <c r="DC76" s="563">
        <v>8</v>
      </c>
      <c r="DD76" s="563">
        <v>128.33590835061563</v>
      </c>
      <c r="DE76" s="650">
        <v>1726.4535334446975</v>
      </c>
      <c r="DF76" s="564">
        <v>1707.4313758782143</v>
      </c>
      <c r="DG76" s="565">
        <v>177.01377760993446</v>
      </c>
      <c r="DH76" s="649">
        <v>98.826727200000022</v>
      </c>
      <c r="DI76" s="646">
        <v>613.1273335805721</v>
      </c>
      <c r="DJ76" s="646">
        <v>7.7812069451010197</v>
      </c>
      <c r="DK76" s="646">
        <v>18.190574126184099</v>
      </c>
      <c r="DL76" s="646">
        <v>119.65584308714935</v>
      </c>
      <c r="DM76" s="646">
        <v>263.18949747934988</v>
      </c>
      <c r="DN76" s="646">
        <v>1100</v>
      </c>
      <c r="DO76" s="563" t="s">
        <v>1588</v>
      </c>
      <c r="DP76" s="563">
        <v>4</v>
      </c>
      <c r="DQ76" s="563">
        <v>1</v>
      </c>
      <c r="DR76" s="563">
        <v>6</v>
      </c>
      <c r="DS76" s="563">
        <v>104.24816680984186</v>
      </c>
      <c r="DT76" s="650">
        <v>1351.9839390366878</v>
      </c>
      <c r="DU76" s="563">
        <v>1</v>
      </c>
      <c r="DV76" s="563">
        <v>6</v>
      </c>
      <c r="DW76" s="563">
        <v>128.33590835061563</v>
      </c>
      <c r="DX76" s="650">
        <v>1416.7836317896279</v>
      </c>
      <c r="DY76" s="564">
        <v>1351.9839390366878</v>
      </c>
      <c r="DZ76" s="565">
        <v>140.16363275141865</v>
      </c>
      <c r="EA76" s="649">
        <v>123.53340900000003</v>
      </c>
      <c r="EB76" s="646">
        <v>646.49127573766714</v>
      </c>
      <c r="EC76" s="646">
        <v>10.374942593468026</v>
      </c>
      <c r="ED76" s="646">
        <v>24.254098834912131</v>
      </c>
      <c r="EE76" s="646">
        <v>123.624198702746</v>
      </c>
      <c r="EF76" s="646">
        <v>284.88351112572985</v>
      </c>
      <c r="EG76" s="646">
        <v>1375</v>
      </c>
      <c r="EH76" s="563" t="s">
        <v>1588</v>
      </c>
      <c r="EI76" s="563">
        <v>5</v>
      </c>
      <c r="EJ76" s="563">
        <v>1</v>
      </c>
      <c r="EK76" s="563">
        <v>8</v>
      </c>
      <c r="EL76" s="563">
        <v>104.24816680984186</v>
      </c>
      <c r="EM76" s="650">
        <v>1556.7038273785724</v>
      </c>
      <c r="EN76" s="563">
        <v>1</v>
      </c>
      <c r="EO76" s="563">
        <v>8</v>
      </c>
      <c r="EP76" s="563">
        <v>128.33590835061563</v>
      </c>
      <c r="EQ76" s="650">
        <v>1648.8265584136166</v>
      </c>
      <c r="ER76" s="564">
        <v>1556.7038273785724</v>
      </c>
      <c r="ES76" s="565">
        <v>161.38746716095201</v>
      </c>
      <c r="ET76" s="649">
        <v>197.65345440000004</v>
      </c>
      <c r="EU76" s="646">
        <v>685.98227970928701</v>
      </c>
      <c r="EV76" s="646">
        <v>0</v>
      </c>
      <c r="EW76" s="646">
        <v>0</v>
      </c>
      <c r="EX76" s="646">
        <v>130.70906586986521</v>
      </c>
      <c r="EY76" s="646">
        <v>307.1962491775954</v>
      </c>
      <c r="EZ76" s="646">
        <v>1100</v>
      </c>
      <c r="FA76" s="563" t="s">
        <v>1587</v>
      </c>
      <c r="FB76" s="563">
        <v>8</v>
      </c>
      <c r="FC76" s="563">
        <v>0</v>
      </c>
      <c r="FD76" s="563">
        <v>0</v>
      </c>
      <c r="FE76" s="563">
        <v>0</v>
      </c>
      <c r="FF76" s="650">
        <v>1330.5714797521155</v>
      </c>
      <c r="FG76" s="563">
        <v>0</v>
      </c>
      <c r="FH76" s="563">
        <v>0</v>
      </c>
      <c r="FI76" s="563">
        <v>0</v>
      </c>
      <c r="FJ76" s="650">
        <v>1425.3684336953204</v>
      </c>
      <c r="FK76" s="564">
        <v>1330.5714797521155</v>
      </c>
      <c r="FL76" s="565">
        <v>137.94374833355644</v>
      </c>
      <c r="FM76" s="649">
        <v>123.53340900000003</v>
      </c>
      <c r="FN76" s="646">
        <v>646.49127573766714</v>
      </c>
      <c r="FO76" s="646">
        <v>10.374942593468026</v>
      </c>
      <c r="FP76" s="646">
        <v>24.254098834912131</v>
      </c>
      <c r="FQ76" s="646">
        <v>123.624198702746</v>
      </c>
      <c r="FR76" s="646">
        <v>284.88351112572985</v>
      </c>
      <c r="FS76" s="646">
        <v>1375</v>
      </c>
      <c r="FT76" s="563" t="s">
        <v>1589</v>
      </c>
      <c r="FU76" s="563">
        <v>5</v>
      </c>
      <c r="FV76" s="563">
        <v>1</v>
      </c>
      <c r="FW76" s="563">
        <v>8</v>
      </c>
      <c r="FX76" s="563">
        <v>104.24816680984186</v>
      </c>
      <c r="FY76" s="650">
        <v>1658.174862985544</v>
      </c>
      <c r="FZ76" s="563">
        <v>1</v>
      </c>
      <c r="GA76" s="563">
        <v>8</v>
      </c>
      <c r="GB76" s="563">
        <v>128.33590835061563</v>
      </c>
      <c r="GC76" s="650">
        <v>1756.3024542622504</v>
      </c>
      <c r="GD76" s="564">
        <v>1658.174862985544</v>
      </c>
      <c r="GE76" s="565">
        <v>171.90722894144736</v>
      </c>
      <c r="GF76" s="649">
        <v>197.65345440000004</v>
      </c>
      <c r="GG76" s="646">
        <v>685.98227970928701</v>
      </c>
      <c r="GH76" s="646">
        <v>0</v>
      </c>
      <c r="GI76" s="646">
        <v>0</v>
      </c>
      <c r="GJ76" s="646">
        <v>130.70906586986521</v>
      </c>
      <c r="GK76" s="646">
        <v>307.1962491775954</v>
      </c>
      <c r="GL76" s="646">
        <v>1100</v>
      </c>
      <c r="GM76" s="563" t="s">
        <v>1587</v>
      </c>
      <c r="GN76" s="563">
        <v>8</v>
      </c>
      <c r="GO76" s="563">
        <v>0</v>
      </c>
      <c r="GP76" s="563">
        <v>0</v>
      </c>
      <c r="GQ76" s="563">
        <v>0</v>
      </c>
      <c r="GR76" s="650">
        <v>1330.5714797521155</v>
      </c>
      <c r="GS76" s="563">
        <v>0</v>
      </c>
      <c r="GT76" s="563">
        <v>0</v>
      </c>
      <c r="GU76" s="563">
        <v>0</v>
      </c>
      <c r="GV76" s="650">
        <v>1425.3684336953204</v>
      </c>
      <c r="GW76" s="564">
        <v>1330.5714797521155</v>
      </c>
      <c r="GX76" s="565">
        <v>137.94374833355644</v>
      </c>
      <c r="GY76" s="649">
        <v>98.826727200000022</v>
      </c>
      <c r="GZ76" s="646">
        <v>613.1273335805721</v>
      </c>
      <c r="HA76" s="646">
        <v>7.7812069451010197</v>
      </c>
      <c r="HB76" s="646">
        <v>18.190574126184099</v>
      </c>
      <c r="HC76" s="646">
        <v>119.65584308714935</v>
      </c>
      <c r="HD76" s="646">
        <v>263.18949747934988</v>
      </c>
      <c r="HE76" s="646">
        <v>1375</v>
      </c>
      <c r="HF76" s="563" t="s">
        <v>1587</v>
      </c>
      <c r="HG76" s="563">
        <v>4</v>
      </c>
      <c r="HH76" s="563">
        <v>1</v>
      </c>
      <c r="HI76" s="563">
        <v>6</v>
      </c>
      <c r="HJ76" s="563">
        <v>104.24816680984186</v>
      </c>
      <c r="HK76" s="650">
        <v>1778.6525335596493</v>
      </c>
      <c r="HL76" s="563">
        <v>1</v>
      </c>
      <c r="HM76" s="563">
        <v>6</v>
      </c>
      <c r="HN76" s="563">
        <v>128.33590835061563</v>
      </c>
      <c r="HO76" s="650">
        <v>1863.9021688238415</v>
      </c>
      <c r="HP76" s="564">
        <v>1778.6525335596493</v>
      </c>
      <c r="HQ76" s="565">
        <v>184.39745717975563</v>
      </c>
      <c r="HR76" s="649">
        <v>98.826727200000022</v>
      </c>
      <c r="HS76" s="646">
        <v>613.1273335805721</v>
      </c>
      <c r="HT76" s="646">
        <v>7.7812069451010197</v>
      </c>
      <c r="HU76" s="646">
        <v>18.190574126184099</v>
      </c>
      <c r="HV76" s="646">
        <v>119.65584308714935</v>
      </c>
      <c r="HW76" s="646">
        <v>263.18949747934988</v>
      </c>
      <c r="HX76" s="646">
        <v>1100</v>
      </c>
      <c r="HY76" s="563" t="s">
        <v>68</v>
      </c>
      <c r="HZ76" s="563">
        <v>4</v>
      </c>
      <c r="IA76" s="563">
        <v>1</v>
      </c>
      <c r="IB76" s="563">
        <v>6</v>
      </c>
      <c r="IC76" s="563">
        <v>104.24816680984186</v>
      </c>
      <c r="ID76" s="650">
        <v>1568.6240908645991</v>
      </c>
      <c r="IE76" s="563">
        <v>1</v>
      </c>
      <c r="IF76" s="563">
        <v>6</v>
      </c>
      <c r="IG76" s="563">
        <v>128.33590835061563</v>
      </c>
      <c r="IH76" s="650">
        <v>1643.807202289215</v>
      </c>
      <c r="II76" s="564">
        <v>1568.6240908645991</v>
      </c>
      <c r="IJ76" s="565">
        <v>162.62327136343839</v>
      </c>
      <c r="IK76" s="649">
        <v>98.826727200000022</v>
      </c>
      <c r="IL76" s="646">
        <v>613.1273335805721</v>
      </c>
      <c r="IM76" s="646">
        <v>7.7812069451010197</v>
      </c>
      <c r="IN76" s="646">
        <v>18.190574126184099</v>
      </c>
      <c r="IO76" s="646">
        <v>119.65584308714935</v>
      </c>
      <c r="IP76" s="646">
        <v>263.18949747934988</v>
      </c>
      <c r="IQ76" s="646">
        <v>1375</v>
      </c>
      <c r="IR76" s="563" t="s">
        <v>68</v>
      </c>
      <c r="IS76" s="563">
        <v>4</v>
      </c>
      <c r="IT76" s="563">
        <v>1</v>
      </c>
      <c r="IU76" s="563">
        <v>6</v>
      </c>
      <c r="IV76" s="563">
        <v>104.24816680984186</v>
      </c>
      <c r="IW76" s="650">
        <v>1568.6240908645991</v>
      </c>
      <c r="IX76" s="563">
        <v>1</v>
      </c>
      <c r="IY76" s="563">
        <v>6</v>
      </c>
      <c r="IZ76" s="563">
        <v>128.33590835061563</v>
      </c>
      <c r="JA76" s="650">
        <v>1643.807202289215</v>
      </c>
      <c r="JB76" s="564">
        <v>1568.6240908645991</v>
      </c>
      <c r="JC76" s="565">
        <v>162.62327136343839</v>
      </c>
      <c r="JD76" s="649">
        <v>148.24009080000002</v>
      </c>
      <c r="JE76" s="646">
        <v>636.56891610928687</v>
      </c>
      <c r="JF76" s="646">
        <v>0</v>
      </c>
      <c r="JG76" s="646">
        <v>0</v>
      </c>
      <c r="JH76" s="646">
        <v>124.70939335286738</v>
      </c>
      <c r="JI76" s="646">
        <v>276.02802270977099</v>
      </c>
      <c r="JJ76" s="646">
        <v>1100</v>
      </c>
      <c r="JK76" s="563" t="s">
        <v>67</v>
      </c>
      <c r="JL76" s="563">
        <v>6</v>
      </c>
      <c r="JM76" s="563">
        <v>0</v>
      </c>
      <c r="JN76" s="563">
        <v>0</v>
      </c>
      <c r="JO76" s="563">
        <v>0</v>
      </c>
      <c r="JP76" s="650">
        <v>1301.0736549846822</v>
      </c>
      <c r="JQ76" s="563">
        <v>0</v>
      </c>
      <c r="JR76" s="563">
        <v>0</v>
      </c>
      <c r="JS76" s="563">
        <v>0</v>
      </c>
      <c r="JT76" s="650">
        <v>1360.8246392167332</v>
      </c>
      <c r="JU76" s="564">
        <v>1301.0736549846822</v>
      </c>
      <c r="JV76" s="565">
        <v>134.88563339721026</v>
      </c>
      <c r="JW76" s="649">
        <v>98.826727200000022</v>
      </c>
      <c r="JX76" s="646">
        <v>613.1273335805721</v>
      </c>
      <c r="JY76" s="646">
        <v>7.7812069451010197</v>
      </c>
      <c r="JZ76" s="646">
        <v>18.190574126184099</v>
      </c>
      <c r="KA76" s="646">
        <v>119.65584308714935</v>
      </c>
      <c r="KB76" s="646">
        <v>263.18949747934988</v>
      </c>
      <c r="KC76" s="646">
        <v>1375</v>
      </c>
      <c r="KD76" s="563" t="s">
        <v>67</v>
      </c>
      <c r="KE76" s="563">
        <v>4</v>
      </c>
      <c r="KF76" s="563">
        <v>1</v>
      </c>
      <c r="KG76" s="563">
        <v>6</v>
      </c>
      <c r="KH76" s="563">
        <v>104.24816680984186</v>
      </c>
      <c r="KI76" s="650">
        <v>2137.6743036610828</v>
      </c>
      <c r="KJ76" s="563">
        <v>1</v>
      </c>
      <c r="KK76" s="563">
        <v>6</v>
      </c>
      <c r="KL76" s="563">
        <v>128.33590835061563</v>
      </c>
      <c r="KM76" s="650">
        <v>2240.131614047632</v>
      </c>
      <c r="KN76" s="564">
        <v>2137.6743036610828</v>
      </c>
      <c r="KO76" s="566">
        <v>221.61816230892802</v>
      </c>
    </row>
    <row r="77" spans="1:301" ht="15" customHeight="1">
      <c r="A77" s="802" t="s">
        <v>854</v>
      </c>
      <c r="B77" s="629" t="s">
        <v>382</v>
      </c>
      <c r="C77" s="629">
        <v>196</v>
      </c>
      <c r="D77" s="629">
        <v>424</v>
      </c>
      <c r="E77" s="629">
        <v>190</v>
      </c>
      <c r="F77" s="629">
        <v>164.85552522190969</v>
      </c>
      <c r="G77" s="629">
        <v>95.368361296691802</v>
      </c>
      <c r="H77" s="629">
        <v>79.374293306458014</v>
      </c>
      <c r="I77" s="629">
        <v>60</v>
      </c>
      <c r="J77" s="629">
        <v>30</v>
      </c>
      <c r="K77" s="629">
        <v>40</v>
      </c>
      <c r="L77" s="629">
        <v>8</v>
      </c>
      <c r="M77" s="629">
        <v>202.012031611613</v>
      </c>
      <c r="N77" s="629">
        <v>4</v>
      </c>
      <c r="O77" s="623">
        <v>3.5432660088627621</v>
      </c>
      <c r="P77" s="629">
        <v>4</v>
      </c>
      <c r="Q77" s="623">
        <v>2.2956971450102688</v>
      </c>
      <c r="R77" s="629">
        <v>13.000000000000002</v>
      </c>
      <c r="S77" s="629">
        <v>294.4277626109548</v>
      </c>
      <c r="T77" s="645">
        <v>6.9480095684676204</v>
      </c>
      <c r="U77" s="645">
        <v>44.164164391643219</v>
      </c>
      <c r="V77" s="645">
        <v>47.5</v>
      </c>
      <c r="W77" s="793">
        <v>0.42840491690190968</v>
      </c>
      <c r="X77" s="646">
        <v>0</v>
      </c>
      <c r="Y77" s="646">
        <v>0</v>
      </c>
      <c r="Z77" s="646">
        <v>0</v>
      </c>
      <c r="AA77" s="646">
        <v>0</v>
      </c>
      <c r="AB77" s="647">
        <v>1.6505256631350707</v>
      </c>
      <c r="AC77" s="784">
        <v>4000</v>
      </c>
      <c r="AD77" s="631">
        <v>0.82166956468900199</v>
      </c>
      <c r="AE77" s="631">
        <v>0.57735026918962573</v>
      </c>
      <c r="AF77" s="631">
        <v>-0.30651603949488604</v>
      </c>
      <c r="AG77" s="631">
        <v>1.1499181940205816</v>
      </c>
      <c r="AH77" s="629"/>
      <c r="AI77" s="648">
        <v>0.72968152236376915</v>
      </c>
      <c r="AJ77" s="649">
        <v>2.6522277664844736</v>
      </c>
      <c r="AK77" s="646">
        <v>15.867605405727035</v>
      </c>
      <c r="AL77" s="646">
        <v>0</v>
      </c>
      <c r="AM77" s="646">
        <v>0</v>
      </c>
      <c r="AN77" s="646">
        <v>28.134784652311975</v>
      </c>
      <c r="AO77" s="646">
        <v>0.31970349581608415</v>
      </c>
      <c r="AP77" s="801">
        <v>3600</v>
      </c>
      <c r="AQ77" s="563" t="s">
        <v>71</v>
      </c>
      <c r="AR77" s="563">
        <v>3</v>
      </c>
      <c r="AS77" s="563">
        <v>0</v>
      </c>
      <c r="AT77" s="563">
        <v>0</v>
      </c>
      <c r="AU77" s="563">
        <v>0</v>
      </c>
      <c r="AV77" s="650">
        <v>6597.892884357102</v>
      </c>
      <c r="AW77" s="563">
        <v>0</v>
      </c>
      <c r="AX77" s="563">
        <v>0</v>
      </c>
      <c r="AY77" s="563">
        <v>0</v>
      </c>
      <c r="AZ77" s="650">
        <v>6664.3387133651431</v>
      </c>
      <c r="BA77" s="564">
        <v>4000</v>
      </c>
      <c r="BB77" s="565">
        <v>88.80235234147149</v>
      </c>
      <c r="BC77" s="649">
        <v>2.6522277664844736</v>
      </c>
      <c r="BD77" s="646">
        <v>15.867605405727035</v>
      </c>
      <c r="BE77" s="646">
        <v>0</v>
      </c>
      <c r="BF77" s="646">
        <v>0</v>
      </c>
      <c r="BG77" s="646">
        <v>28.134784652311975</v>
      </c>
      <c r="BH77" s="646">
        <v>0.31970349581608415</v>
      </c>
      <c r="BI77" s="646">
        <v>3600</v>
      </c>
      <c r="BJ77" s="563" t="s">
        <v>71</v>
      </c>
      <c r="BK77" s="563">
        <v>3</v>
      </c>
      <c r="BL77" s="563">
        <v>0</v>
      </c>
      <c r="BM77" s="563">
        <v>0</v>
      </c>
      <c r="BN77" s="563">
        <v>0</v>
      </c>
      <c r="BO77" s="650">
        <v>6597.892884357102</v>
      </c>
      <c r="BP77" s="563">
        <v>0</v>
      </c>
      <c r="BQ77" s="563">
        <v>0</v>
      </c>
      <c r="BR77" s="563">
        <v>0</v>
      </c>
      <c r="BS77" s="650">
        <v>6664.3387133651431</v>
      </c>
      <c r="BT77" s="564">
        <v>4000</v>
      </c>
      <c r="BU77" s="565">
        <v>88.80235234147149</v>
      </c>
      <c r="BV77" s="649">
        <v>2.6522277664844736</v>
      </c>
      <c r="BW77" s="646">
        <v>15.867605405727035</v>
      </c>
      <c r="BX77" s="646">
        <v>0</v>
      </c>
      <c r="BY77" s="646">
        <v>0</v>
      </c>
      <c r="BZ77" s="646">
        <v>28.134784652311975</v>
      </c>
      <c r="CA77" s="646">
        <v>0.31970349581608415</v>
      </c>
      <c r="CB77" s="646">
        <v>3600</v>
      </c>
      <c r="CC77" s="563" t="s">
        <v>1584</v>
      </c>
      <c r="CD77" s="563">
        <v>3</v>
      </c>
      <c r="CE77" s="563">
        <v>0</v>
      </c>
      <c r="CF77" s="563">
        <v>0</v>
      </c>
      <c r="CG77" s="563">
        <v>0</v>
      </c>
      <c r="CH77" s="650">
        <v>6464.5883776859346</v>
      </c>
      <c r="CI77" s="563">
        <v>0</v>
      </c>
      <c r="CJ77" s="563">
        <v>0</v>
      </c>
      <c r="CK77" s="563">
        <v>0</v>
      </c>
      <c r="CL77" s="650">
        <v>6529.6917283283037</v>
      </c>
      <c r="CM77" s="564">
        <v>4000</v>
      </c>
      <c r="CN77" s="565">
        <v>88.80235234147149</v>
      </c>
      <c r="CO77" s="649">
        <v>2.6522277664844736</v>
      </c>
      <c r="CP77" s="646">
        <v>15.867605405727035</v>
      </c>
      <c r="CQ77" s="646">
        <v>0</v>
      </c>
      <c r="CR77" s="646">
        <v>0</v>
      </c>
      <c r="CS77" s="646">
        <v>28.134784652311975</v>
      </c>
      <c r="CT77" s="646">
        <v>0.31970349581608415</v>
      </c>
      <c r="CU77" s="646">
        <v>3600</v>
      </c>
      <c r="CV77" s="563" t="s">
        <v>1584</v>
      </c>
      <c r="CW77" s="563">
        <v>3</v>
      </c>
      <c r="CX77" s="563">
        <v>0</v>
      </c>
      <c r="CY77" s="563">
        <v>0</v>
      </c>
      <c r="CZ77" s="563">
        <v>0</v>
      </c>
      <c r="DA77" s="650">
        <v>6464.5883776859346</v>
      </c>
      <c r="DB77" s="563">
        <v>0</v>
      </c>
      <c r="DC77" s="563">
        <v>0</v>
      </c>
      <c r="DD77" s="563">
        <v>0</v>
      </c>
      <c r="DE77" s="650">
        <v>6529.6917283283037</v>
      </c>
      <c r="DF77" s="564">
        <v>4000</v>
      </c>
      <c r="DG77" s="565">
        <v>88.80235234147149</v>
      </c>
      <c r="DH77" s="649">
        <v>1.7681518443229824</v>
      </c>
      <c r="DI77" s="646">
        <v>14.983529483565544</v>
      </c>
      <c r="DJ77" s="646">
        <v>0</v>
      </c>
      <c r="DK77" s="646">
        <v>0</v>
      </c>
      <c r="DL77" s="646">
        <v>27.453158530755889</v>
      </c>
      <c r="DM77" s="646">
        <v>0.29559120911505166</v>
      </c>
      <c r="DN77" s="646">
        <v>3600</v>
      </c>
      <c r="DO77" s="563" t="s">
        <v>1588</v>
      </c>
      <c r="DP77" s="563">
        <v>2</v>
      </c>
      <c r="DQ77" s="563">
        <v>0</v>
      </c>
      <c r="DR77" s="563">
        <v>0</v>
      </c>
      <c r="DS77" s="563">
        <v>0</v>
      </c>
      <c r="DT77" s="650">
        <v>5167.6499786553759</v>
      </c>
      <c r="DU77" s="563">
        <v>0</v>
      </c>
      <c r="DV77" s="563">
        <v>0</v>
      </c>
      <c r="DW77" s="563">
        <v>0</v>
      </c>
      <c r="DX77" s="650">
        <v>5088.7298171837183</v>
      </c>
      <c r="DY77" s="564">
        <v>4000</v>
      </c>
      <c r="DZ77" s="565">
        <v>88.80235234147149</v>
      </c>
      <c r="EA77" s="649">
        <v>1.7681518443229824</v>
      </c>
      <c r="EB77" s="646">
        <v>14.983529483565544</v>
      </c>
      <c r="EC77" s="646">
        <v>0</v>
      </c>
      <c r="ED77" s="646">
        <v>0</v>
      </c>
      <c r="EE77" s="646">
        <v>27.453158530755889</v>
      </c>
      <c r="EF77" s="646">
        <v>0.29559120911505166</v>
      </c>
      <c r="EG77" s="646">
        <v>3600</v>
      </c>
      <c r="EH77" s="563" t="s">
        <v>1588</v>
      </c>
      <c r="EI77" s="563">
        <v>2</v>
      </c>
      <c r="EJ77" s="563">
        <v>0</v>
      </c>
      <c r="EK77" s="563">
        <v>0</v>
      </c>
      <c r="EL77" s="563">
        <v>0</v>
      </c>
      <c r="EM77" s="650">
        <v>5167.6499786553759</v>
      </c>
      <c r="EN77" s="563">
        <v>0</v>
      </c>
      <c r="EO77" s="563">
        <v>0</v>
      </c>
      <c r="EP77" s="563">
        <v>0</v>
      </c>
      <c r="EQ77" s="650">
        <v>5088.7298171837183</v>
      </c>
      <c r="ER77" s="564">
        <v>4000</v>
      </c>
      <c r="ES77" s="565">
        <v>88.80235234147149</v>
      </c>
      <c r="ET77" s="649">
        <v>1.7681518443229824</v>
      </c>
      <c r="EU77" s="646">
        <v>14.983529483565544</v>
      </c>
      <c r="EV77" s="646">
        <v>0</v>
      </c>
      <c r="EW77" s="646">
        <v>0</v>
      </c>
      <c r="EX77" s="646">
        <v>27.453158530755889</v>
      </c>
      <c r="EY77" s="646">
        <v>0.29559120911505166</v>
      </c>
      <c r="EZ77" s="646">
        <v>3600</v>
      </c>
      <c r="FA77" s="563" t="s">
        <v>1589</v>
      </c>
      <c r="FB77" s="563">
        <v>2</v>
      </c>
      <c r="FC77" s="563">
        <v>0</v>
      </c>
      <c r="FD77" s="563">
        <v>0</v>
      </c>
      <c r="FE77" s="563">
        <v>0</v>
      </c>
      <c r="FF77" s="650">
        <v>5504.4942683437475</v>
      </c>
      <c r="FG77" s="563">
        <v>0</v>
      </c>
      <c r="FH77" s="563">
        <v>0</v>
      </c>
      <c r="FI77" s="563">
        <v>0</v>
      </c>
      <c r="FJ77" s="650">
        <v>5420.4298331997625</v>
      </c>
      <c r="FK77" s="564">
        <v>4000</v>
      </c>
      <c r="FL77" s="565">
        <v>88.80235234147149</v>
      </c>
      <c r="FM77" s="649">
        <v>1.7681518443229824</v>
      </c>
      <c r="FN77" s="646">
        <v>14.983529483565544</v>
      </c>
      <c r="FO77" s="646">
        <v>0</v>
      </c>
      <c r="FP77" s="646">
        <v>0</v>
      </c>
      <c r="FQ77" s="646">
        <v>27.453158530755889</v>
      </c>
      <c r="FR77" s="646">
        <v>0.29559120911505166</v>
      </c>
      <c r="FS77" s="646">
        <v>3600</v>
      </c>
      <c r="FT77" s="563" t="s">
        <v>1589</v>
      </c>
      <c r="FU77" s="563">
        <v>2</v>
      </c>
      <c r="FV77" s="563">
        <v>0</v>
      </c>
      <c r="FW77" s="563">
        <v>0</v>
      </c>
      <c r="FX77" s="563">
        <v>0</v>
      </c>
      <c r="FY77" s="650">
        <v>5504.4942683437475</v>
      </c>
      <c r="FZ77" s="563">
        <v>0</v>
      </c>
      <c r="GA77" s="563">
        <v>0</v>
      </c>
      <c r="GB77" s="563">
        <v>0</v>
      </c>
      <c r="GC77" s="650">
        <v>5420.4298331997625</v>
      </c>
      <c r="GD77" s="564">
        <v>4000</v>
      </c>
      <c r="GE77" s="565">
        <v>88.80235234147149</v>
      </c>
      <c r="GF77" s="649">
        <v>1.7681518443229824</v>
      </c>
      <c r="GG77" s="646">
        <v>14.983529483565544</v>
      </c>
      <c r="GH77" s="646">
        <v>0</v>
      </c>
      <c r="GI77" s="646">
        <v>0</v>
      </c>
      <c r="GJ77" s="646">
        <v>27.453158530755889</v>
      </c>
      <c r="GK77" s="646">
        <v>0.29559120911505166</v>
      </c>
      <c r="GL77" s="646">
        <v>3600</v>
      </c>
      <c r="GM77" s="563" t="s">
        <v>1587</v>
      </c>
      <c r="GN77" s="563">
        <v>2</v>
      </c>
      <c r="GO77" s="563">
        <v>0</v>
      </c>
      <c r="GP77" s="563">
        <v>0</v>
      </c>
      <c r="GQ77" s="563">
        <v>0</v>
      </c>
      <c r="GR77" s="650">
        <v>6798.4932821272432</v>
      </c>
      <c r="GS77" s="563">
        <v>0</v>
      </c>
      <c r="GT77" s="563">
        <v>0</v>
      </c>
      <c r="GU77" s="563">
        <v>0</v>
      </c>
      <c r="GV77" s="650">
        <v>6694.666941371659</v>
      </c>
      <c r="GW77" s="564">
        <v>4000</v>
      </c>
      <c r="GX77" s="565">
        <v>88.80235234147149</v>
      </c>
      <c r="GY77" s="649">
        <v>1.7681518443229824</v>
      </c>
      <c r="GZ77" s="646">
        <v>14.983529483565544</v>
      </c>
      <c r="HA77" s="646">
        <v>0</v>
      </c>
      <c r="HB77" s="646">
        <v>0</v>
      </c>
      <c r="HC77" s="646">
        <v>27.453158530755889</v>
      </c>
      <c r="HD77" s="646">
        <v>0.29559120911505166</v>
      </c>
      <c r="HE77" s="646">
        <v>3600</v>
      </c>
      <c r="HF77" s="563" t="s">
        <v>1587</v>
      </c>
      <c r="HG77" s="563">
        <v>2</v>
      </c>
      <c r="HH77" s="563">
        <v>0</v>
      </c>
      <c r="HI77" s="563">
        <v>0</v>
      </c>
      <c r="HJ77" s="563">
        <v>0</v>
      </c>
      <c r="HK77" s="650">
        <v>6798.4932821272432</v>
      </c>
      <c r="HL77" s="563">
        <v>0</v>
      </c>
      <c r="HM77" s="563">
        <v>0</v>
      </c>
      <c r="HN77" s="563">
        <v>0</v>
      </c>
      <c r="HO77" s="650">
        <v>6694.666941371659</v>
      </c>
      <c r="HP77" s="564">
        <v>4000</v>
      </c>
      <c r="HQ77" s="565">
        <v>88.80235234147149</v>
      </c>
      <c r="HR77" s="649">
        <v>1.7681518443229824</v>
      </c>
      <c r="HS77" s="646">
        <v>14.983529483565544</v>
      </c>
      <c r="HT77" s="646">
        <v>0</v>
      </c>
      <c r="HU77" s="646">
        <v>0</v>
      </c>
      <c r="HV77" s="646">
        <v>27.453158530755889</v>
      </c>
      <c r="HW77" s="646">
        <v>0.29559120911505166</v>
      </c>
      <c r="HX77" s="646">
        <v>3600</v>
      </c>
      <c r="HY77" s="563" t="s">
        <v>68</v>
      </c>
      <c r="HZ77" s="563">
        <v>2</v>
      </c>
      <c r="IA77" s="563">
        <v>0</v>
      </c>
      <c r="IB77" s="563">
        <v>0</v>
      </c>
      <c r="IC77" s="563">
        <v>0</v>
      </c>
      <c r="ID77" s="650">
        <v>5995.707504817321</v>
      </c>
      <c r="IE77" s="563">
        <v>0</v>
      </c>
      <c r="IF77" s="563">
        <v>0</v>
      </c>
      <c r="IG77" s="563">
        <v>0</v>
      </c>
      <c r="IH77" s="650">
        <v>5904.1412790916129</v>
      </c>
      <c r="II77" s="564">
        <v>4000</v>
      </c>
      <c r="IJ77" s="565">
        <v>88.80235234147149</v>
      </c>
      <c r="IK77" s="649">
        <v>1.7681518443229824</v>
      </c>
      <c r="IL77" s="646">
        <v>14.983529483565544</v>
      </c>
      <c r="IM77" s="646">
        <v>0</v>
      </c>
      <c r="IN77" s="646">
        <v>0</v>
      </c>
      <c r="IO77" s="646">
        <v>27.453158530755889</v>
      </c>
      <c r="IP77" s="646">
        <v>0.29559120911505166</v>
      </c>
      <c r="IQ77" s="646">
        <v>3600</v>
      </c>
      <c r="IR77" s="563" t="s">
        <v>68</v>
      </c>
      <c r="IS77" s="563">
        <v>2</v>
      </c>
      <c r="IT77" s="563">
        <v>0</v>
      </c>
      <c r="IU77" s="563">
        <v>0</v>
      </c>
      <c r="IV77" s="563">
        <v>0</v>
      </c>
      <c r="IW77" s="650">
        <v>5995.707504817321</v>
      </c>
      <c r="IX77" s="563">
        <v>0</v>
      </c>
      <c r="IY77" s="563">
        <v>0</v>
      </c>
      <c r="IZ77" s="563">
        <v>0</v>
      </c>
      <c r="JA77" s="650">
        <v>5904.1412790916129</v>
      </c>
      <c r="JB77" s="564">
        <v>4000</v>
      </c>
      <c r="JC77" s="565">
        <v>88.80235234147149</v>
      </c>
      <c r="JD77" s="649">
        <v>1.7681518443229824</v>
      </c>
      <c r="JE77" s="646">
        <v>14.983529483565544</v>
      </c>
      <c r="JF77" s="646">
        <v>0</v>
      </c>
      <c r="JG77" s="646">
        <v>0</v>
      </c>
      <c r="JH77" s="646">
        <v>27.453158530755889</v>
      </c>
      <c r="JI77" s="646">
        <v>0.29559120911505166</v>
      </c>
      <c r="JJ77" s="646">
        <v>3600</v>
      </c>
      <c r="JK77" s="563" t="s">
        <v>67</v>
      </c>
      <c r="JL77" s="563">
        <v>2</v>
      </c>
      <c r="JM77" s="563">
        <v>0</v>
      </c>
      <c r="JN77" s="563">
        <v>0</v>
      </c>
      <c r="JO77" s="563">
        <v>0</v>
      </c>
      <c r="JP77" s="650">
        <v>8170.772041535748</v>
      </c>
      <c r="JQ77" s="563">
        <v>0</v>
      </c>
      <c r="JR77" s="563">
        <v>0</v>
      </c>
      <c r="JS77" s="563">
        <v>0</v>
      </c>
      <c r="JT77" s="650">
        <v>8045.9883097563979</v>
      </c>
      <c r="JU77" s="564">
        <v>4000</v>
      </c>
      <c r="JV77" s="565">
        <v>88.80235234147149</v>
      </c>
      <c r="JW77" s="649">
        <v>1.7681518443229824</v>
      </c>
      <c r="JX77" s="646">
        <v>14.983529483565544</v>
      </c>
      <c r="JY77" s="646">
        <v>0</v>
      </c>
      <c r="JZ77" s="646">
        <v>0</v>
      </c>
      <c r="KA77" s="646">
        <v>27.453158530755889</v>
      </c>
      <c r="KB77" s="646">
        <v>0.29559120911505166</v>
      </c>
      <c r="KC77" s="646">
        <v>3600</v>
      </c>
      <c r="KD77" s="563" t="s">
        <v>67</v>
      </c>
      <c r="KE77" s="563">
        <v>2</v>
      </c>
      <c r="KF77" s="563">
        <v>0</v>
      </c>
      <c r="KG77" s="563">
        <v>0</v>
      </c>
      <c r="KH77" s="563">
        <v>0</v>
      </c>
      <c r="KI77" s="650">
        <v>8170.772041535748</v>
      </c>
      <c r="KJ77" s="563">
        <v>0</v>
      </c>
      <c r="KK77" s="563">
        <v>0</v>
      </c>
      <c r="KL77" s="563">
        <v>0</v>
      </c>
      <c r="KM77" s="650">
        <v>8045.9883097563979</v>
      </c>
      <c r="KN77" s="564">
        <v>4000</v>
      </c>
      <c r="KO77" s="566">
        <v>88.80235234147149</v>
      </c>
    </row>
    <row r="78" spans="1:301" ht="15" customHeight="1">
      <c r="A78" s="802" t="s">
        <v>995</v>
      </c>
      <c r="B78" s="629" t="s">
        <v>382</v>
      </c>
      <c r="C78" s="629">
        <v>161.30443921969373</v>
      </c>
      <c r="D78" s="629">
        <v>503.17683610488763</v>
      </c>
      <c r="E78" s="629">
        <v>160</v>
      </c>
      <c r="F78" s="629">
        <v>132.47282403195285</v>
      </c>
      <c r="G78" s="629">
        <v>71.043031894208724</v>
      </c>
      <c r="H78" s="629">
        <v>57.695380530161323</v>
      </c>
      <c r="I78" s="629">
        <v>31.249845382303715</v>
      </c>
      <c r="J78" s="629">
        <v>43.09831179967739</v>
      </c>
      <c r="K78" s="629">
        <v>67.042955691664034</v>
      </c>
      <c r="L78" s="629">
        <v>8</v>
      </c>
      <c r="M78" s="629">
        <v>212.18641203683597</v>
      </c>
      <c r="N78" s="629">
        <v>4</v>
      </c>
      <c r="O78" s="623">
        <v>5.6126355649845285</v>
      </c>
      <c r="P78" s="629">
        <v>4</v>
      </c>
      <c r="Q78" s="623">
        <v>3.752846996774156</v>
      </c>
      <c r="R78" s="629">
        <v>13.000000000000002</v>
      </c>
      <c r="S78" s="629">
        <v>317.82483006842023</v>
      </c>
      <c r="T78" s="645">
        <v>8.0961498405962757</v>
      </c>
      <c r="U78" s="645">
        <v>47.673724510263035</v>
      </c>
      <c r="V78" s="645">
        <v>35</v>
      </c>
      <c r="W78" s="793">
        <v>0.36782988458478272</v>
      </c>
      <c r="X78" s="646">
        <v>0</v>
      </c>
      <c r="Y78" s="646">
        <v>0</v>
      </c>
      <c r="Z78" s="646">
        <v>0</v>
      </c>
      <c r="AA78" s="646">
        <v>0</v>
      </c>
      <c r="AB78" s="647">
        <v>1.6329478065103515</v>
      </c>
      <c r="AC78" s="784">
        <v>4000</v>
      </c>
      <c r="AD78" s="631">
        <v>2.0457068929797755</v>
      </c>
      <c r="AE78" s="631">
        <v>0.93572818413205239</v>
      </c>
      <c r="AF78" s="631">
        <v>-0.21728955951908763</v>
      </c>
      <c r="AG78" s="631">
        <v>0.88504448284192083</v>
      </c>
      <c r="AH78" s="629"/>
      <c r="AI78" s="648">
        <v>0.90552319961636962</v>
      </c>
      <c r="AJ78" s="649">
        <v>1.7778336189629806</v>
      </c>
      <c r="AK78" s="646">
        <v>19.607295905902721</v>
      </c>
      <c r="AL78" s="646">
        <v>0</v>
      </c>
      <c r="AM78" s="646">
        <v>0</v>
      </c>
      <c r="AN78" s="646">
        <v>22.526167368458136</v>
      </c>
      <c r="AO78" s="646">
        <v>0.52602267277634374</v>
      </c>
      <c r="AP78" s="801">
        <v>3600</v>
      </c>
      <c r="AQ78" s="563" t="s">
        <v>71</v>
      </c>
      <c r="AR78" s="563">
        <v>3</v>
      </c>
      <c r="AS78" s="563">
        <v>0</v>
      </c>
      <c r="AT78" s="563">
        <v>0</v>
      </c>
      <c r="AU78" s="563">
        <v>0</v>
      </c>
      <c r="AV78" s="650">
        <v>11617.877974681229</v>
      </c>
      <c r="AW78" s="563">
        <v>0</v>
      </c>
      <c r="AX78" s="563">
        <v>0</v>
      </c>
      <c r="AY78" s="563">
        <v>0</v>
      </c>
      <c r="AZ78" s="650">
        <v>21457.558003368536</v>
      </c>
      <c r="BA78" s="564">
        <v>4000</v>
      </c>
      <c r="BB78" s="565">
        <v>105.38511011757802</v>
      </c>
      <c r="BC78" s="649">
        <v>1.7778336189629806</v>
      </c>
      <c r="BD78" s="646">
        <v>19.607295905902721</v>
      </c>
      <c r="BE78" s="646">
        <v>0</v>
      </c>
      <c r="BF78" s="646">
        <v>0</v>
      </c>
      <c r="BG78" s="646">
        <v>22.526167368458136</v>
      </c>
      <c r="BH78" s="646">
        <v>0.52602267277634374</v>
      </c>
      <c r="BI78" s="646">
        <v>3600</v>
      </c>
      <c r="BJ78" s="563" t="s">
        <v>71</v>
      </c>
      <c r="BK78" s="563">
        <v>3</v>
      </c>
      <c r="BL78" s="563">
        <v>0</v>
      </c>
      <c r="BM78" s="563">
        <v>0</v>
      </c>
      <c r="BN78" s="563">
        <v>0</v>
      </c>
      <c r="BO78" s="650">
        <v>11617.877974681229</v>
      </c>
      <c r="BP78" s="563">
        <v>0</v>
      </c>
      <c r="BQ78" s="563">
        <v>0</v>
      </c>
      <c r="BR78" s="563">
        <v>0</v>
      </c>
      <c r="BS78" s="650">
        <v>21457.558003368536</v>
      </c>
      <c r="BT78" s="564">
        <v>4000</v>
      </c>
      <c r="BU78" s="565">
        <v>105.38511011757802</v>
      </c>
      <c r="BV78" s="649">
        <v>1.7778336189629806</v>
      </c>
      <c r="BW78" s="646">
        <v>19.607295905902721</v>
      </c>
      <c r="BX78" s="646">
        <v>0</v>
      </c>
      <c r="BY78" s="646">
        <v>0</v>
      </c>
      <c r="BZ78" s="646">
        <v>22.526167368458136</v>
      </c>
      <c r="CA78" s="646">
        <v>0.52602267277634374</v>
      </c>
      <c r="CB78" s="646">
        <v>3600</v>
      </c>
      <c r="CC78" s="563" t="s">
        <v>1584</v>
      </c>
      <c r="CD78" s="563">
        <v>3</v>
      </c>
      <c r="CE78" s="563">
        <v>0</v>
      </c>
      <c r="CF78" s="563">
        <v>0</v>
      </c>
      <c r="CG78" s="563">
        <v>0</v>
      </c>
      <c r="CH78" s="650">
        <v>11383.149172755309</v>
      </c>
      <c r="CI78" s="563">
        <v>0</v>
      </c>
      <c r="CJ78" s="563">
        <v>0</v>
      </c>
      <c r="CK78" s="563">
        <v>0</v>
      </c>
      <c r="CL78" s="650">
        <v>21024.027293770534</v>
      </c>
      <c r="CM78" s="564">
        <v>4000</v>
      </c>
      <c r="CN78" s="565">
        <v>105.38511011757802</v>
      </c>
      <c r="CO78" s="649">
        <v>1.7778336189629806</v>
      </c>
      <c r="CP78" s="646">
        <v>19.607295905902721</v>
      </c>
      <c r="CQ78" s="646">
        <v>0</v>
      </c>
      <c r="CR78" s="646">
        <v>0</v>
      </c>
      <c r="CS78" s="646">
        <v>22.526167368458136</v>
      </c>
      <c r="CT78" s="646">
        <v>0.52602267277634374</v>
      </c>
      <c r="CU78" s="646">
        <v>3600</v>
      </c>
      <c r="CV78" s="563" t="s">
        <v>1584</v>
      </c>
      <c r="CW78" s="563">
        <v>3</v>
      </c>
      <c r="CX78" s="563">
        <v>0</v>
      </c>
      <c r="CY78" s="563">
        <v>0</v>
      </c>
      <c r="CZ78" s="563">
        <v>0</v>
      </c>
      <c r="DA78" s="650">
        <v>11383.149172755309</v>
      </c>
      <c r="DB78" s="563">
        <v>0</v>
      </c>
      <c r="DC78" s="563">
        <v>0</v>
      </c>
      <c r="DD78" s="563">
        <v>0</v>
      </c>
      <c r="DE78" s="650">
        <v>21024.027293770534</v>
      </c>
      <c r="DF78" s="564">
        <v>4000</v>
      </c>
      <c r="DG78" s="565">
        <v>105.38511011757802</v>
      </c>
      <c r="DH78" s="649">
        <v>1.185222412641987</v>
      </c>
      <c r="DI78" s="646">
        <v>19.014684699581728</v>
      </c>
      <c r="DJ78" s="646">
        <v>0</v>
      </c>
      <c r="DK78" s="646">
        <v>0</v>
      </c>
      <c r="DL78" s="646">
        <v>22.329150937802531</v>
      </c>
      <c r="DM78" s="646">
        <v>0.50534009347614439</v>
      </c>
      <c r="DN78" s="646">
        <v>3600</v>
      </c>
      <c r="DO78" s="563" t="s">
        <v>1588</v>
      </c>
      <c r="DP78" s="563">
        <v>2</v>
      </c>
      <c r="DQ78" s="563">
        <v>0</v>
      </c>
      <c r="DR78" s="563">
        <v>0</v>
      </c>
      <c r="DS78" s="563">
        <v>0</v>
      </c>
      <c r="DT78" s="650">
        <v>8831.2374177571837</v>
      </c>
      <c r="DU78" s="563">
        <v>0</v>
      </c>
      <c r="DV78" s="563">
        <v>0</v>
      </c>
      <c r="DW78" s="563">
        <v>0</v>
      </c>
      <c r="DX78" s="650">
        <v>14214.933020821038</v>
      </c>
      <c r="DY78" s="564">
        <v>4000</v>
      </c>
      <c r="DZ78" s="565">
        <v>105.38511011757802</v>
      </c>
      <c r="EA78" s="649">
        <v>1.185222412641987</v>
      </c>
      <c r="EB78" s="646">
        <v>19.014684699581728</v>
      </c>
      <c r="EC78" s="646">
        <v>0</v>
      </c>
      <c r="ED78" s="646">
        <v>0</v>
      </c>
      <c r="EE78" s="646">
        <v>22.329150937802531</v>
      </c>
      <c r="EF78" s="646">
        <v>0.50534009347614439</v>
      </c>
      <c r="EG78" s="646">
        <v>3600</v>
      </c>
      <c r="EH78" s="563" t="s">
        <v>1588</v>
      </c>
      <c r="EI78" s="563">
        <v>2</v>
      </c>
      <c r="EJ78" s="563">
        <v>0</v>
      </c>
      <c r="EK78" s="563">
        <v>0</v>
      </c>
      <c r="EL78" s="563">
        <v>0</v>
      </c>
      <c r="EM78" s="650">
        <v>8831.2374177571837</v>
      </c>
      <c r="EN78" s="563">
        <v>0</v>
      </c>
      <c r="EO78" s="563">
        <v>0</v>
      </c>
      <c r="EP78" s="563">
        <v>0</v>
      </c>
      <c r="EQ78" s="650">
        <v>14214.933020821038</v>
      </c>
      <c r="ER78" s="564">
        <v>4000</v>
      </c>
      <c r="ES78" s="565">
        <v>105.38511011757802</v>
      </c>
      <c r="ET78" s="649">
        <v>1.185222412641987</v>
      </c>
      <c r="EU78" s="646">
        <v>19.014684699581728</v>
      </c>
      <c r="EV78" s="646">
        <v>0</v>
      </c>
      <c r="EW78" s="646">
        <v>0</v>
      </c>
      <c r="EX78" s="646">
        <v>22.329150937802531</v>
      </c>
      <c r="EY78" s="646">
        <v>0.50534009347614439</v>
      </c>
      <c r="EZ78" s="646">
        <v>3600</v>
      </c>
      <c r="FA78" s="563" t="s">
        <v>1589</v>
      </c>
      <c r="FB78" s="563">
        <v>2</v>
      </c>
      <c r="FC78" s="563">
        <v>0</v>
      </c>
      <c r="FD78" s="563">
        <v>0</v>
      </c>
      <c r="FE78" s="563">
        <v>0</v>
      </c>
      <c r="FF78" s="650">
        <v>9406.8862924566729</v>
      </c>
      <c r="FG78" s="563">
        <v>0</v>
      </c>
      <c r="FH78" s="563">
        <v>0</v>
      </c>
      <c r="FI78" s="563">
        <v>0</v>
      </c>
      <c r="FJ78" s="650">
        <v>15141.508744049908</v>
      </c>
      <c r="FK78" s="564">
        <v>4000</v>
      </c>
      <c r="FL78" s="565">
        <v>105.38511011757802</v>
      </c>
      <c r="FM78" s="649">
        <v>1.185222412641987</v>
      </c>
      <c r="FN78" s="646">
        <v>19.014684699581728</v>
      </c>
      <c r="FO78" s="646">
        <v>0</v>
      </c>
      <c r="FP78" s="646">
        <v>0</v>
      </c>
      <c r="FQ78" s="646">
        <v>22.329150937802531</v>
      </c>
      <c r="FR78" s="646">
        <v>0.50534009347614439</v>
      </c>
      <c r="FS78" s="646">
        <v>3600</v>
      </c>
      <c r="FT78" s="563" t="s">
        <v>1589</v>
      </c>
      <c r="FU78" s="563">
        <v>2</v>
      </c>
      <c r="FV78" s="563">
        <v>0</v>
      </c>
      <c r="FW78" s="563">
        <v>0</v>
      </c>
      <c r="FX78" s="563">
        <v>0</v>
      </c>
      <c r="FY78" s="650">
        <v>9406.8862924566729</v>
      </c>
      <c r="FZ78" s="563">
        <v>0</v>
      </c>
      <c r="GA78" s="563">
        <v>0</v>
      </c>
      <c r="GB78" s="563">
        <v>0</v>
      </c>
      <c r="GC78" s="650">
        <v>15141.508744049908</v>
      </c>
      <c r="GD78" s="564">
        <v>4000</v>
      </c>
      <c r="GE78" s="565">
        <v>105.38511011757802</v>
      </c>
      <c r="GF78" s="649">
        <v>1.185222412641987</v>
      </c>
      <c r="GG78" s="646">
        <v>19.014684699581728</v>
      </c>
      <c r="GH78" s="646">
        <v>0</v>
      </c>
      <c r="GI78" s="646">
        <v>0</v>
      </c>
      <c r="GJ78" s="646">
        <v>22.329150937802531</v>
      </c>
      <c r="GK78" s="646">
        <v>0.50534009347614439</v>
      </c>
      <c r="GL78" s="646">
        <v>3600</v>
      </c>
      <c r="GM78" s="563" t="s">
        <v>1587</v>
      </c>
      <c r="GN78" s="563">
        <v>2</v>
      </c>
      <c r="GO78" s="563">
        <v>0</v>
      </c>
      <c r="GP78" s="563">
        <v>0</v>
      </c>
      <c r="GQ78" s="563">
        <v>0</v>
      </c>
      <c r="GR78" s="650">
        <v>11618.261396472359</v>
      </c>
      <c r="GS78" s="563">
        <v>0</v>
      </c>
      <c r="GT78" s="563">
        <v>0</v>
      </c>
      <c r="GU78" s="563">
        <v>0</v>
      </c>
      <c r="GV78" s="650">
        <v>18700.981499735077</v>
      </c>
      <c r="GW78" s="564">
        <v>4000</v>
      </c>
      <c r="GX78" s="565">
        <v>105.38511011757802</v>
      </c>
      <c r="GY78" s="649">
        <v>1.185222412641987</v>
      </c>
      <c r="GZ78" s="646">
        <v>19.014684699581728</v>
      </c>
      <c r="HA78" s="646">
        <v>0</v>
      </c>
      <c r="HB78" s="646">
        <v>0</v>
      </c>
      <c r="HC78" s="646">
        <v>22.329150937802531</v>
      </c>
      <c r="HD78" s="646">
        <v>0.50534009347614439</v>
      </c>
      <c r="HE78" s="646">
        <v>3600</v>
      </c>
      <c r="HF78" s="563" t="s">
        <v>1587</v>
      </c>
      <c r="HG78" s="563">
        <v>2</v>
      </c>
      <c r="HH78" s="563">
        <v>0</v>
      </c>
      <c r="HI78" s="563">
        <v>0</v>
      </c>
      <c r="HJ78" s="563">
        <v>0</v>
      </c>
      <c r="HK78" s="650">
        <v>11618.261396472359</v>
      </c>
      <c r="HL78" s="563">
        <v>0</v>
      </c>
      <c r="HM78" s="563">
        <v>0</v>
      </c>
      <c r="HN78" s="563">
        <v>0</v>
      </c>
      <c r="HO78" s="650">
        <v>18700.981499735077</v>
      </c>
      <c r="HP78" s="564">
        <v>4000</v>
      </c>
      <c r="HQ78" s="565">
        <v>105.38511011757802</v>
      </c>
      <c r="HR78" s="649">
        <v>1.185222412641987</v>
      </c>
      <c r="HS78" s="646">
        <v>19.014684699581728</v>
      </c>
      <c r="HT78" s="646">
        <v>0</v>
      </c>
      <c r="HU78" s="646">
        <v>0</v>
      </c>
      <c r="HV78" s="646">
        <v>22.329150937802531</v>
      </c>
      <c r="HW78" s="646">
        <v>0.50534009347614439</v>
      </c>
      <c r="HX78" s="646">
        <v>3600</v>
      </c>
      <c r="HY78" s="563" t="s">
        <v>68</v>
      </c>
      <c r="HZ78" s="563">
        <v>2</v>
      </c>
      <c r="IA78" s="563">
        <v>0</v>
      </c>
      <c r="IB78" s="563">
        <v>0</v>
      </c>
      <c r="IC78" s="563">
        <v>0</v>
      </c>
      <c r="ID78" s="650">
        <v>10246.343440669289</v>
      </c>
      <c r="IE78" s="563">
        <v>0</v>
      </c>
      <c r="IF78" s="563">
        <v>0</v>
      </c>
      <c r="IG78" s="563">
        <v>0</v>
      </c>
      <c r="IH78" s="650">
        <v>16492.715440372915</v>
      </c>
      <c r="II78" s="564">
        <v>4000</v>
      </c>
      <c r="IJ78" s="565">
        <v>105.38511011757802</v>
      </c>
      <c r="IK78" s="649">
        <v>1.185222412641987</v>
      </c>
      <c r="IL78" s="646">
        <v>19.014684699581728</v>
      </c>
      <c r="IM78" s="646">
        <v>0</v>
      </c>
      <c r="IN78" s="646">
        <v>0</v>
      </c>
      <c r="IO78" s="646">
        <v>22.329150937802531</v>
      </c>
      <c r="IP78" s="646">
        <v>0.50534009347614439</v>
      </c>
      <c r="IQ78" s="646">
        <v>3600</v>
      </c>
      <c r="IR78" s="563" t="s">
        <v>68</v>
      </c>
      <c r="IS78" s="563">
        <v>2</v>
      </c>
      <c r="IT78" s="563">
        <v>0</v>
      </c>
      <c r="IU78" s="563">
        <v>0</v>
      </c>
      <c r="IV78" s="563">
        <v>0</v>
      </c>
      <c r="IW78" s="650">
        <v>10246.343440669289</v>
      </c>
      <c r="IX78" s="563">
        <v>0</v>
      </c>
      <c r="IY78" s="563">
        <v>0</v>
      </c>
      <c r="IZ78" s="563">
        <v>0</v>
      </c>
      <c r="JA78" s="650">
        <v>16492.715440372915</v>
      </c>
      <c r="JB78" s="564">
        <v>4000</v>
      </c>
      <c r="JC78" s="565">
        <v>105.38511011757802</v>
      </c>
      <c r="JD78" s="649">
        <v>1.185222412641987</v>
      </c>
      <c r="JE78" s="646">
        <v>19.014684699581728</v>
      </c>
      <c r="JF78" s="646">
        <v>0</v>
      </c>
      <c r="JG78" s="646">
        <v>0</v>
      </c>
      <c r="JH78" s="646">
        <v>22.329150937802531</v>
      </c>
      <c r="JI78" s="646">
        <v>0.50534009347614439</v>
      </c>
      <c r="JJ78" s="646">
        <v>3600</v>
      </c>
      <c r="JK78" s="563" t="s">
        <v>67</v>
      </c>
      <c r="JL78" s="563">
        <v>2</v>
      </c>
      <c r="JM78" s="563">
        <v>0</v>
      </c>
      <c r="JN78" s="563">
        <v>0</v>
      </c>
      <c r="JO78" s="563">
        <v>0</v>
      </c>
      <c r="JP78" s="650">
        <v>13963.412398908313</v>
      </c>
      <c r="JQ78" s="563">
        <v>0</v>
      </c>
      <c r="JR78" s="563">
        <v>0</v>
      </c>
      <c r="JS78" s="563">
        <v>0</v>
      </c>
      <c r="JT78" s="650">
        <v>22475.782566266091</v>
      </c>
      <c r="JU78" s="564">
        <v>4000</v>
      </c>
      <c r="JV78" s="565">
        <v>105.38511011757802</v>
      </c>
      <c r="JW78" s="649">
        <v>1.185222412641987</v>
      </c>
      <c r="JX78" s="646">
        <v>19.014684699581728</v>
      </c>
      <c r="JY78" s="646">
        <v>0</v>
      </c>
      <c r="JZ78" s="646">
        <v>0</v>
      </c>
      <c r="KA78" s="646">
        <v>22.329150937802531</v>
      </c>
      <c r="KB78" s="646">
        <v>0.50534009347614439</v>
      </c>
      <c r="KC78" s="646">
        <v>3600</v>
      </c>
      <c r="KD78" s="563" t="s">
        <v>67</v>
      </c>
      <c r="KE78" s="563">
        <v>2</v>
      </c>
      <c r="KF78" s="563">
        <v>0</v>
      </c>
      <c r="KG78" s="563">
        <v>0</v>
      </c>
      <c r="KH78" s="563">
        <v>0</v>
      </c>
      <c r="KI78" s="650">
        <v>13963.412398908313</v>
      </c>
      <c r="KJ78" s="563">
        <v>0</v>
      </c>
      <c r="KK78" s="563">
        <v>0</v>
      </c>
      <c r="KL78" s="563">
        <v>0</v>
      </c>
      <c r="KM78" s="650">
        <v>22475.782566266091</v>
      </c>
      <c r="KN78" s="564">
        <v>4000</v>
      </c>
      <c r="KO78" s="566">
        <v>105.38511011757802</v>
      </c>
    </row>
    <row r="79" spans="1:301" ht="15" customHeight="1">
      <c r="A79" s="802" t="s">
        <v>855</v>
      </c>
      <c r="B79" s="629" t="s">
        <v>393</v>
      </c>
      <c r="C79" s="629">
        <v>1412</v>
      </c>
      <c r="D79" s="629">
        <v>2009</v>
      </c>
      <c r="E79" s="629">
        <v>1120</v>
      </c>
      <c r="F79" s="629">
        <v>1208.6200304675888</v>
      </c>
      <c r="G79" s="629">
        <v>824.40810817806289</v>
      </c>
      <c r="H79" s="629">
        <v>680.16953085443004</v>
      </c>
      <c r="I79" s="629">
        <v>633</v>
      </c>
      <c r="J79" s="629">
        <v>19.100000000000001</v>
      </c>
      <c r="K79" s="629">
        <v>29.1</v>
      </c>
      <c r="L79" s="629">
        <v>18</v>
      </c>
      <c r="M79" s="629">
        <v>769.98206095032492</v>
      </c>
      <c r="N79" s="629">
        <v>8</v>
      </c>
      <c r="O79" s="623">
        <v>137.20086492941587</v>
      </c>
      <c r="P79" s="629">
        <v>8</v>
      </c>
      <c r="Q79" s="623">
        <v>71.410405219225325</v>
      </c>
      <c r="R79" s="629">
        <v>25</v>
      </c>
      <c r="S79" s="629">
        <v>1608.8100152337943</v>
      </c>
      <c r="T79" s="645">
        <v>398.94136486687569</v>
      </c>
      <c r="U79" s="645">
        <v>241.32150228506913</v>
      </c>
      <c r="V79" s="645">
        <v>285</v>
      </c>
      <c r="W79" s="793">
        <v>76.746345066265192</v>
      </c>
      <c r="X79" s="646">
        <v>805.74668697839252</v>
      </c>
      <c r="Y79" s="646">
        <v>107.94958703995644</v>
      </c>
      <c r="Z79" s="646">
        <v>8</v>
      </c>
      <c r="AA79" s="646">
        <v>33.151471018513099</v>
      </c>
      <c r="AB79" s="647">
        <v>335.94541283848713</v>
      </c>
      <c r="AC79" s="784">
        <v>1745.9504398150314</v>
      </c>
      <c r="AD79" s="631">
        <v>0.2774733294581111</v>
      </c>
      <c r="AE79" s="631">
        <v>0.34628104733407428</v>
      </c>
      <c r="AF79" s="631">
        <v>-0.48898182544269037</v>
      </c>
      <c r="AG79" s="631">
        <v>0.82177657644221103</v>
      </c>
      <c r="AH79" s="629"/>
      <c r="AI79" s="648">
        <v>27.748062338524356</v>
      </c>
      <c r="AJ79" s="649">
        <v>428.61248856147881</v>
      </c>
      <c r="AK79" s="646">
        <v>1199.4601214036095</v>
      </c>
      <c r="AL79" s="646">
        <v>17.15558318262153</v>
      </c>
      <c r="AM79" s="646">
        <v>36.241598559213763</v>
      </c>
      <c r="AN79" s="646">
        <v>228.75904396518271</v>
      </c>
      <c r="AO79" s="646">
        <v>647.34899307238618</v>
      </c>
      <c r="AP79" s="801">
        <v>1200</v>
      </c>
      <c r="AQ79" s="563" t="s">
        <v>67</v>
      </c>
      <c r="AR79" s="563">
        <v>6</v>
      </c>
      <c r="AS79" s="563">
        <v>2</v>
      </c>
      <c r="AT79" s="563">
        <v>8</v>
      </c>
      <c r="AU79" s="563">
        <v>62.987978058941422</v>
      </c>
      <c r="AV79" s="650">
        <v>1792.6833316554491</v>
      </c>
      <c r="AW79" s="563">
        <v>2</v>
      </c>
      <c r="AX79" s="563">
        <v>8</v>
      </c>
      <c r="AY79" s="563">
        <v>93.617379632884891</v>
      </c>
      <c r="AZ79" s="650">
        <v>1692.7306336163022</v>
      </c>
      <c r="BA79" s="564">
        <v>1692.7306336163022</v>
      </c>
      <c r="BB79" s="565">
        <v>178.060017954307</v>
      </c>
      <c r="BC79" s="649">
        <v>428.61248856147881</v>
      </c>
      <c r="BD79" s="646">
        <v>1199.4601214036095</v>
      </c>
      <c r="BE79" s="646">
        <v>17.15558318262153</v>
      </c>
      <c r="BF79" s="646">
        <v>36.241598559213763</v>
      </c>
      <c r="BG79" s="646">
        <v>228.75904396518271</v>
      </c>
      <c r="BH79" s="646">
        <v>647.34899307238618</v>
      </c>
      <c r="BI79" s="646">
        <v>1500</v>
      </c>
      <c r="BJ79" s="563" t="s">
        <v>67</v>
      </c>
      <c r="BK79" s="563">
        <v>6</v>
      </c>
      <c r="BL79" s="563">
        <v>2</v>
      </c>
      <c r="BM79" s="563">
        <v>8</v>
      </c>
      <c r="BN79" s="563">
        <v>62.987978058941422</v>
      </c>
      <c r="BO79" s="650">
        <v>1792.6833316554489</v>
      </c>
      <c r="BP79" s="563">
        <v>2</v>
      </c>
      <c r="BQ79" s="563">
        <v>8</v>
      </c>
      <c r="BR79" s="563">
        <v>93.617379632884891</v>
      </c>
      <c r="BS79" s="650">
        <v>1692.7306336163608</v>
      </c>
      <c r="BT79" s="564">
        <v>1692.7306336163608</v>
      </c>
      <c r="BU79" s="565">
        <v>178.06001795431317</v>
      </c>
      <c r="BV79" s="649">
        <v>571.48331808197179</v>
      </c>
      <c r="BW79" s="646">
        <v>1355.6802463595611</v>
      </c>
      <c r="BX79" s="646">
        <v>21.444478978276916</v>
      </c>
      <c r="BY79" s="646">
        <v>45.301998199017198</v>
      </c>
      <c r="BZ79" s="646">
        <v>241.42990109654252</v>
      </c>
      <c r="CA79" s="646">
        <v>765.70153128744676</v>
      </c>
      <c r="CB79" s="646">
        <v>1200</v>
      </c>
      <c r="CC79" s="563" t="s">
        <v>1588</v>
      </c>
      <c r="CD79" s="563">
        <v>8</v>
      </c>
      <c r="CE79" s="563">
        <v>2</v>
      </c>
      <c r="CF79" s="563">
        <v>10</v>
      </c>
      <c r="CG79" s="563">
        <v>62.987978058941422</v>
      </c>
      <c r="CH79" s="650">
        <v>1396.8115498124237</v>
      </c>
      <c r="CI79" s="563">
        <v>2</v>
      </c>
      <c r="CJ79" s="563">
        <v>10</v>
      </c>
      <c r="CK79" s="563">
        <v>93.617379632884891</v>
      </c>
      <c r="CL79" s="650">
        <v>1327.1265232787539</v>
      </c>
      <c r="CM79" s="564">
        <v>1327.1265232787539</v>
      </c>
      <c r="CN79" s="565">
        <v>139.60175817094407</v>
      </c>
      <c r="CO79" s="649">
        <v>571.48331808197179</v>
      </c>
      <c r="CP79" s="646">
        <v>1537.826166932226</v>
      </c>
      <c r="CQ79" s="646">
        <v>45.03340585438152</v>
      </c>
      <c r="CR79" s="646">
        <v>203.85899189557745</v>
      </c>
      <c r="CS79" s="646">
        <v>250.68325618003098</v>
      </c>
      <c r="CT79" s="646">
        <v>924.32642831800058</v>
      </c>
      <c r="CU79" s="646">
        <v>1500</v>
      </c>
      <c r="CV79" s="563" t="s">
        <v>1584</v>
      </c>
      <c r="CW79" s="563">
        <v>8</v>
      </c>
      <c r="CX79" s="563">
        <v>3</v>
      </c>
      <c r="CY79" s="563">
        <v>14</v>
      </c>
      <c r="CZ79" s="563">
        <v>62.987978058941422</v>
      </c>
      <c r="DA79" s="650">
        <v>1702.1522842788611</v>
      </c>
      <c r="DB79" s="563">
        <v>3</v>
      </c>
      <c r="DC79" s="563">
        <v>30</v>
      </c>
      <c r="DD79" s="563">
        <v>93.617379632884891</v>
      </c>
      <c r="DE79" s="650">
        <v>1655.2125390349772</v>
      </c>
      <c r="DF79" s="564">
        <v>1655.2125390349772</v>
      </c>
      <c r="DG79" s="565">
        <v>174.11345229164741</v>
      </c>
      <c r="DH79" s="649">
        <v>571.48331808197179</v>
      </c>
      <c r="DI79" s="646">
        <v>1355.6802463595611</v>
      </c>
      <c r="DJ79" s="646">
        <v>21.444478978276916</v>
      </c>
      <c r="DK79" s="646">
        <v>45.301998199017198</v>
      </c>
      <c r="DL79" s="646">
        <v>241.42990109654252</v>
      </c>
      <c r="DM79" s="646">
        <v>765.70153128744676</v>
      </c>
      <c r="DN79" s="646">
        <v>1200</v>
      </c>
      <c r="DO79" s="563" t="s">
        <v>1588</v>
      </c>
      <c r="DP79" s="563">
        <v>8</v>
      </c>
      <c r="DQ79" s="563">
        <v>2</v>
      </c>
      <c r="DR79" s="563">
        <v>10</v>
      </c>
      <c r="DS79" s="563">
        <v>62.987978058941422</v>
      </c>
      <c r="DT79" s="650">
        <v>1396.8115498124237</v>
      </c>
      <c r="DU79" s="563">
        <v>2</v>
      </c>
      <c r="DV79" s="563">
        <v>10</v>
      </c>
      <c r="DW79" s="563">
        <v>93.617379632884891</v>
      </c>
      <c r="DX79" s="650">
        <v>1327.1265232787539</v>
      </c>
      <c r="DY79" s="564">
        <v>1327.1265232787539</v>
      </c>
      <c r="DZ79" s="565">
        <v>139.60175817094407</v>
      </c>
      <c r="EA79" s="649">
        <v>571.48331808197179</v>
      </c>
      <c r="EB79" s="646">
        <v>1477.0304253999223</v>
      </c>
      <c r="EC79" s="646">
        <v>38.600062160898446</v>
      </c>
      <c r="ED79" s="646">
        <v>149.49659405675678</v>
      </c>
      <c r="EE79" s="646">
        <v>247.87146125943846</v>
      </c>
      <c r="EF79" s="646">
        <v>870.84215329844676</v>
      </c>
      <c r="EG79" s="646">
        <v>1500</v>
      </c>
      <c r="EH79" s="563" t="s">
        <v>1588</v>
      </c>
      <c r="EI79" s="563">
        <v>8</v>
      </c>
      <c r="EJ79" s="563">
        <v>3</v>
      </c>
      <c r="EK79" s="563">
        <v>12</v>
      </c>
      <c r="EL79" s="563">
        <v>62.987978058941422</v>
      </c>
      <c r="EM79" s="650">
        <v>1704.5127806129774</v>
      </c>
      <c r="EN79" s="563">
        <v>3</v>
      </c>
      <c r="EO79" s="563">
        <v>22</v>
      </c>
      <c r="EP79" s="563">
        <v>93.617379632884891</v>
      </c>
      <c r="EQ79" s="650">
        <v>1667.7216205107561</v>
      </c>
      <c r="ER79" s="564">
        <v>1667.7216205107561</v>
      </c>
      <c r="ES79" s="565">
        <v>175.42929500633298</v>
      </c>
      <c r="ET79" s="649">
        <v>571.48331808197179</v>
      </c>
      <c r="EU79" s="646">
        <v>1355.6802463595611</v>
      </c>
      <c r="EV79" s="646">
        <v>21.444478978276916</v>
      </c>
      <c r="EW79" s="646">
        <v>45.301998199017198</v>
      </c>
      <c r="EX79" s="646">
        <v>241.42990109654252</v>
      </c>
      <c r="EY79" s="646">
        <v>765.70153128744676</v>
      </c>
      <c r="EZ79" s="646">
        <v>1200</v>
      </c>
      <c r="FA79" s="563" t="s">
        <v>1589</v>
      </c>
      <c r="FB79" s="563">
        <v>8</v>
      </c>
      <c r="FC79" s="563">
        <v>2</v>
      </c>
      <c r="FD79" s="563">
        <v>10</v>
      </c>
      <c r="FE79" s="563">
        <v>62.987978058941422</v>
      </c>
      <c r="FF79" s="650">
        <v>1487.8602849760825</v>
      </c>
      <c r="FG79" s="563">
        <v>2</v>
      </c>
      <c r="FH79" s="563">
        <v>10</v>
      </c>
      <c r="FI79" s="563">
        <v>93.617379632884891</v>
      </c>
      <c r="FJ79" s="650">
        <v>1413.6329610032278</v>
      </c>
      <c r="FK79" s="564">
        <v>1413.6329610032278</v>
      </c>
      <c r="FL79" s="565">
        <v>148.70145634411159</v>
      </c>
      <c r="FM79" s="649">
        <v>571.48331808197179</v>
      </c>
      <c r="FN79" s="646">
        <v>1355.6802463595611</v>
      </c>
      <c r="FO79" s="646">
        <v>21.444478978276916</v>
      </c>
      <c r="FP79" s="646">
        <v>45.301998199017198</v>
      </c>
      <c r="FQ79" s="646">
        <v>241.42990109654252</v>
      </c>
      <c r="FR79" s="646">
        <v>765.70153128744676</v>
      </c>
      <c r="FS79" s="646">
        <v>1500</v>
      </c>
      <c r="FT79" s="563" t="s">
        <v>1587</v>
      </c>
      <c r="FU79" s="563">
        <v>8</v>
      </c>
      <c r="FV79" s="563">
        <v>2</v>
      </c>
      <c r="FW79" s="563">
        <v>10</v>
      </c>
      <c r="FX79" s="563">
        <v>62.987978058941422</v>
      </c>
      <c r="FY79" s="650">
        <v>1837.6271568354991</v>
      </c>
      <c r="FZ79" s="563">
        <v>2</v>
      </c>
      <c r="GA79" s="563">
        <v>10</v>
      </c>
      <c r="GB79" s="563">
        <v>93.617379632884891</v>
      </c>
      <c r="GC79" s="650">
        <v>1745.9504398150314</v>
      </c>
      <c r="GD79" s="564">
        <v>1745.9504398150314</v>
      </c>
      <c r="GE79" s="565">
        <v>183.65826226978058</v>
      </c>
      <c r="GF79" s="649">
        <v>428.61248856147881</v>
      </c>
      <c r="GG79" s="646">
        <v>1199.4601214036095</v>
      </c>
      <c r="GH79" s="646">
        <v>17.15558318262153</v>
      </c>
      <c r="GI79" s="646">
        <v>36.241598559213763</v>
      </c>
      <c r="GJ79" s="646">
        <v>228.75904396518271</v>
      </c>
      <c r="GK79" s="646">
        <v>647.34899307238618</v>
      </c>
      <c r="GL79" s="646">
        <v>1200</v>
      </c>
      <c r="GM79" s="563" t="s">
        <v>1587</v>
      </c>
      <c r="GN79" s="563">
        <v>6</v>
      </c>
      <c r="GO79" s="563">
        <v>2</v>
      </c>
      <c r="GP79" s="563">
        <v>8</v>
      </c>
      <c r="GQ79" s="563">
        <v>62.987978058941422</v>
      </c>
      <c r="GR79" s="650">
        <v>1491.6026937584631</v>
      </c>
      <c r="GS79" s="563">
        <v>2</v>
      </c>
      <c r="GT79" s="563">
        <v>8</v>
      </c>
      <c r="GU79" s="563">
        <v>93.617379632884891</v>
      </c>
      <c r="GV79" s="650">
        <v>1408.4370219351783</v>
      </c>
      <c r="GW79" s="564">
        <v>1408.4370219351783</v>
      </c>
      <c r="GX79" s="565">
        <v>148.15489034868807</v>
      </c>
      <c r="GY79" s="649">
        <v>571.48331808197179</v>
      </c>
      <c r="GZ79" s="646">
        <v>1355.6802463595611</v>
      </c>
      <c r="HA79" s="646">
        <v>21.444478978276916</v>
      </c>
      <c r="HB79" s="646">
        <v>45.301998199017198</v>
      </c>
      <c r="HC79" s="646">
        <v>241.42990109654252</v>
      </c>
      <c r="HD79" s="646">
        <v>765.70153128744676</v>
      </c>
      <c r="HE79" s="646">
        <v>1500</v>
      </c>
      <c r="HF79" s="563" t="s">
        <v>1587</v>
      </c>
      <c r="HG79" s="563">
        <v>8</v>
      </c>
      <c r="HH79" s="563">
        <v>2</v>
      </c>
      <c r="HI79" s="563">
        <v>10</v>
      </c>
      <c r="HJ79" s="563">
        <v>62.987978058941422</v>
      </c>
      <c r="HK79" s="650">
        <v>1837.6271568354991</v>
      </c>
      <c r="HL79" s="563">
        <v>2</v>
      </c>
      <c r="HM79" s="563">
        <v>10</v>
      </c>
      <c r="HN79" s="563">
        <v>93.617379632884891</v>
      </c>
      <c r="HO79" s="650">
        <v>1745.9504398150314</v>
      </c>
      <c r="HP79" s="564">
        <v>1745.9504398150314</v>
      </c>
      <c r="HQ79" s="565">
        <v>183.65826226978058</v>
      </c>
      <c r="HR79" s="649">
        <v>428.61248856147881</v>
      </c>
      <c r="HS79" s="646">
        <v>1226.1587122745273</v>
      </c>
      <c r="HT79" s="646">
        <v>25.733374773932297</v>
      </c>
      <c r="HU79" s="646">
        <v>54.362397838820648</v>
      </c>
      <c r="HV79" s="646">
        <v>230.83452168669291</v>
      </c>
      <c r="HW79" s="646">
        <v>668.68254459915568</v>
      </c>
      <c r="HX79" s="646">
        <v>1200</v>
      </c>
      <c r="HY79" s="563" t="s">
        <v>68</v>
      </c>
      <c r="HZ79" s="563">
        <v>6</v>
      </c>
      <c r="IA79" s="563">
        <v>3</v>
      </c>
      <c r="IB79" s="563">
        <v>8</v>
      </c>
      <c r="IC79" s="563">
        <v>62.987978058941422</v>
      </c>
      <c r="ID79" s="650">
        <v>1818.6072587249175</v>
      </c>
      <c r="IE79" s="563">
        <v>3</v>
      </c>
      <c r="IF79" s="563">
        <v>8</v>
      </c>
      <c r="IG79" s="563">
        <v>93.617379632884891</v>
      </c>
      <c r="IH79" s="650">
        <v>1722.8470857620946</v>
      </c>
      <c r="II79" s="564">
        <v>1722.8470857620946</v>
      </c>
      <c r="IJ79" s="565">
        <v>181.22799749180933</v>
      </c>
      <c r="IK79" s="649">
        <v>428.61248856147881</v>
      </c>
      <c r="IL79" s="646">
        <v>1226.1587122745273</v>
      </c>
      <c r="IM79" s="646">
        <v>25.733374773932297</v>
      </c>
      <c r="IN79" s="646">
        <v>54.362397838820648</v>
      </c>
      <c r="IO79" s="646">
        <v>230.83452168669291</v>
      </c>
      <c r="IP79" s="646">
        <v>668.68254459915568</v>
      </c>
      <c r="IQ79" s="646">
        <v>1500</v>
      </c>
      <c r="IR79" s="563" t="s">
        <v>68</v>
      </c>
      <c r="IS79" s="563">
        <v>6</v>
      </c>
      <c r="IT79" s="563">
        <v>3</v>
      </c>
      <c r="IU79" s="563">
        <v>8</v>
      </c>
      <c r="IV79" s="563">
        <v>62.987978058941422</v>
      </c>
      <c r="IW79" s="650">
        <v>1818.6072587249178</v>
      </c>
      <c r="IX79" s="563">
        <v>3</v>
      </c>
      <c r="IY79" s="563">
        <v>8</v>
      </c>
      <c r="IZ79" s="563">
        <v>93.617379632884891</v>
      </c>
      <c r="JA79" s="650">
        <v>1722.8470857621387</v>
      </c>
      <c r="JB79" s="564">
        <v>1722.8470857621387</v>
      </c>
      <c r="JC79" s="565">
        <v>181.22799749181397</v>
      </c>
      <c r="JD79" s="649">
        <v>428.61248856147881</v>
      </c>
      <c r="JE79" s="646">
        <v>1199.4601214036095</v>
      </c>
      <c r="JF79" s="646">
        <v>17.15558318262153</v>
      </c>
      <c r="JG79" s="646">
        <v>36.241598559213763</v>
      </c>
      <c r="JH79" s="646">
        <v>228.75904396518271</v>
      </c>
      <c r="JI79" s="646">
        <v>647.34899307238618</v>
      </c>
      <c r="JJ79" s="646">
        <v>1200</v>
      </c>
      <c r="JK79" s="563" t="s">
        <v>67</v>
      </c>
      <c r="JL79" s="563">
        <v>6</v>
      </c>
      <c r="JM79" s="563">
        <v>2</v>
      </c>
      <c r="JN79" s="563">
        <v>8</v>
      </c>
      <c r="JO79" s="563">
        <v>62.987978058941422</v>
      </c>
      <c r="JP79" s="650">
        <v>1792.6833316554491</v>
      </c>
      <c r="JQ79" s="563">
        <v>2</v>
      </c>
      <c r="JR79" s="563">
        <v>8</v>
      </c>
      <c r="JS79" s="563">
        <v>93.617379632884891</v>
      </c>
      <c r="JT79" s="650">
        <v>1692.7306336163022</v>
      </c>
      <c r="JU79" s="564">
        <v>1692.7306336163022</v>
      </c>
      <c r="JV79" s="565">
        <v>178.060017954307</v>
      </c>
      <c r="JW79" s="649">
        <v>428.61248856147881</v>
      </c>
      <c r="JX79" s="646">
        <v>1199.4601214036095</v>
      </c>
      <c r="JY79" s="646">
        <v>17.15558318262153</v>
      </c>
      <c r="JZ79" s="646">
        <v>36.241598559213763</v>
      </c>
      <c r="KA79" s="646">
        <v>228.75904396518271</v>
      </c>
      <c r="KB79" s="646">
        <v>647.34899307238618</v>
      </c>
      <c r="KC79" s="646">
        <v>1500</v>
      </c>
      <c r="KD79" s="563" t="s">
        <v>67</v>
      </c>
      <c r="KE79" s="563">
        <v>6</v>
      </c>
      <c r="KF79" s="563">
        <v>2</v>
      </c>
      <c r="KG79" s="563">
        <v>8</v>
      </c>
      <c r="KH79" s="563">
        <v>62.987978058941422</v>
      </c>
      <c r="KI79" s="650">
        <v>1792.6833316554489</v>
      </c>
      <c r="KJ79" s="563">
        <v>2</v>
      </c>
      <c r="KK79" s="563">
        <v>8</v>
      </c>
      <c r="KL79" s="563">
        <v>93.617379632884891</v>
      </c>
      <c r="KM79" s="650">
        <v>1692.7306336163608</v>
      </c>
      <c r="KN79" s="564">
        <v>1692.7306336163608</v>
      </c>
      <c r="KO79" s="566">
        <v>178.06001795431317</v>
      </c>
    </row>
    <row r="80" spans="1:301" ht="15" customHeight="1">
      <c r="A80" s="802" t="s">
        <v>788</v>
      </c>
      <c r="B80" s="629" t="s">
        <v>384</v>
      </c>
      <c r="C80" s="629">
        <v>370</v>
      </c>
      <c r="D80" s="629">
        <v>1140</v>
      </c>
      <c r="E80" s="629">
        <v>355</v>
      </c>
      <c r="F80" s="629">
        <v>318.44782934167978</v>
      </c>
      <c r="G80" s="629">
        <v>170.80828781170572</v>
      </c>
      <c r="H80" s="629">
        <v>140.83846972325225</v>
      </c>
      <c r="I80" s="629">
        <v>100</v>
      </c>
      <c r="J80" s="629">
        <v>38.799999999999997</v>
      </c>
      <c r="K80" s="629">
        <v>48.8</v>
      </c>
      <c r="L80" s="629">
        <v>15</v>
      </c>
      <c r="M80" s="629">
        <v>561.9725398845751</v>
      </c>
      <c r="N80" s="629">
        <v>6</v>
      </c>
      <c r="O80" s="623">
        <v>43.413183896591455</v>
      </c>
      <c r="P80" s="629">
        <v>6</v>
      </c>
      <c r="Q80" s="623">
        <v>28.403853826688987</v>
      </c>
      <c r="R80" s="629">
        <v>18.000000000000004</v>
      </c>
      <c r="S80" s="629">
        <v>729.2239146708398</v>
      </c>
      <c r="T80" s="645">
        <v>59.013836450215109</v>
      </c>
      <c r="U80" s="645">
        <v>109.38358720062597</v>
      </c>
      <c r="V80" s="645">
        <v>85</v>
      </c>
      <c r="W80" s="793">
        <v>4.7026650921265158</v>
      </c>
      <c r="X80" s="646">
        <v>0</v>
      </c>
      <c r="Y80" s="646">
        <v>0</v>
      </c>
      <c r="Z80" s="646">
        <v>0</v>
      </c>
      <c r="AA80" s="646">
        <v>0</v>
      </c>
      <c r="AB80" s="647">
        <v>26.9968630469617</v>
      </c>
      <c r="AC80" s="784">
        <v>4000</v>
      </c>
      <c r="AD80" s="631">
        <v>0.28501936756690804</v>
      </c>
      <c r="AE80" s="631">
        <v>0.80402064259702355</v>
      </c>
      <c r="AF80" s="631">
        <v>-0.18833845823871462</v>
      </c>
      <c r="AG80" s="631">
        <v>1.2314929895679161</v>
      </c>
      <c r="AH80" s="629"/>
      <c r="AI80" s="648">
        <v>5.8979408934514295</v>
      </c>
      <c r="AJ80" s="649">
        <v>39.842068547943001</v>
      </c>
      <c r="AK80" s="646">
        <v>175.37560781356507</v>
      </c>
      <c r="AL80" s="646">
        <v>0</v>
      </c>
      <c r="AM80" s="646">
        <v>0</v>
      </c>
      <c r="AN80" s="646">
        <v>55.515666320929427</v>
      </c>
      <c r="AO80" s="646">
        <v>25.315448544864484</v>
      </c>
      <c r="AP80" s="801">
        <v>2700</v>
      </c>
      <c r="AQ80" s="563" t="s">
        <v>71</v>
      </c>
      <c r="AR80" s="563">
        <v>5</v>
      </c>
      <c r="AS80" s="563">
        <v>0</v>
      </c>
      <c r="AT80" s="563">
        <v>0</v>
      </c>
      <c r="AU80" s="563">
        <v>0</v>
      </c>
      <c r="AV80" s="650">
        <v>3675.3583245356513</v>
      </c>
      <c r="AW80" s="563">
        <v>0</v>
      </c>
      <c r="AX80" s="563">
        <v>0</v>
      </c>
      <c r="AY80" s="563">
        <v>0</v>
      </c>
      <c r="AZ80" s="650">
        <v>3437.1739505692121</v>
      </c>
      <c r="BA80" s="564">
        <v>3437.1739505692121</v>
      </c>
      <c r="BB80" s="565">
        <v>205.16580821215044</v>
      </c>
      <c r="BC80" s="649">
        <v>47.810482257531596</v>
      </c>
      <c r="BD80" s="646">
        <v>183.34402152315366</v>
      </c>
      <c r="BE80" s="646">
        <v>0</v>
      </c>
      <c r="BF80" s="646">
        <v>0</v>
      </c>
      <c r="BG80" s="646">
        <v>56.163398376193008</v>
      </c>
      <c r="BH80" s="646">
        <v>26.746276831592489</v>
      </c>
      <c r="BI80" s="646">
        <v>3375</v>
      </c>
      <c r="BJ80" s="563" t="s">
        <v>71</v>
      </c>
      <c r="BK80" s="563">
        <v>6</v>
      </c>
      <c r="BL80" s="563">
        <v>0</v>
      </c>
      <c r="BM80" s="563">
        <v>0</v>
      </c>
      <c r="BN80" s="563">
        <v>0</v>
      </c>
      <c r="BO80" s="650">
        <v>4275.8197451540855</v>
      </c>
      <c r="BP80" s="563">
        <v>0</v>
      </c>
      <c r="BQ80" s="563">
        <v>0</v>
      </c>
      <c r="BR80" s="563">
        <v>0</v>
      </c>
      <c r="BS80" s="650">
        <v>4159.0492379141215</v>
      </c>
      <c r="BT80" s="564">
        <v>4000</v>
      </c>
      <c r="BU80" s="565">
        <v>238.76104167282429</v>
      </c>
      <c r="BV80" s="649">
        <v>39.842068547943001</v>
      </c>
      <c r="BW80" s="646">
        <v>175.37560781356507</v>
      </c>
      <c r="BX80" s="646">
        <v>0</v>
      </c>
      <c r="BY80" s="646">
        <v>0</v>
      </c>
      <c r="BZ80" s="646">
        <v>55.515666320929427</v>
      </c>
      <c r="CA80" s="646">
        <v>25.315448544864484</v>
      </c>
      <c r="CB80" s="646">
        <v>2700</v>
      </c>
      <c r="CC80" s="563" t="s">
        <v>1584</v>
      </c>
      <c r="CD80" s="563">
        <v>5</v>
      </c>
      <c r="CE80" s="563">
        <v>0</v>
      </c>
      <c r="CF80" s="563">
        <v>0</v>
      </c>
      <c r="CG80" s="563">
        <v>0</v>
      </c>
      <c r="CH80" s="650">
        <v>3601.1010068011387</v>
      </c>
      <c r="CI80" s="563">
        <v>0</v>
      </c>
      <c r="CJ80" s="563">
        <v>0</v>
      </c>
      <c r="CK80" s="563">
        <v>0</v>
      </c>
      <c r="CL80" s="650">
        <v>3367.7289344323285</v>
      </c>
      <c r="CM80" s="564">
        <v>3367.7289344323285</v>
      </c>
      <c r="CN80" s="565">
        <v>201.02061711419336</v>
      </c>
      <c r="CO80" s="649">
        <v>47.810482257531596</v>
      </c>
      <c r="CP80" s="646">
        <v>183.34402152315366</v>
      </c>
      <c r="CQ80" s="646">
        <v>0</v>
      </c>
      <c r="CR80" s="646">
        <v>0</v>
      </c>
      <c r="CS80" s="646">
        <v>56.163398376193008</v>
      </c>
      <c r="CT80" s="646">
        <v>26.746276831592489</v>
      </c>
      <c r="CU80" s="646">
        <v>3375</v>
      </c>
      <c r="CV80" s="563" t="s">
        <v>1584</v>
      </c>
      <c r="CW80" s="563">
        <v>6</v>
      </c>
      <c r="CX80" s="563">
        <v>0</v>
      </c>
      <c r="CY80" s="563">
        <v>0</v>
      </c>
      <c r="CZ80" s="563">
        <v>0</v>
      </c>
      <c r="DA80" s="650">
        <v>4189.4306430978859</v>
      </c>
      <c r="DB80" s="563">
        <v>0</v>
      </c>
      <c r="DC80" s="563">
        <v>0</v>
      </c>
      <c r="DD80" s="563">
        <v>0</v>
      </c>
      <c r="DE80" s="650">
        <v>4075.0193792003342</v>
      </c>
      <c r="DF80" s="564">
        <v>4000</v>
      </c>
      <c r="DG80" s="565">
        <v>238.76104167282429</v>
      </c>
      <c r="DH80" s="649">
        <v>39.842068547943001</v>
      </c>
      <c r="DI80" s="646">
        <v>175.37560781356507</v>
      </c>
      <c r="DJ80" s="646">
        <v>0</v>
      </c>
      <c r="DK80" s="646">
        <v>0</v>
      </c>
      <c r="DL80" s="646">
        <v>55.515666320929427</v>
      </c>
      <c r="DM80" s="646">
        <v>25.315448544864484</v>
      </c>
      <c r="DN80" s="646">
        <v>2700</v>
      </c>
      <c r="DO80" s="563" t="s">
        <v>1588</v>
      </c>
      <c r="DP80" s="563">
        <v>5</v>
      </c>
      <c r="DQ80" s="563">
        <v>0</v>
      </c>
      <c r="DR80" s="563">
        <v>0</v>
      </c>
      <c r="DS80" s="563">
        <v>0</v>
      </c>
      <c r="DT80" s="650">
        <v>3748.1447632505947</v>
      </c>
      <c r="DU80" s="563">
        <v>0</v>
      </c>
      <c r="DV80" s="563">
        <v>0</v>
      </c>
      <c r="DW80" s="563">
        <v>0</v>
      </c>
      <c r="DX80" s="650">
        <v>3505.2434091130435</v>
      </c>
      <c r="DY80" s="564">
        <v>3505.2434091130435</v>
      </c>
      <c r="DZ80" s="565">
        <v>209.228891919158</v>
      </c>
      <c r="EA80" s="649">
        <v>47.810482257531596</v>
      </c>
      <c r="EB80" s="646">
        <v>183.34402152315366</v>
      </c>
      <c r="EC80" s="646">
        <v>0</v>
      </c>
      <c r="ED80" s="646">
        <v>0</v>
      </c>
      <c r="EE80" s="646">
        <v>56.163398376193008</v>
      </c>
      <c r="EF80" s="646">
        <v>26.746276831592489</v>
      </c>
      <c r="EG80" s="646">
        <v>3375</v>
      </c>
      <c r="EH80" s="563" t="s">
        <v>1588</v>
      </c>
      <c r="EI80" s="563">
        <v>6</v>
      </c>
      <c r="EJ80" s="563">
        <v>0</v>
      </c>
      <c r="EK80" s="563">
        <v>0</v>
      </c>
      <c r="EL80" s="563">
        <v>0</v>
      </c>
      <c r="EM80" s="650">
        <v>4360.4976634292016</v>
      </c>
      <c r="EN80" s="563">
        <v>0</v>
      </c>
      <c r="EO80" s="563">
        <v>0</v>
      </c>
      <c r="EP80" s="563">
        <v>0</v>
      </c>
      <c r="EQ80" s="650">
        <v>4241.4146444234621</v>
      </c>
      <c r="ER80" s="564">
        <v>4000</v>
      </c>
      <c r="ES80" s="565">
        <v>238.76104167282429</v>
      </c>
      <c r="ET80" s="649">
        <v>31.873654838354398</v>
      </c>
      <c r="EU80" s="646">
        <v>167.40719410397645</v>
      </c>
      <c r="EV80" s="646">
        <v>0</v>
      </c>
      <c r="EW80" s="646">
        <v>0</v>
      </c>
      <c r="EX80" s="646">
        <v>54.806271479703426</v>
      </c>
      <c r="EY80" s="646">
        <v>23.884620258136479</v>
      </c>
      <c r="EZ80" s="646">
        <v>2700</v>
      </c>
      <c r="FA80" s="563" t="s">
        <v>1589</v>
      </c>
      <c r="FB80" s="563">
        <v>4</v>
      </c>
      <c r="FC80" s="563">
        <v>0</v>
      </c>
      <c r="FD80" s="563">
        <v>0</v>
      </c>
      <c r="FE80" s="563">
        <v>0</v>
      </c>
      <c r="FF80" s="650">
        <v>3425.6105785490045</v>
      </c>
      <c r="FG80" s="563">
        <v>0</v>
      </c>
      <c r="FH80" s="563">
        <v>0</v>
      </c>
      <c r="FI80" s="563">
        <v>0</v>
      </c>
      <c r="FJ80" s="650">
        <v>3130.8572299379248</v>
      </c>
      <c r="FK80" s="564">
        <v>3130.8572299379248</v>
      </c>
      <c r="FL80" s="565">
        <v>186.881683387218</v>
      </c>
      <c r="FM80" s="649">
        <v>39.842068547943001</v>
      </c>
      <c r="FN80" s="646">
        <v>175.37560781356507</v>
      </c>
      <c r="FO80" s="646">
        <v>0</v>
      </c>
      <c r="FP80" s="646">
        <v>0</v>
      </c>
      <c r="FQ80" s="646">
        <v>55.515666320929427</v>
      </c>
      <c r="FR80" s="646">
        <v>25.315448544864484</v>
      </c>
      <c r="FS80" s="646">
        <v>3375</v>
      </c>
      <c r="FT80" s="563" t="s">
        <v>1589</v>
      </c>
      <c r="FU80" s="563">
        <v>5</v>
      </c>
      <c r="FV80" s="563">
        <v>0</v>
      </c>
      <c r="FW80" s="563">
        <v>0</v>
      </c>
      <c r="FX80" s="563">
        <v>0</v>
      </c>
      <c r="FY80" s="650">
        <v>3992.4610705936193</v>
      </c>
      <c r="FZ80" s="563">
        <v>0</v>
      </c>
      <c r="GA80" s="563">
        <v>0</v>
      </c>
      <c r="GB80" s="563">
        <v>0</v>
      </c>
      <c r="GC80" s="650">
        <v>3733.726613510481</v>
      </c>
      <c r="GD80" s="564">
        <v>3733.726613510481</v>
      </c>
      <c r="GE80" s="565">
        <v>222.86711389082726</v>
      </c>
      <c r="GF80" s="649">
        <v>31.873654838354398</v>
      </c>
      <c r="GG80" s="646">
        <v>167.40719410397645</v>
      </c>
      <c r="GH80" s="646">
        <v>0</v>
      </c>
      <c r="GI80" s="646">
        <v>0</v>
      </c>
      <c r="GJ80" s="646">
        <v>54.806271479703426</v>
      </c>
      <c r="GK80" s="646">
        <v>23.884620258136479</v>
      </c>
      <c r="GL80" s="646">
        <v>2700</v>
      </c>
      <c r="GM80" s="563" t="s">
        <v>1587</v>
      </c>
      <c r="GN80" s="563">
        <v>4</v>
      </c>
      <c r="GO80" s="563">
        <v>0</v>
      </c>
      <c r="GP80" s="563">
        <v>0</v>
      </c>
      <c r="GQ80" s="563">
        <v>0</v>
      </c>
      <c r="GR80" s="650">
        <v>4230.9046699075043</v>
      </c>
      <c r="GS80" s="563">
        <v>0</v>
      </c>
      <c r="GT80" s="563">
        <v>0</v>
      </c>
      <c r="GU80" s="563">
        <v>0</v>
      </c>
      <c r="GV80" s="650">
        <v>3866.8605701785896</v>
      </c>
      <c r="GW80" s="564">
        <v>3866.8605701785896</v>
      </c>
      <c r="GX80" s="565">
        <v>230.81391443485282</v>
      </c>
      <c r="GY80" s="649">
        <v>31.873654838354398</v>
      </c>
      <c r="GZ80" s="646">
        <v>167.40719410397645</v>
      </c>
      <c r="HA80" s="646">
        <v>0</v>
      </c>
      <c r="HB80" s="646">
        <v>0</v>
      </c>
      <c r="HC80" s="646">
        <v>54.806271479703426</v>
      </c>
      <c r="HD80" s="646">
        <v>23.884620258136479</v>
      </c>
      <c r="HE80" s="646">
        <v>3375</v>
      </c>
      <c r="HF80" s="563" t="s">
        <v>1587</v>
      </c>
      <c r="HG80" s="563">
        <v>4</v>
      </c>
      <c r="HH80" s="563">
        <v>0</v>
      </c>
      <c r="HI80" s="563">
        <v>0</v>
      </c>
      <c r="HJ80" s="563">
        <v>0</v>
      </c>
      <c r="HK80" s="650">
        <v>4230.9046699075043</v>
      </c>
      <c r="HL80" s="563">
        <v>0</v>
      </c>
      <c r="HM80" s="563">
        <v>0</v>
      </c>
      <c r="HN80" s="563">
        <v>0</v>
      </c>
      <c r="HO80" s="650">
        <v>3866.8605701785896</v>
      </c>
      <c r="HP80" s="564">
        <v>3866.8605701785896</v>
      </c>
      <c r="HQ80" s="565">
        <v>230.81391443485282</v>
      </c>
      <c r="HR80" s="649">
        <v>31.873654838354398</v>
      </c>
      <c r="HS80" s="646">
        <v>167.40719410397645</v>
      </c>
      <c r="HT80" s="646">
        <v>0</v>
      </c>
      <c r="HU80" s="646">
        <v>0</v>
      </c>
      <c r="HV80" s="646">
        <v>54.806271479703426</v>
      </c>
      <c r="HW80" s="646">
        <v>23.884620258136479</v>
      </c>
      <c r="HX80" s="646">
        <v>2700</v>
      </c>
      <c r="HY80" s="563" t="s">
        <v>68</v>
      </c>
      <c r="HZ80" s="563">
        <v>4</v>
      </c>
      <c r="IA80" s="563">
        <v>0</v>
      </c>
      <c r="IB80" s="563">
        <v>0</v>
      </c>
      <c r="IC80" s="563">
        <v>0</v>
      </c>
      <c r="ID80" s="650">
        <v>3731.3071924656924</v>
      </c>
      <c r="IE80" s="563">
        <v>0</v>
      </c>
      <c r="IF80" s="563">
        <v>0</v>
      </c>
      <c r="IG80" s="563">
        <v>0</v>
      </c>
      <c r="IH80" s="650">
        <v>3410.2504744179919</v>
      </c>
      <c r="II80" s="564">
        <v>3410.2504744179919</v>
      </c>
      <c r="IJ80" s="565">
        <v>203.55873890932074</v>
      </c>
      <c r="IK80" s="649">
        <v>39.842068547943001</v>
      </c>
      <c r="IL80" s="646">
        <v>175.37560781356507</v>
      </c>
      <c r="IM80" s="646">
        <v>0</v>
      </c>
      <c r="IN80" s="646">
        <v>0</v>
      </c>
      <c r="IO80" s="646">
        <v>55.515666320929427</v>
      </c>
      <c r="IP80" s="646">
        <v>25.315448544864484</v>
      </c>
      <c r="IQ80" s="646">
        <v>3375</v>
      </c>
      <c r="IR80" s="563" t="s">
        <v>68</v>
      </c>
      <c r="IS80" s="563">
        <v>5</v>
      </c>
      <c r="IT80" s="563">
        <v>0</v>
      </c>
      <c r="IU80" s="563">
        <v>0</v>
      </c>
      <c r="IV80" s="563">
        <v>0</v>
      </c>
      <c r="IW80" s="650">
        <v>4348.74261588645</v>
      </c>
      <c r="IX80" s="563">
        <v>0</v>
      </c>
      <c r="IY80" s="563">
        <v>0</v>
      </c>
      <c r="IZ80" s="563">
        <v>0</v>
      </c>
      <c r="JA80" s="650">
        <v>4066.919063991832</v>
      </c>
      <c r="JB80" s="564">
        <v>4000</v>
      </c>
      <c r="JC80" s="565">
        <v>238.76104167282429</v>
      </c>
      <c r="JD80" s="649">
        <v>31.873654838354398</v>
      </c>
      <c r="JE80" s="646">
        <v>167.40719410397645</v>
      </c>
      <c r="JF80" s="646">
        <v>0</v>
      </c>
      <c r="JG80" s="646">
        <v>0</v>
      </c>
      <c r="JH80" s="646">
        <v>54.806271479703426</v>
      </c>
      <c r="JI80" s="646">
        <v>23.884620258136479</v>
      </c>
      <c r="JJ80" s="646">
        <v>2700</v>
      </c>
      <c r="JK80" s="563" t="s">
        <v>67</v>
      </c>
      <c r="JL80" s="563">
        <v>4</v>
      </c>
      <c r="JM80" s="563">
        <v>0</v>
      </c>
      <c r="JN80" s="563">
        <v>0</v>
      </c>
      <c r="JO80" s="563">
        <v>0</v>
      </c>
      <c r="JP80" s="650">
        <v>5084.9145763171828</v>
      </c>
      <c r="JQ80" s="563">
        <v>0</v>
      </c>
      <c r="JR80" s="563">
        <v>0</v>
      </c>
      <c r="JS80" s="563">
        <v>0</v>
      </c>
      <c r="JT80" s="650">
        <v>4647.3880202829405</v>
      </c>
      <c r="JU80" s="564">
        <v>4000</v>
      </c>
      <c r="JV80" s="565">
        <v>238.76104167282429</v>
      </c>
      <c r="JW80" s="649">
        <v>31.873654838354398</v>
      </c>
      <c r="JX80" s="646">
        <v>167.40719410397645</v>
      </c>
      <c r="JY80" s="646">
        <v>0</v>
      </c>
      <c r="JZ80" s="646">
        <v>0</v>
      </c>
      <c r="KA80" s="646">
        <v>54.806271479703426</v>
      </c>
      <c r="KB80" s="646">
        <v>23.884620258136479</v>
      </c>
      <c r="KC80" s="646">
        <v>3375</v>
      </c>
      <c r="KD80" s="563" t="s">
        <v>67</v>
      </c>
      <c r="KE80" s="563">
        <v>4</v>
      </c>
      <c r="KF80" s="563">
        <v>0</v>
      </c>
      <c r="KG80" s="563">
        <v>0</v>
      </c>
      <c r="KH80" s="563">
        <v>0</v>
      </c>
      <c r="KI80" s="650">
        <v>5084.9145763171828</v>
      </c>
      <c r="KJ80" s="563">
        <v>0</v>
      </c>
      <c r="KK80" s="563">
        <v>0</v>
      </c>
      <c r="KL80" s="563">
        <v>0</v>
      </c>
      <c r="KM80" s="650">
        <v>4647.3880202829405</v>
      </c>
      <c r="KN80" s="564">
        <v>4000</v>
      </c>
      <c r="KO80" s="566">
        <v>238.76104167282429</v>
      </c>
    </row>
    <row r="81" spans="1:301" ht="15" customHeight="1">
      <c r="A81" s="802" t="s">
        <v>996</v>
      </c>
      <c r="B81" s="629" t="s">
        <v>382</v>
      </c>
      <c r="C81" s="629">
        <v>235.2964682384623</v>
      </c>
      <c r="D81" s="629">
        <v>1023.6641316086194</v>
      </c>
      <c r="E81" s="629">
        <v>225</v>
      </c>
      <c r="F81" s="629">
        <v>200.73670078679453</v>
      </c>
      <c r="G81" s="629">
        <v>95.384021676137166</v>
      </c>
      <c r="H81" s="629">
        <v>75.840906295711605</v>
      </c>
      <c r="I81" s="629">
        <v>35</v>
      </c>
      <c r="J81" s="629">
        <v>52.253350539518145</v>
      </c>
      <c r="K81" s="629">
        <v>81.236627485007375</v>
      </c>
      <c r="L81" s="629">
        <v>16</v>
      </c>
      <c r="M81" s="629">
        <v>432.38158056612093</v>
      </c>
      <c r="N81" s="629">
        <v>6</v>
      </c>
      <c r="O81" s="623">
        <v>36.891015106886016</v>
      </c>
      <c r="P81" s="629">
        <v>6</v>
      </c>
      <c r="Q81" s="623">
        <v>24.899445312382479</v>
      </c>
      <c r="R81" s="629">
        <v>18.000000000000004</v>
      </c>
      <c r="S81" s="629">
        <v>612.200416197707</v>
      </c>
      <c r="T81" s="645">
        <v>41.592907883218629</v>
      </c>
      <c r="U81" s="645">
        <v>91.830062429656053</v>
      </c>
      <c r="V81" s="645">
        <v>60</v>
      </c>
      <c r="W81" s="793">
        <v>2.3396010684310475</v>
      </c>
      <c r="X81" s="646">
        <v>0</v>
      </c>
      <c r="Y81" s="646">
        <v>0</v>
      </c>
      <c r="Z81" s="646">
        <v>0</v>
      </c>
      <c r="AA81" s="646">
        <v>0</v>
      </c>
      <c r="AB81" s="647">
        <v>13.95153982205108</v>
      </c>
      <c r="AC81" s="784">
        <v>4000</v>
      </c>
      <c r="AD81" s="631">
        <v>1.8485546565568431</v>
      </c>
      <c r="AE81" s="631">
        <v>1.2916739285793799</v>
      </c>
      <c r="AF81" s="631">
        <v>-0.12610007057200595</v>
      </c>
      <c r="AG81" s="631">
        <v>0.72774599822850849</v>
      </c>
      <c r="AH81" s="629"/>
      <c r="AI81" s="648">
        <v>3.97188086162899</v>
      </c>
      <c r="AJ81" s="649">
        <v>12.0389022433869</v>
      </c>
      <c r="AK81" s="646">
        <v>117.76187161430508</v>
      </c>
      <c r="AL81" s="646">
        <v>0</v>
      </c>
      <c r="AM81" s="646">
        <v>0</v>
      </c>
      <c r="AN81" s="646">
        <v>32.044252826121379</v>
      </c>
      <c r="AO81" s="646">
        <v>13.10246029283026</v>
      </c>
      <c r="AP81" s="801">
        <v>3600</v>
      </c>
      <c r="AQ81" s="563" t="s">
        <v>71</v>
      </c>
      <c r="AR81" s="563">
        <v>4</v>
      </c>
      <c r="AS81" s="563">
        <v>0</v>
      </c>
      <c r="AT81" s="563">
        <v>0</v>
      </c>
      <c r="AU81" s="563">
        <v>0</v>
      </c>
      <c r="AV81" s="650">
        <v>9165.0372424407815</v>
      </c>
      <c r="AW81" s="563">
        <v>0</v>
      </c>
      <c r="AX81" s="563">
        <v>0</v>
      </c>
      <c r="AY81" s="563">
        <v>0</v>
      </c>
      <c r="AZ81" s="650">
        <v>27478.50621584542</v>
      </c>
      <c r="BA81" s="564">
        <v>4000</v>
      </c>
      <c r="BB81" s="565">
        <v>214.39571437366757</v>
      </c>
      <c r="BC81" s="649">
        <v>12.0389022433869</v>
      </c>
      <c r="BD81" s="646">
        <v>117.76187161430508</v>
      </c>
      <c r="BE81" s="646">
        <v>0</v>
      </c>
      <c r="BF81" s="646">
        <v>0</v>
      </c>
      <c r="BG81" s="646">
        <v>32.044252826121379</v>
      </c>
      <c r="BH81" s="646">
        <v>13.10246029283026</v>
      </c>
      <c r="BI81" s="646">
        <v>3600</v>
      </c>
      <c r="BJ81" s="563" t="s">
        <v>71</v>
      </c>
      <c r="BK81" s="563">
        <v>4</v>
      </c>
      <c r="BL81" s="563">
        <v>0</v>
      </c>
      <c r="BM81" s="563">
        <v>0</v>
      </c>
      <c r="BN81" s="563">
        <v>0</v>
      </c>
      <c r="BO81" s="650">
        <v>9165.0372424407815</v>
      </c>
      <c r="BP81" s="563">
        <v>0</v>
      </c>
      <c r="BQ81" s="563">
        <v>0</v>
      </c>
      <c r="BR81" s="563">
        <v>0</v>
      </c>
      <c r="BS81" s="650">
        <v>27478.50621584542</v>
      </c>
      <c r="BT81" s="564">
        <v>4000</v>
      </c>
      <c r="BU81" s="565">
        <v>214.39571437366757</v>
      </c>
      <c r="BV81" s="649">
        <v>12.0389022433869</v>
      </c>
      <c r="BW81" s="646">
        <v>117.76187161430508</v>
      </c>
      <c r="BX81" s="646">
        <v>0</v>
      </c>
      <c r="BY81" s="646">
        <v>0</v>
      </c>
      <c r="BZ81" s="646">
        <v>32.044252826121379</v>
      </c>
      <c r="CA81" s="646">
        <v>13.10246029283026</v>
      </c>
      <c r="CB81" s="646">
        <v>3600</v>
      </c>
      <c r="CC81" s="563" t="s">
        <v>1584</v>
      </c>
      <c r="CD81" s="563">
        <v>4</v>
      </c>
      <c r="CE81" s="563">
        <v>0</v>
      </c>
      <c r="CF81" s="563">
        <v>0</v>
      </c>
      <c r="CG81" s="563">
        <v>0</v>
      </c>
      <c r="CH81" s="650">
        <v>8979.8658870338077</v>
      </c>
      <c r="CI81" s="563">
        <v>0</v>
      </c>
      <c r="CJ81" s="563">
        <v>0</v>
      </c>
      <c r="CK81" s="563">
        <v>0</v>
      </c>
      <c r="CL81" s="650">
        <v>26923.327649086852</v>
      </c>
      <c r="CM81" s="564">
        <v>4000</v>
      </c>
      <c r="CN81" s="565">
        <v>214.39571437366757</v>
      </c>
      <c r="CO81" s="649">
        <v>12.0389022433869</v>
      </c>
      <c r="CP81" s="646">
        <v>117.76187161430508</v>
      </c>
      <c r="CQ81" s="646">
        <v>0</v>
      </c>
      <c r="CR81" s="646">
        <v>0</v>
      </c>
      <c r="CS81" s="646">
        <v>32.044252826121379</v>
      </c>
      <c r="CT81" s="646">
        <v>13.10246029283026</v>
      </c>
      <c r="CU81" s="646">
        <v>3600</v>
      </c>
      <c r="CV81" s="563" t="s">
        <v>1584</v>
      </c>
      <c r="CW81" s="563">
        <v>4</v>
      </c>
      <c r="CX81" s="563">
        <v>0</v>
      </c>
      <c r="CY81" s="563">
        <v>0</v>
      </c>
      <c r="CZ81" s="563">
        <v>0</v>
      </c>
      <c r="DA81" s="650">
        <v>8979.8658870338077</v>
      </c>
      <c r="DB81" s="563">
        <v>0</v>
      </c>
      <c r="DC81" s="563">
        <v>0</v>
      </c>
      <c r="DD81" s="563">
        <v>0</v>
      </c>
      <c r="DE81" s="650">
        <v>26923.327649086852</v>
      </c>
      <c r="DF81" s="564">
        <v>4000</v>
      </c>
      <c r="DG81" s="565">
        <v>214.39571437366757</v>
      </c>
      <c r="DH81" s="649">
        <v>12.0389022433869</v>
      </c>
      <c r="DI81" s="646">
        <v>117.76187161430508</v>
      </c>
      <c r="DJ81" s="646">
        <v>0</v>
      </c>
      <c r="DK81" s="646">
        <v>0</v>
      </c>
      <c r="DL81" s="646">
        <v>32.044252826121379</v>
      </c>
      <c r="DM81" s="646">
        <v>13.10246029283026</v>
      </c>
      <c r="DN81" s="646">
        <v>3600</v>
      </c>
      <c r="DO81" s="563" t="s">
        <v>1588</v>
      </c>
      <c r="DP81" s="563">
        <v>4</v>
      </c>
      <c r="DQ81" s="563">
        <v>0</v>
      </c>
      <c r="DR81" s="563">
        <v>0</v>
      </c>
      <c r="DS81" s="563">
        <v>0</v>
      </c>
      <c r="DT81" s="650">
        <v>9346.5407484020325</v>
      </c>
      <c r="DU81" s="563">
        <v>0</v>
      </c>
      <c r="DV81" s="563">
        <v>0</v>
      </c>
      <c r="DW81" s="563">
        <v>0</v>
      </c>
      <c r="DX81" s="650">
        <v>28022.687879795267</v>
      </c>
      <c r="DY81" s="564">
        <v>4000</v>
      </c>
      <c r="DZ81" s="565">
        <v>214.39571437366757</v>
      </c>
      <c r="EA81" s="649">
        <v>12.0389022433869</v>
      </c>
      <c r="EB81" s="646">
        <v>117.76187161430508</v>
      </c>
      <c r="EC81" s="646">
        <v>0</v>
      </c>
      <c r="ED81" s="646">
        <v>0</v>
      </c>
      <c r="EE81" s="646">
        <v>32.044252826121379</v>
      </c>
      <c r="EF81" s="646">
        <v>13.10246029283026</v>
      </c>
      <c r="EG81" s="646">
        <v>3600</v>
      </c>
      <c r="EH81" s="563" t="s">
        <v>1588</v>
      </c>
      <c r="EI81" s="563">
        <v>4</v>
      </c>
      <c r="EJ81" s="563">
        <v>0</v>
      </c>
      <c r="EK81" s="563">
        <v>0</v>
      </c>
      <c r="EL81" s="563">
        <v>0</v>
      </c>
      <c r="EM81" s="650">
        <v>9346.5407484020325</v>
      </c>
      <c r="EN81" s="563">
        <v>0</v>
      </c>
      <c r="EO81" s="563">
        <v>0</v>
      </c>
      <c r="EP81" s="563">
        <v>0</v>
      </c>
      <c r="EQ81" s="650">
        <v>28022.687879795267</v>
      </c>
      <c r="ER81" s="564">
        <v>4000</v>
      </c>
      <c r="ES81" s="565">
        <v>214.39571437366757</v>
      </c>
      <c r="ET81" s="649">
        <v>12.0389022433869</v>
      </c>
      <c r="EU81" s="646">
        <v>117.76187161430508</v>
      </c>
      <c r="EV81" s="646">
        <v>0</v>
      </c>
      <c r="EW81" s="646">
        <v>0</v>
      </c>
      <c r="EX81" s="646">
        <v>32.044252826121379</v>
      </c>
      <c r="EY81" s="646">
        <v>13.10246029283026</v>
      </c>
      <c r="EZ81" s="646">
        <v>3600</v>
      </c>
      <c r="FA81" s="563" t="s">
        <v>1589</v>
      </c>
      <c r="FB81" s="563">
        <v>4</v>
      </c>
      <c r="FC81" s="563">
        <v>0</v>
      </c>
      <c r="FD81" s="563">
        <v>0</v>
      </c>
      <c r="FE81" s="563">
        <v>0</v>
      </c>
      <c r="FF81" s="650">
        <v>9955.778775830915</v>
      </c>
      <c r="FG81" s="563">
        <v>0</v>
      </c>
      <c r="FH81" s="563">
        <v>0</v>
      </c>
      <c r="FI81" s="563">
        <v>0</v>
      </c>
      <c r="FJ81" s="650">
        <v>29849.298124880945</v>
      </c>
      <c r="FK81" s="564">
        <v>4000</v>
      </c>
      <c r="FL81" s="565">
        <v>214.39571437366757</v>
      </c>
      <c r="FM81" s="649">
        <v>12.0389022433869</v>
      </c>
      <c r="FN81" s="646">
        <v>117.76187161430508</v>
      </c>
      <c r="FO81" s="646">
        <v>0</v>
      </c>
      <c r="FP81" s="646">
        <v>0</v>
      </c>
      <c r="FQ81" s="646">
        <v>32.044252826121379</v>
      </c>
      <c r="FR81" s="646">
        <v>13.10246029283026</v>
      </c>
      <c r="FS81" s="646">
        <v>3600</v>
      </c>
      <c r="FT81" s="563" t="s">
        <v>1589</v>
      </c>
      <c r="FU81" s="563">
        <v>4</v>
      </c>
      <c r="FV81" s="563">
        <v>0</v>
      </c>
      <c r="FW81" s="563">
        <v>0</v>
      </c>
      <c r="FX81" s="563">
        <v>0</v>
      </c>
      <c r="FY81" s="650">
        <v>9955.778775830915</v>
      </c>
      <c r="FZ81" s="563">
        <v>0</v>
      </c>
      <c r="GA81" s="563">
        <v>0</v>
      </c>
      <c r="GB81" s="563">
        <v>0</v>
      </c>
      <c r="GC81" s="650">
        <v>29849.298124880945</v>
      </c>
      <c r="GD81" s="564">
        <v>4000</v>
      </c>
      <c r="GE81" s="565">
        <v>214.39571437366757</v>
      </c>
      <c r="GF81" s="649">
        <v>12.0389022433869</v>
      </c>
      <c r="GG81" s="646">
        <v>117.76187161430508</v>
      </c>
      <c r="GH81" s="646">
        <v>0</v>
      </c>
      <c r="GI81" s="646">
        <v>0</v>
      </c>
      <c r="GJ81" s="646">
        <v>32.044252826121379</v>
      </c>
      <c r="GK81" s="646">
        <v>13.10246029283026</v>
      </c>
      <c r="GL81" s="646">
        <v>3600</v>
      </c>
      <c r="GM81" s="563" t="s">
        <v>1587</v>
      </c>
      <c r="GN81" s="563">
        <v>4</v>
      </c>
      <c r="GO81" s="563">
        <v>0</v>
      </c>
      <c r="GP81" s="563">
        <v>0</v>
      </c>
      <c r="GQ81" s="563">
        <v>0</v>
      </c>
      <c r="GR81" s="650">
        <v>12296.187774248885</v>
      </c>
      <c r="GS81" s="563">
        <v>0</v>
      </c>
      <c r="GT81" s="563">
        <v>0</v>
      </c>
      <c r="GU81" s="563">
        <v>0</v>
      </c>
      <c r="GV81" s="650">
        <v>36866.284691268505</v>
      </c>
      <c r="GW81" s="564">
        <v>4000</v>
      </c>
      <c r="GX81" s="565">
        <v>214.39571437366757</v>
      </c>
      <c r="GY81" s="649">
        <v>12.0389022433869</v>
      </c>
      <c r="GZ81" s="646">
        <v>117.76187161430508</v>
      </c>
      <c r="HA81" s="646">
        <v>0</v>
      </c>
      <c r="HB81" s="646">
        <v>0</v>
      </c>
      <c r="HC81" s="646">
        <v>32.044252826121379</v>
      </c>
      <c r="HD81" s="646">
        <v>13.10246029283026</v>
      </c>
      <c r="HE81" s="646">
        <v>3600</v>
      </c>
      <c r="HF81" s="563" t="s">
        <v>1587</v>
      </c>
      <c r="HG81" s="563">
        <v>4</v>
      </c>
      <c r="HH81" s="563">
        <v>0</v>
      </c>
      <c r="HI81" s="563">
        <v>0</v>
      </c>
      <c r="HJ81" s="563">
        <v>0</v>
      </c>
      <c r="HK81" s="650">
        <v>12296.187774248885</v>
      </c>
      <c r="HL81" s="563">
        <v>0</v>
      </c>
      <c r="HM81" s="563">
        <v>0</v>
      </c>
      <c r="HN81" s="563">
        <v>0</v>
      </c>
      <c r="HO81" s="650">
        <v>36866.284691268505</v>
      </c>
      <c r="HP81" s="564">
        <v>4000</v>
      </c>
      <c r="HQ81" s="565">
        <v>214.39571437366757</v>
      </c>
      <c r="HR81" s="649">
        <v>12.0389022433869</v>
      </c>
      <c r="HS81" s="646">
        <v>117.76187161430508</v>
      </c>
      <c r="HT81" s="646">
        <v>0</v>
      </c>
      <c r="HU81" s="646">
        <v>0</v>
      </c>
      <c r="HV81" s="646">
        <v>32.044252826121379</v>
      </c>
      <c r="HW81" s="646">
        <v>13.10246029283026</v>
      </c>
      <c r="HX81" s="646">
        <v>3600</v>
      </c>
      <c r="HY81" s="563" t="s">
        <v>68</v>
      </c>
      <c r="HZ81" s="563">
        <v>4</v>
      </c>
      <c r="IA81" s="563">
        <v>0</v>
      </c>
      <c r="IB81" s="563">
        <v>0</v>
      </c>
      <c r="IC81" s="563">
        <v>0</v>
      </c>
      <c r="ID81" s="650">
        <v>10844.218308271797</v>
      </c>
      <c r="IE81" s="563">
        <v>0</v>
      </c>
      <c r="IF81" s="563">
        <v>0</v>
      </c>
      <c r="IG81" s="563">
        <v>0</v>
      </c>
      <c r="IH81" s="650">
        <v>32513.007018668031</v>
      </c>
      <c r="II81" s="564">
        <v>4000</v>
      </c>
      <c r="IJ81" s="565">
        <v>214.39571437366757</v>
      </c>
      <c r="IK81" s="649">
        <v>12.0389022433869</v>
      </c>
      <c r="IL81" s="646">
        <v>117.76187161430508</v>
      </c>
      <c r="IM81" s="646">
        <v>0</v>
      </c>
      <c r="IN81" s="646">
        <v>0</v>
      </c>
      <c r="IO81" s="646">
        <v>32.044252826121379</v>
      </c>
      <c r="IP81" s="646">
        <v>13.10246029283026</v>
      </c>
      <c r="IQ81" s="646">
        <v>3600</v>
      </c>
      <c r="IR81" s="563" t="s">
        <v>68</v>
      </c>
      <c r="IS81" s="563">
        <v>4</v>
      </c>
      <c r="IT81" s="563">
        <v>0</v>
      </c>
      <c r="IU81" s="563">
        <v>0</v>
      </c>
      <c r="IV81" s="563">
        <v>0</v>
      </c>
      <c r="IW81" s="650">
        <v>10844.218308271797</v>
      </c>
      <c r="IX81" s="563">
        <v>0</v>
      </c>
      <c r="IY81" s="563">
        <v>0</v>
      </c>
      <c r="IZ81" s="563">
        <v>0</v>
      </c>
      <c r="JA81" s="650">
        <v>32513.007018668031</v>
      </c>
      <c r="JB81" s="564">
        <v>4000</v>
      </c>
      <c r="JC81" s="565">
        <v>214.39571437366757</v>
      </c>
      <c r="JD81" s="649">
        <v>12.0389022433869</v>
      </c>
      <c r="JE81" s="646">
        <v>117.76187161430508</v>
      </c>
      <c r="JF81" s="646">
        <v>0</v>
      </c>
      <c r="JG81" s="646">
        <v>0</v>
      </c>
      <c r="JH81" s="646">
        <v>32.044252826121379</v>
      </c>
      <c r="JI81" s="646">
        <v>13.10246029283026</v>
      </c>
      <c r="JJ81" s="646">
        <v>3600</v>
      </c>
      <c r="JK81" s="563" t="s">
        <v>67</v>
      </c>
      <c r="JL81" s="563">
        <v>4</v>
      </c>
      <c r="JM81" s="563">
        <v>0</v>
      </c>
      <c r="JN81" s="563">
        <v>0</v>
      </c>
      <c r="JO81" s="563">
        <v>0</v>
      </c>
      <c r="JP81" s="650">
        <v>14778.178504262591</v>
      </c>
      <c r="JQ81" s="563">
        <v>0</v>
      </c>
      <c r="JR81" s="563">
        <v>0</v>
      </c>
      <c r="JS81" s="563">
        <v>0</v>
      </c>
      <c r="JT81" s="650">
        <v>44307.759930073902</v>
      </c>
      <c r="JU81" s="564">
        <v>4000</v>
      </c>
      <c r="JV81" s="565">
        <v>214.39571437366757</v>
      </c>
      <c r="JW81" s="649">
        <v>12.0389022433869</v>
      </c>
      <c r="JX81" s="646">
        <v>117.76187161430508</v>
      </c>
      <c r="JY81" s="646">
        <v>0</v>
      </c>
      <c r="JZ81" s="646">
        <v>0</v>
      </c>
      <c r="KA81" s="646">
        <v>32.044252826121379</v>
      </c>
      <c r="KB81" s="646">
        <v>13.10246029283026</v>
      </c>
      <c r="KC81" s="646">
        <v>3600</v>
      </c>
      <c r="KD81" s="563" t="s">
        <v>67</v>
      </c>
      <c r="KE81" s="563">
        <v>4</v>
      </c>
      <c r="KF81" s="563">
        <v>0</v>
      </c>
      <c r="KG81" s="563">
        <v>0</v>
      </c>
      <c r="KH81" s="563">
        <v>0</v>
      </c>
      <c r="KI81" s="650">
        <v>14778.178504262591</v>
      </c>
      <c r="KJ81" s="563">
        <v>0</v>
      </c>
      <c r="KK81" s="563">
        <v>0</v>
      </c>
      <c r="KL81" s="563">
        <v>0</v>
      </c>
      <c r="KM81" s="650">
        <v>44307.759930073902</v>
      </c>
      <c r="KN81" s="564">
        <v>4000</v>
      </c>
      <c r="KO81" s="566">
        <v>214.39571437366757</v>
      </c>
    </row>
    <row r="82" spans="1:301" ht="15" customHeight="1">
      <c r="A82" s="802" t="s">
        <v>997</v>
      </c>
      <c r="B82" s="629" t="s">
        <v>382</v>
      </c>
      <c r="C82" s="629">
        <v>191</v>
      </c>
      <c r="D82" s="629">
        <v>1070</v>
      </c>
      <c r="E82" s="629">
        <v>190</v>
      </c>
      <c r="F82" s="629">
        <v>160.55790536280358</v>
      </c>
      <c r="G82" s="629">
        <v>74.401109333046989</v>
      </c>
      <c r="H82" s="629">
        <v>59.477790137365574</v>
      </c>
      <c r="I82" s="629">
        <v>31</v>
      </c>
      <c r="J82" s="629">
        <v>58.20982100753271</v>
      </c>
      <c r="K82" s="629">
        <v>85</v>
      </c>
      <c r="L82" s="629">
        <v>16</v>
      </c>
      <c r="M82" s="629">
        <v>465.21785954476854</v>
      </c>
      <c r="N82" s="629">
        <v>6</v>
      </c>
      <c r="O82" s="623">
        <v>41.017010676386768</v>
      </c>
      <c r="P82" s="629">
        <v>6</v>
      </c>
      <c r="Q82" s="623">
        <v>28.348340591909952</v>
      </c>
      <c r="R82" s="629">
        <v>18.000000000000004</v>
      </c>
      <c r="S82" s="629">
        <v>615.27895268140185</v>
      </c>
      <c r="T82" s="645">
        <v>42.01227130704941</v>
      </c>
      <c r="U82" s="645">
        <v>92.291842902210277</v>
      </c>
      <c r="V82" s="645">
        <v>47.5</v>
      </c>
      <c r="W82" s="793">
        <v>1.8708589566420439</v>
      </c>
      <c r="X82" s="646">
        <v>0</v>
      </c>
      <c r="Y82" s="646">
        <v>0</v>
      </c>
      <c r="Z82" s="646">
        <v>0</v>
      </c>
      <c r="AA82" s="646">
        <v>0</v>
      </c>
      <c r="AB82" s="647">
        <v>11.891270566003465</v>
      </c>
      <c r="AC82" s="784">
        <v>4000</v>
      </c>
      <c r="AD82" s="631">
        <v>2.1554414142563849</v>
      </c>
      <c r="AE82" s="631">
        <v>1.6134523457246996</v>
      </c>
      <c r="AF82" s="631">
        <v>-0.10984050792750309</v>
      </c>
      <c r="AG82" s="631">
        <v>0.67289966497078557</v>
      </c>
      <c r="AH82" s="629"/>
      <c r="AI82" s="648">
        <v>4.2129753501218854</v>
      </c>
      <c r="AJ82" s="649">
        <v>10.573481226648351</v>
      </c>
      <c r="AK82" s="646">
        <v>123.82196275863652</v>
      </c>
      <c r="AL82" s="646">
        <v>0</v>
      </c>
      <c r="AM82" s="646">
        <v>0</v>
      </c>
      <c r="AN82" s="646">
        <v>26.341313712652511</v>
      </c>
      <c r="AO82" s="646">
        <v>15.00308800551775</v>
      </c>
      <c r="AP82" s="801">
        <v>3550</v>
      </c>
      <c r="AQ82" s="563" t="s">
        <v>71</v>
      </c>
      <c r="AR82" s="563">
        <v>4</v>
      </c>
      <c r="AS82" s="563">
        <v>0</v>
      </c>
      <c r="AT82" s="563">
        <v>0</v>
      </c>
      <c r="AU82" s="563">
        <v>0</v>
      </c>
      <c r="AV82" s="650">
        <v>14974.934229283566</v>
      </c>
      <c r="AW82" s="563">
        <v>0</v>
      </c>
      <c r="AX82" s="563">
        <v>0</v>
      </c>
      <c r="AY82" s="563">
        <v>0</v>
      </c>
      <c r="AZ82" s="650">
        <v>45904.024364851888</v>
      </c>
      <c r="BA82" s="564">
        <v>4000</v>
      </c>
      <c r="BB82" s="565">
        <v>224.10027595607193</v>
      </c>
      <c r="BC82" s="649">
        <v>10.573481226648351</v>
      </c>
      <c r="BD82" s="646">
        <v>123.82196275863652</v>
      </c>
      <c r="BE82" s="646">
        <v>0</v>
      </c>
      <c r="BF82" s="646">
        <v>0</v>
      </c>
      <c r="BG82" s="646">
        <v>26.341313712652511</v>
      </c>
      <c r="BH82" s="646">
        <v>15.00308800551775</v>
      </c>
      <c r="BI82" s="646">
        <v>3600</v>
      </c>
      <c r="BJ82" s="563" t="s">
        <v>71</v>
      </c>
      <c r="BK82" s="563">
        <v>4</v>
      </c>
      <c r="BL82" s="563">
        <v>0</v>
      </c>
      <c r="BM82" s="563">
        <v>0</v>
      </c>
      <c r="BN82" s="563">
        <v>0</v>
      </c>
      <c r="BO82" s="650">
        <v>14974.934229283566</v>
      </c>
      <c r="BP82" s="563">
        <v>0</v>
      </c>
      <c r="BQ82" s="563">
        <v>0</v>
      </c>
      <c r="BR82" s="563">
        <v>0</v>
      </c>
      <c r="BS82" s="650">
        <v>45904.024364851888</v>
      </c>
      <c r="BT82" s="564">
        <v>4000</v>
      </c>
      <c r="BU82" s="565">
        <v>224.10027595607193</v>
      </c>
      <c r="BV82" s="649">
        <v>10.573481226648351</v>
      </c>
      <c r="BW82" s="646">
        <v>123.82196275863652</v>
      </c>
      <c r="BX82" s="646">
        <v>0</v>
      </c>
      <c r="BY82" s="646">
        <v>0</v>
      </c>
      <c r="BZ82" s="646">
        <v>26.341313712652511</v>
      </c>
      <c r="CA82" s="646">
        <v>15.00308800551775</v>
      </c>
      <c r="CB82" s="646">
        <v>3550</v>
      </c>
      <c r="CC82" s="563" t="s">
        <v>1584</v>
      </c>
      <c r="CD82" s="563">
        <v>4</v>
      </c>
      <c r="CE82" s="563">
        <v>0</v>
      </c>
      <c r="CF82" s="563">
        <v>0</v>
      </c>
      <c r="CG82" s="563">
        <v>0</v>
      </c>
      <c r="CH82" s="650">
        <v>14672.379117393126</v>
      </c>
      <c r="CI82" s="563">
        <v>0</v>
      </c>
      <c r="CJ82" s="563">
        <v>0</v>
      </c>
      <c r="CK82" s="563">
        <v>0</v>
      </c>
      <c r="CL82" s="650">
        <v>44976.57473366952</v>
      </c>
      <c r="CM82" s="564">
        <v>4000</v>
      </c>
      <c r="CN82" s="565">
        <v>224.10027595607193</v>
      </c>
      <c r="CO82" s="649">
        <v>10.573481226648351</v>
      </c>
      <c r="CP82" s="646">
        <v>123.82196275863652</v>
      </c>
      <c r="CQ82" s="646">
        <v>0</v>
      </c>
      <c r="CR82" s="646">
        <v>0</v>
      </c>
      <c r="CS82" s="646">
        <v>26.341313712652511</v>
      </c>
      <c r="CT82" s="646">
        <v>15.00308800551775</v>
      </c>
      <c r="CU82" s="646">
        <v>3600</v>
      </c>
      <c r="CV82" s="563" t="s">
        <v>1584</v>
      </c>
      <c r="CW82" s="563">
        <v>4</v>
      </c>
      <c r="CX82" s="563">
        <v>0</v>
      </c>
      <c r="CY82" s="563">
        <v>0</v>
      </c>
      <c r="CZ82" s="563">
        <v>0</v>
      </c>
      <c r="DA82" s="650">
        <v>14672.379117393126</v>
      </c>
      <c r="DB82" s="563">
        <v>0</v>
      </c>
      <c r="DC82" s="563">
        <v>0</v>
      </c>
      <c r="DD82" s="563">
        <v>0</v>
      </c>
      <c r="DE82" s="650">
        <v>44976.57473366952</v>
      </c>
      <c r="DF82" s="564">
        <v>4000</v>
      </c>
      <c r="DG82" s="565">
        <v>224.10027595607193</v>
      </c>
      <c r="DH82" s="649">
        <v>10.573481226648351</v>
      </c>
      <c r="DI82" s="646">
        <v>123.82196275863652</v>
      </c>
      <c r="DJ82" s="646">
        <v>0</v>
      </c>
      <c r="DK82" s="646">
        <v>0</v>
      </c>
      <c r="DL82" s="646">
        <v>26.341313712652511</v>
      </c>
      <c r="DM82" s="646">
        <v>15.00308800551775</v>
      </c>
      <c r="DN82" s="646">
        <v>3550</v>
      </c>
      <c r="DO82" s="563" t="s">
        <v>1588</v>
      </c>
      <c r="DP82" s="563">
        <v>4</v>
      </c>
      <c r="DQ82" s="563">
        <v>0</v>
      </c>
      <c r="DR82" s="563">
        <v>0</v>
      </c>
      <c r="DS82" s="563">
        <v>0</v>
      </c>
      <c r="DT82" s="650">
        <v>15271.496369977087</v>
      </c>
      <c r="DU82" s="563">
        <v>0</v>
      </c>
      <c r="DV82" s="563">
        <v>0</v>
      </c>
      <c r="DW82" s="563">
        <v>0</v>
      </c>
      <c r="DX82" s="650">
        <v>46813.103197763674</v>
      </c>
      <c r="DY82" s="564">
        <v>4000</v>
      </c>
      <c r="DZ82" s="565">
        <v>224.10027595607193</v>
      </c>
      <c r="EA82" s="649">
        <v>10.573481226648351</v>
      </c>
      <c r="EB82" s="646">
        <v>123.82196275863652</v>
      </c>
      <c r="EC82" s="646">
        <v>0</v>
      </c>
      <c r="ED82" s="646">
        <v>0</v>
      </c>
      <c r="EE82" s="646">
        <v>26.341313712652511</v>
      </c>
      <c r="EF82" s="646">
        <v>15.00308800551775</v>
      </c>
      <c r="EG82" s="646">
        <v>3600</v>
      </c>
      <c r="EH82" s="563" t="s">
        <v>1588</v>
      </c>
      <c r="EI82" s="563">
        <v>4</v>
      </c>
      <c r="EJ82" s="563">
        <v>0</v>
      </c>
      <c r="EK82" s="563">
        <v>0</v>
      </c>
      <c r="EL82" s="563">
        <v>0</v>
      </c>
      <c r="EM82" s="650">
        <v>15271.496369977087</v>
      </c>
      <c r="EN82" s="563">
        <v>0</v>
      </c>
      <c r="EO82" s="563">
        <v>0</v>
      </c>
      <c r="EP82" s="563">
        <v>0</v>
      </c>
      <c r="EQ82" s="650">
        <v>46813.103197763674</v>
      </c>
      <c r="ER82" s="564">
        <v>4000</v>
      </c>
      <c r="ES82" s="565">
        <v>224.10027595607193</v>
      </c>
      <c r="ET82" s="649">
        <v>10.573481226648351</v>
      </c>
      <c r="EU82" s="646">
        <v>123.82196275863652</v>
      </c>
      <c r="EV82" s="646">
        <v>0</v>
      </c>
      <c r="EW82" s="646">
        <v>0</v>
      </c>
      <c r="EX82" s="646">
        <v>26.341313712652511</v>
      </c>
      <c r="EY82" s="646">
        <v>15.00308800551775</v>
      </c>
      <c r="EZ82" s="646">
        <v>3550</v>
      </c>
      <c r="FA82" s="563" t="s">
        <v>1589</v>
      </c>
      <c r="FB82" s="563">
        <v>4</v>
      </c>
      <c r="FC82" s="563">
        <v>0</v>
      </c>
      <c r="FD82" s="563">
        <v>0</v>
      </c>
      <c r="FE82" s="563">
        <v>0</v>
      </c>
      <c r="FF82" s="650">
        <v>16266.942340286785</v>
      </c>
      <c r="FG82" s="563">
        <v>0</v>
      </c>
      <c r="FH82" s="563">
        <v>0</v>
      </c>
      <c r="FI82" s="563">
        <v>0</v>
      </c>
      <c r="FJ82" s="650">
        <v>49864.53403380925</v>
      </c>
      <c r="FK82" s="564">
        <v>4000</v>
      </c>
      <c r="FL82" s="565">
        <v>224.10027595607193</v>
      </c>
      <c r="FM82" s="649">
        <v>10.573481226648351</v>
      </c>
      <c r="FN82" s="646">
        <v>123.82196275863652</v>
      </c>
      <c r="FO82" s="646">
        <v>0</v>
      </c>
      <c r="FP82" s="646">
        <v>0</v>
      </c>
      <c r="FQ82" s="646">
        <v>26.341313712652511</v>
      </c>
      <c r="FR82" s="646">
        <v>15.00308800551775</v>
      </c>
      <c r="FS82" s="646">
        <v>3600</v>
      </c>
      <c r="FT82" s="563" t="s">
        <v>1589</v>
      </c>
      <c r="FU82" s="563">
        <v>4</v>
      </c>
      <c r="FV82" s="563">
        <v>0</v>
      </c>
      <c r="FW82" s="563">
        <v>0</v>
      </c>
      <c r="FX82" s="563">
        <v>0</v>
      </c>
      <c r="FY82" s="650">
        <v>16266.942340286785</v>
      </c>
      <c r="FZ82" s="563">
        <v>0</v>
      </c>
      <c r="GA82" s="563">
        <v>0</v>
      </c>
      <c r="GB82" s="563">
        <v>0</v>
      </c>
      <c r="GC82" s="650">
        <v>49864.53403380925</v>
      </c>
      <c r="GD82" s="564">
        <v>4000</v>
      </c>
      <c r="GE82" s="565">
        <v>224.10027595607193</v>
      </c>
      <c r="GF82" s="649">
        <v>10.573481226648351</v>
      </c>
      <c r="GG82" s="646">
        <v>123.82196275863652</v>
      </c>
      <c r="GH82" s="646">
        <v>0</v>
      </c>
      <c r="GI82" s="646">
        <v>0</v>
      </c>
      <c r="GJ82" s="646">
        <v>26.341313712652511</v>
      </c>
      <c r="GK82" s="646">
        <v>15.00308800551775</v>
      </c>
      <c r="GL82" s="646">
        <v>3550</v>
      </c>
      <c r="GM82" s="563" t="s">
        <v>1587</v>
      </c>
      <c r="GN82" s="563">
        <v>4</v>
      </c>
      <c r="GO82" s="563">
        <v>0</v>
      </c>
      <c r="GP82" s="563">
        <v>0</v>
      </c>
      <c r="GQ82" s="563">
        <v>0</v>
      </c>
      <c r="GR82" s="650">
        <v>20090.982537159889</v>
      </c>
      <c r="GS82" s="563">
        <v>0</v>
      </c>
      <c r="GT82" s="563">
        <v>0</v>
      </c>
      <c r="GU82" s="563">
        <v>0</v>
      </c>
      <c r="GV82" s="650">
        <v>61586.711352369275</v>
      </c>
      <c r="GW82" s="564">
        <v>4000</v>
      </c>
      <c r="GX82" s="565">
        <v>224.10027595607193</v>
      </c>
      <c r="GY82" s="649">
        <v>10.573481226648351</v>
      </c>
      <c r="GZ82" s="646">
        <v>123.82196275863652</v>
      </c>
      <c r="HA82" s="646">
        <v>0</v>
      </c>
      <c r="HB82" s="646">
        <v>0</v>
      </c>
      <c r="HC82" s="646">
        <v>26.341313712652511</v>
      </c>
      <c r="HD82" s="646">
        <v>15.00308800551775</v>
      </c>
      <c r="HE82" s="646">
        <v>3600</v>
      </c>
      <c r="HF82" s="563" t="s">
        <v>1587</v>
      </c>
      <c r="HG82" s="563">
        <v>4</v>
      </c>
      <c r="HH82" s="563">
        <v>0</v>
      </c>
      <c r="HI82" s="563">
        <v>0</v>
      </c>
      <c r="HJ82" s="563">
        <v>0</v>
      </c>
      <c r="HK82" s="650">
        <v>20090.982537159889</v>
      </c>
      <c r="HL82" s="563">
        <v>0</v>
      </c>
      <c r="HM82" s="563">
        <v>0</v>
      </c>
      <c r="HN82" s="563">
        <v>0</v>
      </c>
      <c r="HO82" s="650">
        <v>61586.711352369275</v>
      </c>
      <c r="HP82" s="564">
        <v>4000</v>
      </c>
      <c r="HQ82" s="565">
        <v>224.10027595607193</v>
      </c>
      <c r="HR82" s="649">
        <v>10.573481226648351</v>
      </c>
      <c r="HS82" s="646">
        <v>123.82196275863652</v>
      </c>
      <c r="HT82" s="646">
        <v>0</v>
      </c>
      <c r="HU82" s="646">
        <v>0</v>
      </c>
      <c r="HV82" s="646">
        <v>26.341313712652511</v>
      </c>
      <c r="HW82" s="646">
        <v>15.00308800551775</v>
      </c>
      <c r="HX82" s="646">
        <v>3550</v>
      </c>
      <c r="HY82" s="563" t="s">
        <v>68</v>
      </c>
      <c r="HZ82" s="563">
        <v>4</v>
      </c>
      <c r="IA82" s="563">
        <v>0</v>
      </c>
      <c r="IB82" s="563">
        <v>0</v>
      </c>
      <c r="IC82" s="563">
        <v>0</v>
      </c>
      <c r="ID82" s="650">
        <v>17718.581129422193</v>
      </c>
      <c r="IE82" s="563">
        <v>0</v>
      </c>
      <c r="IF82" s="563">
        <v>0</v>
      </c>
      <c r="IG82" s="563">
        <v>0</v>
      </c>
      <c r="IH82" s="650">
        <v>54314.374101562484</v>
      </c>
      <c r="II82" s="564">
        <v>4000</v>
      </c>
      <c r="IJ82" s="565">
        <v>224.10027595607193</v>
      </c>
      <c r="IK82" s="649">
        <v>10.573481226648351</v>
      </c>
      <c r="IL82" s="646">
        <v>123.82196275863652</v>
      </c>
      <c r="IM82" s="646">
        <v>0</v>
      </c>
      <c r="IN82" s="646">
        <v>0</v>
      </c>
      <c r="IO82" s="646">
        <v>26.341313712652511</v>
      </c>
      <c r="IP82" s="646">
        <v>15.00308800551775</v>
      </c>
      <c r="IQ82" s="646">
        <v>3600</v>
      </c>
      <c r="IR82" s="563" t="s">
        <v>68</v>
      </c>
      <c r="IS82" s="563">
        <v>4</v>
      </c>
      <c r="IT82" s="563">
        <v>0</v>
      </c>
      <c r="IU82" s="563">
        <v>0</v>
      </c>
      <c r="IV82" s="563">
        <v>0</v>
      </c>
      <c r="IW82" s="650">
        <v>17718.581129422193</v>
      </c>
      <c r="IX82" s="563">
        <v>0</v>
      </c>
      <c r="IY82" s="563">
        <v>0</v>
      </c>
      <c r="IZ82" s="563">
        <v>0</v>
      </c>
      <c r="JA82" s="650">
        <v>54314.374101562484</v>
      </c>
      <c r="JB82" s="564">
        <v>4000</v>
      </c>
      <c r="JC82" s="565">
        <v>224.10027595607193</v>
      </c>
      <c r="JD82" s="649">
        <v>10.573481226648351</v>
      </c>
      <c r="JE82" s="646">
        <v>123.82196275863652</v>
      </c>
      <c r="JF82" s="646">
        <v>0</v>
      </c>
      <c r="JG82" s="646">
        <v>0</v>
      </c>
      <c r="JH82" s="646">
        <v>26.341313712652511</v>
      </c>
      <c r="JI82" s="646">
        <v>15.00308800551775</v>
      </c>
      <c r="JJ82" s="646">
        <v>3550</v>
      </c>
      <c r="JK82" s="563" t="s">
        <v>67</v>
      </c>
      <c r="JL82" s="563">
        <v>4</v>
      </c>
      <c r="JM82" s="563">
        <v>0</v>
      </c>
      <c r="JN82" s="563">
        <v>0</v>
      </c>
      <c r="JO82" s="563">
        <v>0</v>
      </c>
      <c r="JP82" s="650">
        <v>24146.355904060518</v>
      </c>
      <c r="JQ82" s="563">
        <v>0</v>
      </c>
      <c r="JR82" s="563">
        <v>0</v>
      </c>
      <c r="JS82" s="563">
        <v>0</v>
      </c>
      <c r="JT82" s="650">
        <v>74018.015222722519</v>
      </c>
      <c r="JU82" s="564">
        <v>4000</v>
      </c>
      <c r="JV82" s="565">
        <v>224.10027595607193</v>
      </c>
      <c r="JW82" s="649">
        <v>10.573481226648351</v>
      </c>
      <c r="JX82" s="646">
        <v>123.82196275863652</v>
      </c>
      <c r="JY82" s="646">
        <v>0</v>
      </c>
      <c r="JZ82" s="646">
        <v>0</v>
      </c>
      <c r="KA82" s="646">
        <v>26.341313712652511</v>
      </c>
      <c r="KB82" s="646">
        <v>15.00308800551775</v>
      </c>
      <c r="KC82" s="646">
        <v>3600</v>
      </c>
      <c r="KD82" s="563" t="s">
        <v>67</v>
      </c>
      <c r="KE82" s="563">
        <v>4</v>
      </c>
      <c r="KF82" s="563">
        <v>0</v>
      </c>
      <c r="KG82" s="563">
        <v>0</v>
      </c>
      <c r="KH82" s="563">
        <v>0</v>
      </c>
      <c r="KI82" s="650">
        <v>24146.355904060518</v>
      </c>
      <c r="KJ82" s="563">
        <v>0</v>
      </c>
      <c r="KK82" s="563">
        <v>0</v>
      </c>
      <c r="KL82" s="563">
        <v>0</v>
      </c>
      <c r="KM82" s="650">
        <v>74018.015222722519</v>
      </c>
      <c r="KN82" s="564">
        <v>4000</v>
      </c>
      <c r="KO82" s="566">
        <v>224.10027595607193</v>
      </c>
    </row>
    <row r="83" spans="1:301" ht="15" customHeight="1">
      <c r="A83" s="802" t="s">
        <v>856</v>
      </c>
      <c r="B83" s="629" t="s">
        <v>383</v>
      </c>
      <c r="C83" s="629">
        <v>335</v>
      </c>
      <c r="D83" s="629">
        <v>1020.9999999999999</v>
      </c>
      <c r="E83" s="629">
        <v>315</v>
      </c>
      <c r="F83" s="629">
        <v>293.79601868231651</v>
      </c>
      <c r="G83" s="629">
        <v>147.4875486692109</v>
      </c>
      <c r="H83" s="629">
        <v>120.3678201961102</v>
      </c>
      <c r="I83" s="629">
        <v>82</v>
      </c>
      <c r="J83" s="629">
        <v>39.99</v>
      </c>
      <c r="K83" s="629">
        <v>50</v>
      </c>
      <c r="L83" s="629">
        <v>16</v>
      </c>
      <c r="M83" s="629">
        <v>489.73709098494322</v>
      </c>
      <c r="N83" s="629">
        <v>6</v>
      </c>
      <c r="O83" s="623">
        <v>34.891685373501815</v>
      </c>
      <c r="P83" s="629">
        <v>6</v>
      </c>
      <c r="Q83" s="623">
        <v>22.575220270496278</v>
      </c>
      <c r="R83" s="629">
        <v>18.000000000000004</v>
      </c>
      <c r="S83" s="629">
        <v>657.39800934115817</v>
      </c>
      <c r="T83" s="645">
        <v>47.961064368444333</v>
      </c>
      <c r="U83" s="645">
        <v>98.609701401173723</v>
      </c>
      <c r="V83" s="645">
        <v>72.5</v>
      </c>
      <c r="W83" s="793">
        <v>3.2598535937926996</v>
      </c>
      <c r="X83" s="646">
        <v>0</v>
      </c>
      <c r="Y83" s="646">
        <v>0</v>
      </c>
      <c r="Z83" s="646">
        <v>0</v>
      </c>
      <c r="AA83" s="646">
        <v>0</v>
      </c>
      <c r="AB83" s="647">
        <v>24.391442377846044</v>
      </c>
      <c r="AC83" s="784">
        <v>4000</v>
      </c>
      <c r="AD83" s="631">
        <v>0.33488994309993636</v>
      </c>
      <c r="AE83" s="631">
        <v>0.83880225522834062</v>
      </c>
      <c r="AF83" s="631">
        <v>-0.15776459761553796</v>
      </c>
      <c r="AG83" s="631">
        <v>1.168546629272831</v>
      </c>
      <c r="AH83" s="629"/>
      <c r="AI83" s="648">
        <v>4.6843548107751518</v>
      </c>
      <c r="AJ83" s="649">
        <v>31.119606657547418</v>
      </c>
      <c r="AK83" s="646">
        <v>139.80743026378252</v>
      </c>
      <c r="AL83" s="646">
        <v>0</v>
      </c>
      <c r="AM83" s="646">
        <v>0</v>
      </c>
      <c r="AN83" s="646">
        <v>47.853541410646997</v>
      </c>
      <c r="AO83" s="646">
        <v>16.223069384745624</v>
      </c>
      <c r="AP83" s="801">
        <v>3550</v>
      </c>
      <c r="AQ83" s="563" t="s">
        <v>71</v>
      </c>
      <c r="AR83" s="563">
        <v>5</v>
      </c>
      <c r="AS83" s="563">
        <v>0</v>
      </c>
      <c r="AT83" s="563">
        <v>0</v>
      </c>
      <c r="AU83" s="563">
        <v>0</v>
      </c>
      <c r="AV83" s="650">
        <v>4686.8842134529341</v>
      </c>
      <c r="AW83" s="563">
        <v>0</v>
      </c>
      <c r="AX83" s="563">
        <v>0</v>
      </c>
      <c r="AY83" s="563">
        <v>0</v>
      </c>
      <c r="AZ83" s="650">
        <v>4751.7003273010232</v>
      </c>
      <c r="BA83" s="564">
        <v>4000</v>
      </c>
      <c r="BB83" s="565">
        <v>213.83773995434521</v>
      </c>
      <c r="BC83" s="649">
        <v>31.119606657547418</v>
      </c>
      <c r="BD83" s="646">
        <v>139.80743026378252</v>
      </c>
      <c r="BE83" s="646">
        <v>0</v>
      </c>
      <c r="BF83" s="646">
        <v>0</v>
      </c>
      <c r="BG83" s="646">
        <v>47.853541410646997</v>
      </c>
      <c r="BH83" s="646">
        <v>16.223069384745624</v>
      </c>
      <c r="BI83" s="646">
        <v>3600</v>
      </c>
      <c r="BJ83" s="563" t="s">
        <v>71</v>
      </c>
      <c r="BK83" s="563">
        <v>5</v>
      </c>
      <c r="BL83" s="563">
        <v>0</v>
      </c>
      <c r="BM83" s="563">
        <v>0</v>
      </c>
      <c r="BN83" s="563">
        <v>0</v>
      </c>
      <c r="BO83" s="650">
        <v>4686.8842134529341</v>
      </c>
      <c r="BP83" s="563">
        <v>0</v>
      </c>
      <c r="BQ83" s="563">
        <v>0</v>
      </c>
      <c r="BR83" s="563">
        <v>0</v>
      </c>
      <c r="BS83" s="650">
        <v>4751.7003273010232</v>
      </c>
      <c r="BT83" s="564">
        <v>4000</v>
      </c>
      <c r="BU83" s="565">
        <v>213.83773995434521</v>
      </c>
      <c r="BV83" s="649">
        <v>31.119606657547418</v>
      </c>
      <c r="BW83" s="646">
        <v>139.80743026378252</v>
      </c>
      <c r="BX83" s="646">
        <v>0</v>
      </c>
      <c r="BY83" s="646">
        <v>0</v>
      </c>
      <c r="BZ83" s="646">
        <v>47.853541410646997</v>
      </c>
      <c r="CA83" s="646">
        <v>16.223069384745624</v>
      </c>
      <c r="CB83" s="646">
        <v>3550</v>
      </c>
      <c r="CC83" s="563" t="s">
        <v>1584</v>
      </c>
      <c r="CD83" s="563">
        <v>5</v>
      </c>
      <c r="CE83" s="563">
        <v>0</v>
      </c>
      <c r="CF83" s="563">
        <v>0</v>
      </c>
      <c r="CG83" s="563">
        <v>0</v>
      </c>
      <c r="CH83" s="650">
        <v>4592.1899225861462</v>
      </c>
      <c r="CI83" s="563">
        <v>0</v>
      </c>
      <c r="CJ83" s="563">
        <v>0</v>
      </c>
      <c r="CK83" s="563">
        <v>0</v>
      </c>
      <c r="CL83" s="650">
        <v>4655.696485001331</v>
      </c>
      <c r="CM83" s="564">
        <v>4000</v>
      </c>
      <c r="CN83" s="565">
        <v>213.83773995434521</v>
      </c>
      <c r="CO83" s="649">
        <v>31.119606657547418</v>
      </c>
      <c r="CP83" s="646">
        <v>139.80743026378252</v>
      </c>
      <c r="CQ83" s="646">
        <v>0</v>
      </c>
      <c r="CR83" s="646">
        <v>0</v>
      </c>
      <c r="CS83" s="646">
        <v>47.853541410646997</v>
      </c>
      <c r="CT83" s="646">
        <v>16.223069384745624</v>
      </c>
      <c r="CU83" s="646">
        <v>3600</v>
      </c>
      <c r="CV83" s="563" t="s">
        <v>1584</v>
      </c>
      <c r="CW83" s="563">
        <v>5</v>
      </c>
      <c r="CX83" s="563">
        <v>0</v>
      </c>
      <c r="CY83" s="563">
        <v>0</v>
      </c>
      <c r="CZ83" s="563">
        <v>0</v>
      </c>
      <c r="DA83" s="650">
        <v>4592.1899225861462</v>
      </c>
      <c r="DB83" s="563">
        <v>0</v>
      </c>
      <c r="DC83" s="563">
        <v>0</v>
      </c>
      <c r="DD83" s="563">
        <v>0</v>
      </c>
      <c r="DE83" s="650">
        <v>4655.696485001331</v>
      </c>
      <c r="DF83" s="564">
        <v>4000</v>
      </c>
      <c r="DG83" s="565">
        <v>213.83773995434521</v>
      </c>
      <c r="DH83" s="649">
        <v>24.895685326037935</v>
      </c>
      <c r="DI83" s="646">
        <v>133.58350893227305</v>
      </c>
      <c r="DJ83" s="646">
        <v>0</v>
      </c>
      <c r="DK83" s="646">
        <v>0</v>
      </c>
      <c r="DL83" s="646">
        <v>47.279045012758203</v>
      </c>
      <c r="DM83" s="646">
        <v>15.324750591224532</v>
      </c>
      <c r="DN83" s="646">
        <v>3550</v>
      </c>
      <c r="DO83" s="563" t="s">
        <v>1588</v>
      </c>
      <c r="DP83" s="563">
        <v>4</v>
      </c>
      <c r="DQ83" s="563">
        <v>0</v>
      </c>
      <c r="DR83" s="563">
        <v>0</v>
      </c>
      <c r="DS83" s="563">
        <v>0</v>
      </c>
      <c r="DT83" s="650">
        <v>4064.2505346834232</v>
      </c>
      <c r="DU83" s="563">
        <v>0</v>
      </c>
      <c r="DV83" s="563">
        <v>0</v>
      </c>
      <c r="DW83" s="563">
        <v>0</v>
      </c>
      <c r="DX83" s="650">
        <v>3979.5322821204231</v>
      </c>
      <c r="DY83" s="564">
        <v>3979.5322821204231</v>
      </c>
      <c r="DZ83" s="565">
        <v>212.74354732099724</v>
      </c>
      <c r="EA83" s="649">
        <v>24.895685326037935</v>
      </c>
      <c r="EB83" s="646">
        <v>133.58350893227305</v>
      </c>
      <c r="EC83" s="646">
        <v>0</v>
      </c>
      <c r="ED83" s="646">
        <v>0</v>
      </c>
      <c r="EE83" s="646">
        <v>47.279045012758203</v>
      </c>
      <c r="EF83" s="646">
        <v>15.324750591224532</v>
      </c>
      <c r="EG83" s="646">
        <v>3600</v>
      </c>
      <c r="EH83" s="563" t="s">
        <v>1588</v>
      </c>
      <c r="EI83" s="563">
        <v>4</v>
      </c>
      <c r="EJ83" s="563">
        <v>0</v>
      </c>
      <c r="EK83" s="563">
        <v>0</v>
      </c>
      <c r="EL83" s="563">
        <v>0</v>
      </c>
      <c r="EM83" s="650">
        <v>4064.2505346834232</v>
      </c>
      <c r="EN83" s="563">
        <v>0</v>
      </c>
      <c r="EO83" s="563">
        <v>0</v>
      </c>
      <c r="EP83" s="563">
        <v>0</v>
      </c>
      <c r="EQ83" s="650">
        <v>3979.5322821204231</v>
      </c>
      <c r="ER83" s="564">
        <v>3979.5322821204231</v>
      </c>
      <c r="ES83" s="565">
        <v>212.74354732099724</v>
      </c>
      <c r="ET83" s="649">
        <v>24.895685326037935</v>
      </c>
      <c r="EU83" s="646">
        <v>133.58350893227305</v>
      </c>
      <c r="EV83" s="646">
        <v>0</v>
      </c>
      <c r="EW83" s="646">
        <v>0</v>
      </c>
      <c r="EX83" s="646">
        <v>47.279045012758203</v>
      </c>
      <c r="EY83" s="646">
        <v>15.324750591224532</v>
      </c>
      <c r="EZ83" s="646">
        <v>3550</v>
      </c>
      <c r="FA83" s="563" t="s">
        <v>1589</v>
      </c>
      <c r="FB83" s="563">
        <v>4</v>
      </c>
      <c r="FC83" s="563">
        <v>0</v>
      </c>
      <c r="FD83" s="563">
        <v>0</v>
      </c>
      <c r="FE83" s="563">
        <v>0</v>
      </c>
      <c r="FF83" s="650">
        <v>4329.1716477862201</v>
      </c>
      <c r="FG83" s="563">
        <v>0</v>
      </c>
      <c r="FH83" s="563">
        <v>0</v>
      </c>
      <c r="FI83" s="563">
        <v>0</v>
      </c>
      <c r="FJ83" s="650">
        <v>4238.9311830520992</v>
      </c>
      <c r="FK83" s="564">
        <v>4000</v>
      </c>
      <c r="FL83" s="565">
        <v>213.83773995434521</v>
      </c>
      <c r="FM83" s="649">
        <v>24.895685326037935</v>
      </c>
      <c r="FN83" s="646">
        <v>133.58350893227305</v>
      </c>
      <c r="FO83" s="646">
        <v>0</v>
      </c>
      <c r="FP83" s="646">
        <v>0</v>
      </c>
      <c r="FQ83" s="646">
        <v>47.279045012758203</v>
      </c>
      <c r="FR83" s="646">
        <v>15.324750591224532</v>
      </c>
      <c r="FS83" s="646">
        <v>3600</v>
      </c>
      <c r="FT83" s="563" t="s">
        <v>1589</v>
      </c>
      <c r="FU83" s="563">
        <v>4</v>
      </c>
      <c r="FV83" s="563">
        <v>0</v>
      </c>
      <c r="FW83" s="563">
        <v>0</v>
      </c>
      <c r="FX83" s="563">
        <v>0</v>
      </c>
      <c r="FY83" s="650">
        <v>4329.1716477862201</v>
      </c>
      <c r="FZ83" s="563">
        <v>0</v>
      </c>
      <c r="GA83" s="563">
        <v>0</v>
      </c>
      <c r="GB83" s="563">
        <v>0</v>
      </c>
      <c r="GC83" s="650">
        <v>4238.9311830520992</v>
      </c>
      <c r="GD83" s="564">
        <v>4000</v>
      </c>
      <c r="GE83" s="565">
        <v>213.83773995434521</v>
      </c>
      <c r="GF83" s="649">
        <v>24.895685326037935</v>
      </c>
      <c r="GG83" s="646">
        <v>133.58350893227305</v>
      </c>
      <c r="GH83" s="646">
        <v>0</v>
      </c>
      <c r="GI83" s="646">
        <v>0</v>
      </c>
      <c r="GJ83" s="646">
        <v>47.279045012758203</v>
      </c>
      <c r="GK83" s="646">
        <v>15.324750591224532</v>
      </c>
      <c r="GL83" s="646">
        <v>3550</v>
      </c>
      <c r="GM83" s="563" t="s">
        <v>1587</v>
      </c>
      <c r="GN83" s="563">
        <v>4</v>
      </c>
      <c r="GO83" s="563">
        <v>0</v>
      </c>
      <c r="GP83" s="563">
        <v>0</v>
      </c>
      <c r="GQ83" s="563">
        <v>0</v>
      </c>
      <c r="GR83" s="650">
        <v>5346.8752858754669</v>
      </c>
      <c r="GS83" s="563">
        <v>0</v>
      </c>
      <c r="GT83" s="563">
        <v>0</v>
      </c>
      <c r="GU83" s="563">
        <v>0</v>
      </c>
      <c r="GV83" s="650">
        <v>5235.4210516873809</v>
      </c>
      <c r="GW83" s="564">
        <v>4000</v>
      </c>
      <c r="GX83" s="565">
        <v>213.83773995434521</v>
      </c>
      <c r="GY83" s="649">
        <v>24.895685326037935</v>
      </c>
      <c r="GZ83" s="646">
        <v>133.58350893227305</v>
      </c>
      <c r="HA83" s="646">
        <v>0</v>
      </c>
      <c r="HB83" s="646">
        <v>0</v>
      </c>
      <c r="HC83" s="646">
        <v>47.279045012758203</v>
      </c>
      <c r="HD83" s="646">
        <v>15.324750591224532</v>
      </c>
      <c r="HE83" s="646">
        <v>3600</v>
      </c>
      <c r="HF83" s="563" t="s">
        <v>1587</v>
      </c>
      <c r="HG83" s="563">
        <v>4</v>
      </c>
      <c r="HH83" s="563">
        <v>0</v>
      </c>
      <c r="HI83" s="563">
        <v>0</v>
      </c>
      <c r="HJ83" s="563">
        <v>0</v>
      </c>
      <c r="HK83" s="650">
        <v>5346.8752858754669</v>
      </c>
      <c r="HL83" s="563">
        <v>0</v>
      </c>
      <c r="HM83" s="563">
        <v>0</v>
      </c>
      <c r="HN83" s="563">
        <v>0</v>
      </c>
      <c r="HO83" s="650">
        <v>5235.4210516873809</v>
      </c>
      <c r="HP83" s="564">
        <v>4000</v>
      </c>
      <c r="HQ83" s="565">
        <v>213.83773995434521</v>
      </c>
      <c r="HR83" s="649">
        <v>24.895685326037935</v>
      </c>
      <c r="HS83" s="646">
        <v>133.58350893227305</v>
      </c>
      <c r="HT83" s="646">
        <v>0</v>
      </c>
      <c r="HU83" s="646">
        <v>0</v>
      </c>
      <c r="HV83" s="646">
        <v>47.279045012758203</v>
      </c>
      <c r="HW83" s="646">
        <v>15.324750591224532</v>
      </c>
      <c r="HX83" s="646">
        <v>3550</v>
      </c>
      <c r="HY83" s="563" t="s">
        <v>68</v>
      </c>
      <c r="HZ83" s="563">
        <v>4</v>
      </c>
      <c r="IA83" s="563">
        <v>0</v>
      </c>
      <c r="IB83" s="563">
        <v>0</v>
      </c>
      <c r="IC83" s="563">
        <v>0</v>
      </c>
      <c r="ID83" s="650">
        <v>4715.5007659012899</v>
      </c>
      <c r="IE83" s="563">
        <v>0</v>
      </c>
      <c r="IF83" s="563">
        <v>0</v>
      </c>
      <c r="IG83" s="563">
        <v>0</v>
      </c>
      <c r="IH83" s="650">
        <v>4617.2073704923478</v>
      </c>
      <c r="II83" s="564">
        <v>4000</v>
      </c>
      <c r="IJ83" s="565">
        <v>213.83773995434521</v>
      </c>
      <c r="IK83" s="649">
        <v>24.895685326037935</v>
      </c>
      <c r="IL83" s="646">
        <v>133.58350893227305</v>
      </c>
      <c r="IM83" s="646">
        <v>0</v>
      </c>
      <c r="IN83" s="646">
        <v>0</v>
      </c>
      <c r="IO83" s="646">
        <v>47.279045012758203</v>
      </c>
      <c r="IP83" s="646">
        <v>15.324750591224532</v>
      </c>
      <c r="IQ83" s="646">
        <v>3600</v>
      </c>
      <c r="IR83" s="563" t="s">
        <v>68</v>
      </c>
      <c r="IS83" s="563">
        <v>4</v>
      </c>
      <c r="IT83" s="563">
        <v>0</v>
      </c>
      <c r="IU83" s="563">
        <v>0</v>
      </c>
      <c r="IV83" s="563">
        <v>0</v>
      </c>
      <c r="IW83" s="650">
        <v>4715.5007659012899</v>
      </c>
      <c r="IX83" s="563">
        <v>0</v>
      </c>
      <c r="IY83" s="563">
        <v>0</v>
      </c>
      <c r="IZ83" s="563">
        <v>0</v>
      </c>
      <c r="JA83" s="650">
        <v>4617.2073704923478</v>
      </c>
      <c r="JB83" s="564">
        <v>4000</v>
      </c>
      <c r="JC83" s="565">
        <v>213.83773995434521</v>
      </c>
      <c r="JD83" s="649">
        <v>24.895685326037935</v>
      </c>
      <c r="JE83" s="646">
        <v>133.58350893227305</v>
      </c>
      <c r="JF83" s="646">
        <v>0</v>
      </c>
      <c r="JG83" s="646">
        <v>0</v>
      </c>
      <c r="JH83" s="646">
        <v>47.279045012758203</v>
      </c>
      <c r="JI83" s="646">
        <v>15.324750591224532</v>
      </c>
      <c r="JJ83" s="646">
        <v>3550</v>
      </c>
      <c r="JK83" s="563" t="s">
        <v>67</v>
      </c>
      <c r="JL83" s="563">
        <v>4</v>
      </c>
      <c r="JM83" s="563">
        <v>0</v>
      </c>
      <c r="JN83" s="563">
        <v>0</v>
      </c>
      <c r="JO83" s="563">
        <v>0</v>
      </c>
      <c r="JP83" s="650">
        <v>6426.1443355783895</v>
      </c>
      <c r="JQ83" s="563">
        <v>0</v>
      </c>
      <c r="JR83" s="563">
        <v>0</v>
      </c>
      <c r="JS83" s="563">
        <v>0</v>
      </c>
      <c r="JT83" s="650">
        <v>6292.1930168341514</v>
      </c>
      <c r="JU83" s="564">
        <v>4000</v>
      </c>
      <c r="JV83" s="565">
        <v>213.83773995434521</v>
      </c>
      <c r="JW83" s="649">
        <v>24.895685326037935</v>
      </c>
      <c r="JX83" s="646">
        <v>133.58350893227305</v>
      </c>
      <c r="JY83" s="646">
        <v>0</v>
      </c>
      <c r="JZ83" s="646">
        <v>0</v>
      </c>
      <c r="KA83" s="646">
        <v>47.279045012758203</v>
      </c>
      <c r="KB83" s="646">
        <v>15.324750591224532</v>
      </c>
      <c r="KC83" s="646">
        <v>3600</v>
      </c>
      <c r="KD83" s="563" t="s">
        <v>67</v>
      </c>
      <c r="KE83" s="563">
        <v>4</v>
      </c>
      <c r="KF83" s="563">
        <v>0</v>
      </c>
      <c r="KG83" s="563">
        <v>0</v>
      </c>
      <c r="KH83" s="563">
        <v>0</v>
      </c>
      <c r="KI83" s="650">
        <v>6426.1443355783895</v>
      </c>
      <c r="KJ83" s="563">
        <v>0</v>
      </c>
      <c r="KK83" s="563">
        <v>0</v>
      </c>
      <c r="KL83" s="563">
        <v>0</v>
      </c>
      <c r="KM83" s="650">
        <v>6292.1930168341514</v>
      </c>
      <c r="KN83" s="564">
        <v>4000</v>
      </c>
      <c r="KO83" s="566">
        <v>213.83773995434521</v>
      </c>
    </row>
    <row r="84" spans="1:301" ht="15" customHeight="1">
      <c r="A84" s="802" t="s">
        <v>998</v>
      </c>
      <c r="B84" s="629" t="s">
        <v>382</v>
      </c>
      <c r="C84" s="629">
        <v>220.31769407996018</v>
      </c>
      <c r="D84" s="629">
        <v>603</v>
      </c>
      <c r="E84" s="629">
        <v>225</v>
      </c>
      <c r="F84" s="629">
        <v>177.29647790298318</v>
      </c>
      <c r="G84" s="629">
        <v>100.04596427285884</v>
      </c>
      <c r="H84" s="629">
        <v>82.447509035567023</v>
      </c>
      <c r="I84" s="629">
        <v>57.671967144017238</v>
      </c>
      <c r="J84" s="629">
        <v>40.580563085294642</v>
      </c>
      <c r="K84" s="629">
        <v>62.828080609356924</v>
      </c>
      <c r="L84" s="629">
        <v>10</v>
      </c>
      <c r="M84" s="629">
        <v>248.73106164118255</v>
      </c>
      <c r="N84" s="629">
        <v>4</v>
      </c>
      <c r="O84" s="623">
        <v>7.7186556454655104</v>
      </c>
      <c r="P84" s="629">
        <v>4</v>
      </c>
      <c r="Q84" s="623">
        <v>5.213277634235304</v>
      </c>
      <c r="R84" s="629">
        <v>13.000000000000002</v>
      </c>
      <c r="S84" s="629">
        <v>390.14823895149158</v>
      </c>
      <c r="T84" s="645">
        <v>12.200066341842845</v>
      </c>
      <c r="U84" s="645">
        <v>58.522235842723731</v>
      </c>
      <c r="V84" s="645">
        <v>47.5</v>
      </c>
      <c r="W84" s="793">
        <v>0.75223966747180016</v>
      </c>
      <c r="X84" s="646">
        <v>0</v>
      </c>
      <c r="Y84" s="646">
        <v>0</v>
      </c>
      <c r="Z84" s="646">
        <v>0</v>
      </c>
      <c r="AA84" s="646">
        <v>0</v>
      </c>
      <c r="AB84" s="647">
        <v>3.3085401358276827</v>
      </c>
      <c r="AC84" s="784">
        <v>4000</v>
      </c>
      <c r="AD84" s="631">
        <v>1.5501715144102786</v>
      </c>
      <c r="AE84" s="631">
        <v>0.85651538054033016</v>
      </c>
      <c r="AF84" s="631">
        <v>-0.26391529742259223</v>
      </c>
      <c r="AG84" s="631">
        <v>0.87314462395419357</v>
      </c>
      <c r="AH84" s="629"/>
      <c r="AI84" s="648">
        <v>1.414585748704777</v>
      </c>
      <c r="AJ84" s="649">
        <v>4.1038307793603295</v>
      </c>
      <c r="AK84" s="646">
        <v>29.988070068375791</v>
      </c>
      <c r="AL84" s="646">
        <v>0</v>
      </c>
      <c r="AM84" s="646">
        <v>0</v>
      </c>
      <c r="AN84" s="646">
        <v>30.450506491869909</v>
      </c>
      <c r="AO84" s="646">
        <v>1.1793621248387731</v>
      </c>
      <c r="AP84" s="801">
        <v>3528</v>
      </c>
      <c r="AQ84" s="563" t="s">
        <v>71</v>
      </c>
      <c r="AR84" s="563">
        <v>3</v>
      </c>
      <c r="AS84" s="563">
        <v>0</v>
      </c>
      <c r="AT84" s="563">
        <v>0</v>
      </c>
      <c r="AU84" s="563">
        <v>0</v>
      </c>
      <c r="AV84" s="650">
        <v>6359.1800888756552</v>
      </c>
      <c r="AW84" s="563">
        <v>0</v>
      </c>
      <c r="AX84" s="563">
        <v>0</v>
      </c>
      <c r="AY84" s="563">
        <v>0</v>
      </c>
      <c r="AZ84" s="650">
        <v>7602.0267538589669</v>
      </c>
      <c r="BA84" s="564">
        <v>4000</v>
      </c>
      <c r="BB84" s="565">
        <v>126.29202467430969</v>
      </c>
      <c r="BC84" s="649">
        <v>4.1038307793603295</v>
      </c>
      <c r="BD84" s="646">
        <v>29.988070068375791</v>
      </c>
      <c r="BE84" s="646">
        <v>0</v>
      </c>
      <c r="BF84" s="646">
        <v>0</v>
      </c>
      <c r="BG84" s="646">
        <v>30.450506491869909</v>
      </c>
      <c r="BH84" s="646">
        <v>1.1793621248387731</v>
      </c>
      <c r="BI84" s="646">
        <v>3600</v>
      </c>
      <c r="BJ84" s="563" t="s">
        <v>71</v>
      </c>
      <c r="BK84" s="563">
        <v>3</v>
      </c>
      <c r="BL84" s="563">
        <v>0</v>
      </c>
      <c r="BM84" s="563">
        <v>0</v>
      </c>
      <c r="BN84" s="563">
        <v>0</v>
      </c>
      <c r="BO84" s="650">
        <v>6359.1800888756552</v>
      </c>
      <c r="BP84" s="563">
        <v>0</v>
      </c>
      <c r="BQ84" s="563">
        <v>0</v>
      </c>
      <c r="BR84" s="563">
        <v>0</v>
      </c>
      <c r="BS84" s="650">
        <v>7602.0267538589669</v>
      </c>
      <c r="BT84" s="564">
        <v>4000</v>
      </c>
      <c r="BU84" s="565">
        <v>126.29202467430969</v>
      </c>
      <c r="BV84" s="649">
        <v>4.1038307793603295</v>
      </c>
      <c r="BW84" s="646">
        <v>29.988070068375791</v>
      </c>
      <c r="BX84" s="646">
        <v>0</v>
      </c>
      <c r="BY84" s="646">
        <v>0</v>
      </c>
      <c r="BZ84" s="646">
        <v>30.450506491869909</v>
      </c>
      <c r="CA84" s="646">
        <v>1.1793621248387731</v>
      </c>
      <c r="CB84" s="646">
        <v>3528</v>
      </c>
      <c r="CC84" s="563" t="s">
        <v>1584</v>
      </c>
      <c r="CD84" s="563">
        <v>3</v>
      </c>
      <c r="CE84" s="563">
        <v>0</v>
      </c>
      <c r="CF84" s="563">
        <v>0</v>
      </c>
      <c r="CG84" s="563">
        <v>0</v>
      </c>
      <c r="CH84" s="650">
        <v>6230.6985600847738</v>
      </c>
      <c r="CI84" s="563">
        <v>0</v>
      </c>
      <c r="CJ84" s="563">
        <v>0</v>
      </c>
      <c r="CK84" s="563">
        <v>0</v>
      </c>
      <c r="CL84" s="650">
        <v>7448.4346231763366</v>
      </c>
      <c r="CM84" s="564">
        <v>4000</v>
      </c>
      <c r="CN84" s="565">
        <v>126.29202467430969</v>
      </c>
      <c r="CO84" s="649">
        <v>4.1038307793603295</v>
      </c>
      <c r="CP84" s="646">
        <v>29.988070068375791</v>
      </c>
      <c r="CQ84" s="646">
        <v>0</v>
      </c>
      <c r="CR84" s="646">
        <v>0</v>
      </c>
      <c r="CS84" s="646">
        <v>30.450506491869909</v>
      </c>
      <c r="CT84" s="646">
        <v>1.1793621248387731</v>
      </c>
      <c r="CU84" s="646">
        <v>3600</v>
      </c>
      <c r="CV84" s="563" t="s">
        <v>1584</v>
      </c>
      <c r="CW84" s="563">
        <v>3</v>
      </c>
      <c r="CX84" s="563">
        <v>0</v>
      </c>
      <c r="CY84" s="563">
        <v>0</v>
      </c>
      <c r="CZ84" s="563">
        <v>0</v>
      </c>
      <c r="DA84" s="650">
        <v>6230.6985600847738</v>
      </c>
      <c r="DB84" s="563">
        <v>0</v>
      </c>
      <c r="DC84" s="563">
        <v>0</v>
      </c>
      <c r="DD84" s="563">
        <v>0</v>
      </c>
      <c r="DE84" s="650">
        <v>7448.4346231763366</v>
      </c>
      <c r="DF84" s="564">
        <v>4000</v>
      </c>
      <c r="DG84" s="565">
        <v>126.29202467430969</v>
      </c>
      <c r="DH84" s="649">
        <v>2.7358871862402196</v>
      </c>
      <c r="DI84" s="646">
        <v>28.620126475255681</v>
      </c>
      <c r="DJ84" s="646">
        <v>0</v>
      </c>
      <c r="DK84" s="646">
        <v>0</v>
      </c>
      <c r="DL84" s="646">
        <v>29.93558229588902</v>
      </c>
      <c r="DM84" s="646">
        <v>1.1088875712813384</v>
      </c>
      <c r="DN84" s="646">
        <v>3528</v>
      </c>
      <c r="DO84" s="563" t="s">
        <v>1588</v>
      </c>
      <c r="DP84" s="563">
        <v>2</v>
      </c>
      <c r="DQ84" s="563">
        <v>0</v>
      </c>
      <c r="DR84" s="563">
        <v>0</v>
      </c>
      <c r="DS84" s="563">
        <v>0</v>
      </c>
      <c r="DT84" s="650">
        <v>4994.2426112598041</v>
      </c>
      <c r="DU84" s="563">
        <v>0</v>
      </c>
      <c r="DV84" s="563">
        <v>0</v>
      </c>
      <c r="DW84" s="563">
        <v>0</v>
      </c>
      <c r="DX84" s="650">
        <v>5778.3414899814825</v>
      </c>
      <c r="DY84" s="564">
        <v>4000</v>
      </c>
      <c r="DZ84" s="565">
        <v>126.29202467430969</v>
      </c>
      <c r="EA84" s="649">
        <v>2.7358871862402196</v>
      </c>
      <c r="EB84" s="646">
        <v>28.620126475255681</v>
      </c>
      <c r="EC84" s="646">
        <v>0</v>
      </c>
      <c r="ED84" s="646">
        <v>0</v>
      </c>
      <c r="EE84" s="646">
        <v>29.93558229588902</v>
      </c>
      <c r="EF84" s="646">
        <v>1.1088875712813384</v>
      </c>
      <c r="EG84" s="646">
        <v>3600</v>
      </c>
      <c r="EH84" s="563" t="s">
        <v>1588</v>
      </c>
      <c r="EI84" s="563">
        <v>2</v>
      </c>
      <c r="EJ84" s="563">
        <v>0</v>
      </c>
      <c r="EK84" s="563">
        <v>0</v>
      </c>
      <c r="EL84" s="563">
        <v>0</v>
      </c>
      <c r="EM84" s="650">
        <v>4994.2426112598041</v>
      </c>
      <c r="EN84" s="563">
        <v>0</v>
      </c>
      <c r="EO84" s="563">
        <v>0</v>
      </c>
      <c r="EP84" s="563">
        <v>0</v>
      </c>
      <c r="EQ84" s="650">
        <v>5778.3414899814825</v>
      </c>
      <c r="ER84" s="564">
        <v>4000</v>
      </c>
      <c r="ES84" s="565">
        <v>126.29202467430969</v>
      </c>
      <c r="ET84" s="649">
        <v>2.7358871862402196</v>
      </c>
      <c r="EU84" s="646">
        <v>28.620126475255681</v>
      </c>
      <c r="EV84" s="646">
        <v>0</v>
      </c>
      <c r="EW84" s="646">
        <v>0</v>
      </c>
      <c r="EX84" s="646">
        <v>29.93558229588902</v>
      </c>
      <c r="EY84" s="646">
        <v>1.1088875712813384</v>
      </c>
      <c r="EZ84" s="646">
        <v>3528</v>
      </c>
      <c r="FA84" s="563" t="s">
        <v>1589</v>
      </c>
      <c r="FB84" s="563">
        <v>2</v>
      </c>
      <c r="FC84" s="563">
        <v>0</v>
      </c>
      <c r="FD84" s="563">
        <v>0</v>
      </c>
      <c r="FE84" s="563">
        <v>0</v>
      </c>
      <c r="FF84" s="650">
        <v>5319.7836428447135</v>
      </c>
      <c r="FG84" s="563">
        <v>0</v>
      </c>
      <c r="FH84" s="563">
        <v>0</v>
      </c>
      <c r="FI84" s="563">
        <v>0</v>
      </c>
      <c r="FJ84" s="650">
        <v>6154.9926453053049</v>
      </c>
      <c r="FK84" s="564">
        <v>4000</v>
      </c>
      <c r="FL84" s="565">
        <v>126.29202467430969</v>
      </c>
      <c r="FM84" s="649">
        <v>2.7358871862402196</v>
      </c>
      <c r="FN84" s="646">
        <v>28.620126475255681</v>
      </c>
      <c r="FO84" s="646">
        <v>0</v>
      </c>
      <c r="FP84" s="646">
        <v>0</v>
      </c>
      <c r="FQ84" s="646">
        <v>29.93558229588902</v>
      </c>
      <c r="FR84" s="646">
        <v>1.1088875712813384</v>
      </c>
      <c r="FS84" s="646">
        <v>3600</v>
      </c>
      <c r="FT84" s="563" t="s">
        <v>1589</v>
      </c>
      <c r="FU84" s="563">
        <v>2</v>
      </c>
      <c r="FV84" s="563">
        <v>0</v>
      </c>
      <c r="FW84" s="563">
        <v>0</v>
      </c>
      <c r="FX84" s="563">
        <v>0</v>
      </c>
      <c r="FY84" s="650">
        <v>5319.7836428447135</v>
      </c>
      <c r="FZ84" s="563">
        <v>0</v>
      </c>
      <c r="GA84" s="563">
        <v>0</v>
      </c>
      <c r="GB84" s="563">
        <v>0</v>
      </c>
      <c r="GC84" s="650">
        <v>6154.9926453053049</v>
      </c>
      <c r="GD84" s="564">
        <v>4000</v>
      </c>
      <c r="GE84" s="565">
        <v>126.29202467430969</v>
      </c>
      <c r="GF84" s="649">
        <v>2.7358871862402196</v>
      </c>
      <c r="GG84" s="646">
        <v>28.620126475255681</v>
      </c>
      <c r="GH84" s="646">
        <v>0</v>
      </c>
      <c r="GI84" s="646">
        <v>0</v>
      </c>
      <c r="GJ84" s="646">
        <v>29.93558229588902</v>
      </c>
      <c r="GK84" s="646">
        <v>1.1088875712813384</v>
      </c>
      <c r="GL84" s="646">
        <v>3528</v>
      </c>
      <c r="GM84" s="563" t="s">
        <v>1587</v>
      </c>
      <c r="GN84" s="563">
        <v>2</v>
      </c>
      <c r="GO84" s="563">
        <v>0</v>
      </c>
      <c r="GP84" s="563">
        <v>0</v>
      </c>
      <c r="GQ84" s="563">
        <v>0</v>
      </c>
      <c r="GR84" s="650">
        <v>6570.3607988554322</v>
      </c>
      <c r="GS84" s="563">
        <v>0</v>
      </c>
      <c r="GT84" s="563">
        <v>0</v>
      </c>
      <c r="GU84" s="563">
        <v>0</v>
      </c>
      <c r="GV84" s="650">
        <v>7601.9111131241807</v>
      </c>
      <c r="GW84" s="564">
        <v>4000</v>
      </c>
      <c r="GX84" s="565">
        <v>126.29202467430969</v>
      </c>
      <c r="GY84" s="649">
        <v>2.7358871862402196</v>
      </c>
      <c r="GZ84" s="646">
        <v>28.620126475255681</v>
      </c>
      <c r="HA84" s="646">
        <v>0</v>
      </c>
      <c r="HB84" s="646">
        <v>0</v>
      </c>
      <c r="HC84" s="646">
        <v>29.93558229588902</v>
      </c>
      <c r="HD84" s="646">
        <v>1.1088875712813384</v>
      </c>
      <c r="HE84" s="646">
        <v>3600</v>
      </c>
      <c r="HF84" s="563" t="s">
        <v>1587</v>
      </c>
      <c r="HG84" s="563">
        <v>2</v>
      </c>
      <c r="HH84" s="563">
        <v>0</v>
      </c>
      <c r="HI84" s="563">
        <v>0</v>
      </c>
      <c r="HJ84" s="563">
        <v>0</v>
      </c>
      <c r="HK84" s="650">
        <v>6570.3607988554322</v>
      </c>
      <c r="HL84" s="563">
        <v>0</v>
      </c>
      <c r="HM84" s="563">
        <v>0</v>
      </c>
      <c r="HN84" s="563">
        <v>0</v>
      </c>
      <c r="HO84" s="650">
        <v>7601.9111131241807</v>
      </c>
      <c r="HP84" s="564">
        <v>4000</v>
      </c>
      <c r="HQ84" s="565">
        <v>126.29202467430969</v>
      </c>
      <c r="HR84" s="649">
        <v>2.7358871862402196</v>
      </c>
      <c r="HS84" s="646">
        <v>28.620126475255681</v>
      </c>
      <c r="HT84" s="646">
        <v>0</v>
      </c>
      <c r="HU84" s="646">
        <v>0</v>
      </c>
      <c r="HV84" s="646">
        <v>29.93558229588902</v>
      </c>
      <c r="HW84" s="646">
        <v>1.1088875712813384</v>
      </c>
      <c r="HX84" s="646">
        <v>3528</v>
      </c>
      <c r="HY84" s="563" t="s">
        <v>68</v>
      </c>
      <c r="HZ84" s="563">
        <v>2</v>
      </c>
      <c r="IA84" s="563">
        <v>0</v>
      </c>
      <c r="IB84" s="563">
        <v>0</v>
      </c>
      <c r="IC84" s="563">
        <v>0</v>
      </c>
      <c r="ID84" s="650">
        <v>5794.513565913051</v>
      </c>
      <c r="IE84" s="563">
        <v>0</v>
      </c>
      <c r="IF84" s="563">
        <v>0</v>
      </c>
      <c r="IG84" s="563">
        <v>0</v>
      </c>
      <c r="IH84" s="650">
        <v>6704.2554313815936</v>
      </c>
      <c r="II84" s="564">
        <v>4000</v>
      </c>
      <c r="IJ84" s="565">
        <v>126.29202467430969</v>
      </c>
      <c r="IK84" s="649">
        <v>2.7358871862402196</v>
      </c>
      <c r="IL84" s="646">
        <v>28.620126475255681</v>
      </c>
      <c r="IM84" s="646">
        <v>0</v>
      </c>
      <c r="IN84" s="646">
        <v>0</v>
      </c>
      <c r="IO84" s="646">
        <v>29.93558229588902</v>
      </c>
      <c r="IP84" s="646">
        <v>1.1088875712813384</v>
      </c>
      <c r="IQ84" s="646">
        <v>3600</v>
      </c>
      <c r="IR84" s="563" t="s">
        <v>68</v>
      </c>
      <c r="IS84" s="563">
        <v>2</v>
      </c>
      <c r="IT84" s="563">
        <v>0</v>
      </c>
      <c r="IU84" s="563">
        <v>0</v>
      </c>
      <c r="IV84" s="563">
        <v>0</v>
      </c>
      <c r="IW84" s="650">
        <v>5794.513565913051</v>
      </c>
      <c r="IX84" s="563">
        <v>0</v>
      </c>
      <c r="IY84" s="563">
        <v>0</v>
      </c>
      <c r="IZ84" s="563">
        <v>0</v>
      </c>
      <c r="JA84" s="650">
        <v>6704.2554313815936</v>
      </c>
      <c r="JB84" s="564">
        <v>4000</v>
      </c>
      <c r="JC84" s="565">
        <v>126.29202467430969</v>
      </c>
      <c r="JD84" s="649">
        <v>2.7358871862402196</v>
      </c>
      <c r="JE84" s="646">
        <v>28.620126475255681</v>
      </c>
      <c r="JF84" s="646">
        <v>0</v>
      </c>
      <c r="JG84" s="646">
        <v>0</v>
      </c>
      <c r="JH84" s="646">
        <v>29.93558229588902</v>
      </c>
      <c r="JI84" s="646">
        <v>1.1088875712813384</v>
      </c>
      <c r="JJ84" s="646">
        <v>3528</v>
      </c>
      <c r="JK84" s="563" t="s">
        <v>67</v>
      </c>
      <c r="JL84" s="563">
        <v>2</v>
      </c>
      <c r="JM84" s="563">
        <v>0</v>
      </c>
      <c r="JN84" s="563">
        <v>0</v>
      </c>
      <c r="JO84" s="563">
        <v>0</v>
      </c>
      <c r="JP84" s="650">
        <v>7896.5909195239328</v>
      </c>
      <c r="JQ84" s="563">
        <v>0</v>
      </c>
      <c r="JR84" s="563">
        <v>0</v>
      </c>
      <c r="JS84" s="563">
        <v>0</v>
      </c>
      <c r="JT84" s="650">
        <v>9136.3601032962542</v>
      </c>
      <c r="JU84" s="564">
        <v>4000</v>
      </c>
      <c r="JV84" s="565">
        <v>126.29202467430969</v>
      </c>
      <c r="JW84" s="649">
        <v>2.7358871862402196</v>
      </c>
      <c r="JX84" s="646">
        <v>28.620126475255681</v>
      </c>
      <c r="JY84" s="646">
        <v>0</v>
      </c>
      <c r="JZ84" s="646">
        <v>0</v>
      </c>
      <c r="KA84" s="646">
        <v>29.93558229588902</v>
      </c>
      <c r="KB84" s="646">
        <v>1.1088875712813384</v>
      </c>
      <c r="KC84" s="646">
        <v>3600</v>
      </c>
      <c r="KD84" s="563" t="s">
        <v>67</v>
      </c>
      <c r="KE84" s="563">
        <v>2</v>
      </c>
      <c r="KF84" s="563">
        <v>0</v>
      </c>
      <c r="KG84" s="563">
        <v>0</v>
      </c>
      <c r="KH84" s="563">
        <v>0</v>
      </c>
      <c r="KI84" s="650">
        <v>7896.5909195239328</v>
      </c>
      <c r="KJ84" s="563">
        <v>0</v>
      </c>
      <c r="KK84" s="563">
        <v>0</v>
      </c>
      <c r="KL84" s="563">
        <v>0</v>
      </c>
      <c r="KM84" s="650">
        <v>9136.3601032962542</v>
      </c>
      <c r="KN84" s="564">
        <v>4000</v>
      </c>
      <c r="KO84" s="566">
        <v>126.29202467430969</v>
      </c>
    </row>
    <row r="85" spans="1:301" ht="15" customHeight="1">
      <c r="A85" s="802" t="s">
        <v>857</v>
      </c>
      <c r="B85" s="629" t="s">
        <v>382</v>
      </c>
      <c r="C85" s="629">
        <v>1273</v>
      </c>
      <c r="D85" s="629">
        <v>1788</v>
      </c>
      <c r="E85" s="629">
        <v>0</v>
      </c>
      <c r="F85" s="629">
        <v>0</v>
      </c>
      <c r="G85" s="629">
        <v>658</v>
      </c>
      <c r="H85" s="629">
        <v>633</v>
      </c>
      <c r="I85" s="629">
        <v>566</v>
      </c>
      <c r="J85" s="629">
        <v>19.2</v>
      </c>
      <c r="K85" s="629">
        <v>29.2</v>
      </c>
      <c r="L85" s="629">
        <v>18</v>
      </c>
      <c r="M85" s="629">
        <v>628.16670140941312</v>
      </c>
      <c r="N85" s="629">
        <v>6</v>
      </c>
      <c r="O85" s="623">
        <v>118.26216286057958</v>
      </c>
      <c r="P85" s="629">
        <v>6</v>
      </c>
      <c r="Q85" s="623">
        <v>31.610389255834498</v>
      </c>
      <c r="R85" s="629">
        <v>22</v>
      </c>
      <c r="S85" s="629">
        <v>1530.5</v>
      </c>
      <c r="T85" s="645">
        <v>317.72316988406527</v>
      </c>
      <c r="U85" s="645">
        <v>229.57499999999999</v>
      </c>
      <c r="V85" s="645">
        <v>10</v>
      </c>
      <c r="W85" s="793">
        <v>2.4370811326334549</v>
      </c>
      <c r="X85" s="646">
        <v>0</v>
      </c>
      <c r="Y85" s="646">
        <v>0</v>
      </c>
      <c r="Z85" s="646">
        <v>6</v>
      </c>
      <c r="AA85" s="646">
        <v>0</v>
      </c>
      <c r="AB85" s="647">
        <v>344.46456562542721</v>
      </c>
      <c r="AC85" s="784">
        <v>2086.8486338718121</v>
      </c>
      <c r="AD85" s="631">
        <v>0</v>
      </c>
      <c r="AE85" s="631">
        <v>0</v>
      </c>
      <c r="AF85" s="631">
        <v>0</v>
      </c>
      <c r="AG85" s="631">
        <v>0</v>
      </c>
      <c r="AH85" s="629"/>
      <c r="AI85" s="648">
        <v>21.055068533491315</v>
      </c>
      <c r="AJ85" s="649">
        <v>425.69274374428386</v>
      </c>
      <c r="AK85" s="646">
        <v>957.893126883185</v>
      </c>
      <c r="AL85" s="646">
        <v>15.884824194338346</v>
      </c>
      <c r="AM85" s="646">
        <v>46.282755811449988</v>
      </c>
      <c r="AN85" s="646">
        <v>241.48752526577621</v>
      </c>
      <c r="AO85" s="646">
        <v>459.45880811355067</v>
      </c>
      <c r="AP85" s="801">
        <v>1450</v>
      </c>
      <c r="AQ85" s="563" t="s">
        <v>71</v>
      </c>
      <c r="AR85" s="563">
        <v>8</v>
      </c>
      <c r="AS85" s="563">
        <v>2</v>
      </c>
      <c r="AT85" s="563">
        <v>10</v>
      </c>
      <c r="AU85" s="563">
        <v>51.645769171337641</v>
      </c>
      <c r="AV85" s="650">
        <v>1647.5120863339464</v>
      </c>
      <c r="AW85" s="563">
        <v>2</v>
      </c>
      <c r="AX85" s="563">
        <v>14</v>
      </c>
      <c r="AY85" s="563">
        <v>76.614298207974599</v>
      </c>
      <c r="AZ85" s="650">
        <v>1640.4299913805</v>
      </c>
      <c r="BA85" s="564">
        <v>1640.4299913805</v>
      </c>
      <c r="BB85" s="565">
        <v>153.5761717275505</v>
      </c>
      <c r="BC85" s="649">
        <v>319.26955780821288</v>
      </c>
      <c r="BD85" s="646">
        <v>828.45750933191061</v>
      </c>
      <c r="BE85" s="646">
        <v>12.707859355470678</v>
      </c>
      <c r="BF85" s="646">
        <v>26.447289035114277</v>
      </c>
      <c r="BG85" s="646">
        <v>230.56988887237776</v>
      </c>
      <c r="BH85" s="646">
        <v>379.42385278390509</v>
      </c>
      <c r="BI85" s="646">
        <v>1812.5</v>
      </c>
      <c r="BJ85" s="563" t="s">
        <v>67</v>
      </c>
      <c r="BK85" s="563">
        <v>6</v>
      </c>
      <c r="BL85" s="563">
        <v>2</v>
      </c>
      <c r="BM85" s="563">
        <v>8</v>
      </c>
      <c r="BN85" s="563">
        <v>51.645769171337641</v>
      </c>
      <c r="BO85" s="650">
        <v>2090.1647501170355</v>
      </c>
      <c r="BP85" s="563">
        <v>2</v>
      </c>
      <c r="BQ85" s="563">
        <v>8</v>
      </c>
      <c r="BR85" s="563">
        <v>76.614298207974599</v>
      </c>
      <c r="BS85" s="650">
        <v>2086.8486338718121</v>
      </c>
      <c r="BT85" s="564">
        <v>2086.8486338718121</v>
      </c>
      <c r="BU85" s="565">
        <v>195.36964445230231</v>
      </c>
      <c r="BV85" s="649">
        <v>425.69274374428386</v>
      </c>
      <c r="BW85" s="646">
        <v>957.893126883185</v>
      </c>
      <c r="BX85" s="646">
        <v>15.884824194338346</v>
      </c>
      <c r="BY85" s="646">
        <v>46.282755811449988</v>
      </c>
      <c r="BZ85" s="646">
        <v>241.48752526577621</v>
      </c>
      <c r="CA85" s="646">
        <v>459.45880811355067</v>
      </c>
      <c r="CB85" s="646">
        <v>1450</v>
      </c>
      <c r="CC85" s="563" t="s">
        <v>1584</v>
      </c>
      <c r="CD85" s="563">
        <v>8</v>
      </c>
      <c r="CE85" s="563">
        <v>2</v>
      </c>
      <c r="CF85" s="563">
        <v>10</v>
      </c>
      <c r="CG85" s="563">
        <v>51.645769171337641</v>
      </c>
      <c r="CH85" s="650">
        <v>1614.2255826345263</v>
      </c>
      <c r="CI85" s="563">
        <v>2</v>
      </c>
      <c r="CJ85" s="563">
        <v>14</v>
      </c>
      <c r="CK85" s="563">
        <v>76.614298207974599</v>
      </c>
      <c r="CL85" s="650">
        <v>1607.2865750561732</v>
      </c>
      <c r="CM85" s="564">
        <v>1607.2865750561732</v>
      </c>
      <c r="CN85" s="565">
        <v>150.4733029530172</v>
      </c>
      <c r="CO85" s="649">
        <v>425.69274374428386</v>
      </c>
      <c r="CP85" s="646">
        <v>1191.710193036173</v>
      </c>
      <c r="CQ85" s="646">
        <v>38.123578066412037</v>
      </c>
      <c r="CR85" s="646">
        <v>257.86106809236429</v>
      </c>
      <c r="CS85" s="646">
        <v>250.25754617093722</v>
      </c>
      <c r="CT85" s="646">
        <v>624.45943519910827</v>
      </c>
      <c r="CU85" s="646">
        <v>1812.5</v>
      </c>
      <c r="CV85" s="563" t="s">
        <v>1588</v>
      </c>
      <c r="CW85" s="563">
        <v>8</v>
      </c>
      <c r="CX85" s="563">
        <v>3</v>
      </c>
      <c r="CY85" s="563">
        <v>16</v>
      </c>
      <c r="CZ85" s="563">
        <v>51.645769171337641</v>
      </c>
      <c r="DA85" s="650">
        <v>2023.638149349963</v>
      </c>
      <c r="DB85" s="563">
        <v>3</v>
      </c>
      <c r="DC85" s="563">
        <v>52.000000000000007</v>
      </c>
      <c r="DD85" s="563">
        <v>76.614298207974599</v>
      </c>
      <c r="DE85" s="650">
        <v>1997.8990398898518</v>
      </c>
      <c r="DF85" s="564">
        <v>1997.8990398898518</v>
      </c>
      <c r="DG85" s="565">
        <v>187.04223140069536</v>
      </c>
      <c r="DH85" s="649">
        <v>425.69274374428386</v>
      </c>
      <c r="DI85" s="646">
        <v>951.2813046244064</v>
      </c>
      <c r="DJ85" s="646">
        <v>15.884824194338346</v>
      </c>
      <c r="DK85" s="646">
        <v>39.670933552671421</v>
      </c>
      <c r="DL85" s="646">
        <v>241.19899536076238</v>
      </c>
      <c r="DM85" s="646">
        <v>454.60786161387665</v>
      </c>
      <c r="DN85" s="646">
        <v>1450</v>
      </c>
      <c r="DO85" s="563" t="s">
        <v>1588</v>
      </c>
      <c r="DP85" s="563">
        <v>8</v>
      </c>
      <c r="DQ85" s="563">
        <v>2</v>
      </c>
      <c r="DR85" s="563">
        <v>10</v>
      </c>
      <c r="DS85" s="563">
        <v>51.645769171337641</v>
      </c>
      <c r="DT85" s="650">
        <v>1680.1392554193508</v>
      </c>
      <c r="DU85" s="563">
        <v>2</v>
      </c>
      <c r="DV85" s="563">
        <v>12</v>
      </c>
      <c r="DW85" s="563">
        <v>76.614298207974599</v>
      </c>
      <c r="DX85" s="650">
        <v>1622.2164859809729</v>
      </c>
      <c r="DY85" s="564">
        <v>1622.2164859809729</v>
      </c>
      <c r="DZ85" s="565">
        <v>151.87103316772422</v>
      </c>
      <c r="EA85" s="649">
        <v>425.69274374428386</v>
      </c>
      <c r="EB85" s="646">
        <v>1191.710193036173</v>
      </c>
      <c r="EC85" s="646">
        <v>38.123578066412037</v>
      </c>
      <c r="ED85" s="646">
        <v>257.86106809236429</v>
      </c>
      <c r="EE85" s="646">
        <v>250.25754617093722</v>
      </c>
      <c r="EF85" s="646">
        <v>624.45943519910827</v>
      </c>
      <c r="EG85" s="646">
        <v>1812.5</v>
      </c>
      <c r="EH85" s="563" t="s">
        <v>1588</v>
      </c>
      <c r="EI85" s="563">
        <v>8</v>
      </c>
      <c r="EJ85" s="563">
        <v>3</v>
      </c>
      <c r="EK85" s="563">
        <v>16</v>
      </c>
      <c r="EL85" s="563">
        <v>51.645769171337641</v>
      </c>
      <c r="EM85" s="650">
        <v>2023.638149349963</v>
      </c>
      <c r="EN85" s="563">
        <v>3</v>
      </c>
      <c r="EO85" s="563">
        <v>52.000000000000007</v>
      </c>
      <c r="EP85" s="563">
        <v>76.614298207974599</v>
      </c>
      <c r="EQ85" s="650">
        <v>1997.8990398898518</v>
      </c>
      <c r="ER85" s="564">
        <v>1997.8990398898518</v>
      </c>
      <c r="ES85" s="565">
        <v>187.04223140069536</v>
      </c>
      <c r="ET85" s="649">
        <v>425.69274374428386</v>
      </c>
      <c r="EU85" s="646">
        <v>944.66948236562791</v>
      </c>
      <c r="EV85" s="646">
        <v>15.884824194338346</v>
      </c>
      <c r="EW85" s="646">
        <v>33.059111293892848</v>
      </c>
      <c r="EX85" s="646">
        <v>240.90642656493242</v>
      </c>
      <c r="EY85" s="646">
        <v>449.75691511420257</v>
      </c>
      <c r="EZ85" s="646">
        <v>1450</v>
      </c>
      <c r="FA85" s="563" t="s">
        <v>1589</v>
      </c>
      <c r="FB85" s="563">
        <v>8</v>
      </c>
      <c r="FC85" s="563">
        <v>2</v>
      </c>
      <c r="FD85" s="563">
        <v>10</v>
      </c>
      <c r="FE85" s="563">
        <v>51.645769171337641</v>
      </c>
      <c r="FF85" s="650">
        <v>1789.6562150444959</v>
      </c>
      <c r="FG85" s="563">
        <v>2</v>
      </c>
      <c r="FH85" s="563">
        <v>10</v>
      </c>
      <c r="FI85" s="563">
        <v>76.614298207974599</v>
      </c>
      <c r="FJ85" s="650">
        <v>1659.9849067114424</v>
      </c>
      <c r="FK85" s="564">
        <v>1659.9849067114424</v>
      </c>
      <c r="FL85" s="565">
        <v>155.40689236223923</v>
      </c>
      <c r="FM85" s="649">
        <v>425.69274374428386</v>
      </c>
      <c r="FN85" s="646">
        <v>944.66948236562791</v>
      </c>
      <c r="FO85" s="646">
        <v>15.884824194338346</v>
      </c>
      <c r="FP85" s="646">
        <v>33.059111293892848</v>
      </c>
      <c r="FQ85" s="646">
        <v>240.90642656493242</v>
      </c>
      <c r="FR85" s="646">
        <v>449.75691511420257</v>
      </c>
      <c r="FS85" s="646">
        <v>1812.5</v>
      </c>
      <c r="FT85" s="563" t="s">
        <v>1587</v>
      </c>
      <c r="FU85" s="563">
        <v>8</v>
      </c>
      <c r="FV85" s="563">
        <v>2</v>
      </c>
      <c r="FW85" s="563">
        <v>10</v>
      </c>
      <c r="FX85" s="563">
        <v>51.645769171337641</v>
      </c>
      <c r="FY85" s="650">
        <v>2210.3694112771236</v>
      </c>
      <c r="FZ85" s="563">
        <v>2</v>
      </c>
      <c r="GA85" s="563">
        <v>10</v>
      </c>
      <c r="GB85" s="563">
        <v>76.614298207974599</v>
      </c>
      <c r="GC85" s="650">
        <v>2050.214912859929</v>
      </c>
      <c r="GD85" s="564">
        <v>2050.214912859929</v>
      </c>
      <c r="GE85" s="565">
        <v>191.94001523392549</v>
      </c>
      <c r="GF85" s="649">
        <v>319.26955780821288</v>
      </c>
      <c r="GG85" s="646">
        <v>828.45750933191061</v>
      </c>
      <c r="GH85" s="646">
        <v>12.707859355470678</v>
      </c>
      <c r="GI85" s="646">
        <v>26.447289035114277</v>
      </c>
      <c r="GJ85" s="646">
        <v>230.56988887237776</v>
      </c>
      <c r="GK85" s="646">
        <v>379.42385278390509</v>
      </c>
      <c r="GL85" s="646">
        <v>1450</v>
      </c>
      <c r="GM85" s="563" t="s">
        <v>1587</v>
      </c>
      <c r="GN85" s="563">
        <v>6</v>
      </c>
      <c r="GO85" s="563">
        <v>2</v>
      </c>
      <c r="GP85" s="563">
        <v>8</v>
      </c>
      <c r="GQ85" s="563">
        <v>51.645769171337641</v>
      </c>
      <c r="GR85" s="650">
        <v>1739.122195549465</v>
      </c>
      <c r="GS85" s="563">
        <v>2</v>
      </c>
      <c r="GT85" s="563">
        <v>8</v>
      </c>
      <c r="GU85" s="563">
        <v>76.614298207974599</v>
      </c>
      <c r="GV85" s="650">
        <v>1736.3630200515684</v>
      </c>
      <c r="GW85" s="564">
        <v>1736.3630200515684</v>
      </c>
      <c r="GX85" s="565">
        <v>162.557370171218</v>
      </c>
      <c r="GY85" s="649">
        <v>425.69274374428386</v>
      </c>
      <c r="GZ85" s="646">
        <v>944.66948236562791</v>
      </c>
      <c r="HA85" s="646">
        <v>15.884824194338346</v>
      </c>
      <c r="HB85" s="646">
        <v>33.059111293892848</v>
      </c>
      <c r="HC85" s="646">
        <v>240.90642656493242</v>
      </c>
      <c r="HD85" s="646">
        <v>449.75691511420257</v>
      </c>
      <c r="HE85" s="646">
        <v>1812.5</v>
      </c>
      <c r="HF85" s="563" t="s">
        <v>1587</v>
      </c>
      <c r="HG85" s="563">
        <v>8</v>
      </c>
      <c r="HH85" s="563">
        <v>2</v>
      </c>
      <c r="HI85" s="563">
        <v>10</v>
      </c>
      <c r="HJ85" s="563">
        <v>51.645769171337641</v>
      </c>
      <c r="HK85" s="650">
        <v>2210.3694112771236</v>
      </c>
      <c r="HL85" s="563">
        <v>2</v>
      </c>
      <c r="HM85" s="563">
        <v>10</v>
      </c>
      <c r="HN85" s="563">
        <v>76.614298207974599</v>
      </c>
      <c r="HO85" s="650">
        <v>2050.214912859929</v>
      </c>
      <c r="HP85" s="564">
        <v>2050.214912859929</v>
      </c>
      <c r="HQ85" s="565">
        <v>191.94001523392549</v>
      </c>
      <c r="HR85" s="649">
        <v>212.84637187214193</v>
      </c>
      <c r="HS85" s="646">
        <v>726.92871694466282</v>
      </c>
      <c r="HT85" s="646">
        <v>14.296341774904514</v>
      </c>
      <c r="HU85" s="646">
        <v>29.753200164503564</v>
      </c>
      <c r="HV85" s="646">
        <v>218.41583823525505</v>
      </c>
      <c r="HW85" s="646">
        <v>318.46085429511606</v>
      </c>
      <c r="HX85" s="646">
        <v>1450</v>
      </c>
      <c r="HY85" s="563" t="s">
        <v>68</v>
      </c>
      <c r="HZ85" s="563">
        <v>4</v>
      </c>
      <c r="IA85" s="563">
        <v>3</v>
      </c>
      <c r="IB85" s="563">
        <v>6</v>
      </c>
      <c r="IC85" s="563">
        <v>51.645769171337641</v>
      </c>
      <c r="ID85" s="650">
        <v>1607.1205735628332</v>
      </c>
      <c r="IE85" s="563">
        <v>3</v>
      </c>
      <c r="IF85" s="563">
        <v>6</v>
      </c>
      <c r="IG85" s="563">
        <v>76.614298207974599</v>
      </c>
      <c r="IH85" s="650">
        <v>1595.4996028847024</v>
      </c>
      <c r="II85" s="564">
        <v>1595.4996028847024</v>
      </c>
      <c r="IJ85" s="565">
        <v>149.36981297059481</v>
      </c>
      <c r="IK85" s="649">
        <v>319.26955780821288</v>
      </c>
      <c r="IL85" s="646">
        <v>857.95281691537093</v>
      </c>
      <c r="IM85" s="646">
        <v>19.061789033206018</v>
      </c>
      <c r="IN85" s="646">
        <v>49.588666940839275</v>
      </c>
      <c r="IO85" s="646">
        <v>232.62046655434585</v>
      </c>
      <c r="IP85" s="646">
        <v>399.19369098876075</v>
      </c>
      <c r="IQ85" s="646">
        <v>1812.5</v>
      </c>
      <c r="IR85" s="563" t="s">
        <v>68</v>
      </c>
      <c r="IS85" s="563">
        <v>6</v>
      </c>
      <c r="IT85" s="563">
        <v>3</v>
      </c>
      <c r="IU85" s="563">
        <v>8</v>
      </c>
      <c r="IV85" s="563">
        <v>51.645769171337641</v>
      </c>
      <c r="IW85" s="650">
        <v>2121.0497476102678</v>
      </c>
      <c r="IX85" s="563">
        <v>3</v>
      </c>
      <c r="IY85" s="563">
        <v>10</v>
      </c>
      <c r="IZ85" s="563">
        <v>76.614298207974599</v>
      </c>
      <c r="JA85" s="650">
        <v>2002.9781286844168</v>
      </c>
      <c r="JB85" s="564">
        <v>2002.9781286844168</v>
      </c>
      <c r="JC85" s="565">
        <v>187.51773295640461</v>
      </c>
      <c r="JD85" s="649">
        <v>266.05796484017742</v>
      </c>
      <c r="JE85" s="646">
        <v>775.24591636387515</v>
      </c>
      <c r="JF85" s="646">
        <v>12.707859355470678</v>
      </c>
      <c r="JG85" s="646">
        <v>26.447289035114277</v>
      </c>
      <c r="JH85" s="646">
        <v>224.67178866893866</v>
      </c>
      <c r="JI85" s="646">
        <v>347.38067623259252</v>
      </c>
      <c r="JJ85" s="646">
        <v>1450</v>
      </c>
      <c r="JK85" s="563" t="s">
        <v>67</v>
      </c>
      <c r="JL85" s="563">
        <v>5</v>
      </c>
      <c r="JM85" s="563">
        <v>2</v>
      </c>
      <c r="JN85" s="563">
        <v>8</v>
      </c>
      <c r="JO85" s="563">
        <v>51.645769171337641</v>
      </c>
      <c r="JP85" s="650">
        <v>1840.8385483196007</v>
      </c>
      <c r="JQ85" s="563">
        <v>2</v>
      </c>
      <c r="JR85" s="563">
        <v>8</v>
      </c>
      <c r="JS85" s="563">
        <v>76.614298207974599</v>
      </c>
      <c r="JT85" s="650">
        <v>1828.2221663648813</v>
      </c>
      <c r="JU85" s="564">
        <v>1828.2221663648813</v>
      </c>
      <c r="JV85" s="565">
        <v>171.15717394406144</v>
      </c>
      <c r="JW85" s="649">
        <v>319.26955780821288</v>
      </c>
      <c r="JX85" s="646">
        <v>828.45750933191061</v>
      </c>
      <c r="JY85" s="646">
        <v>12.707859355470678</v>
      </c>
      <c r="JZ85" s="646">
        <v>26.447289035114277</v>
      </c>
      <c r="KA85" s="646">
        <v>230.56988887237776</v>
      </c>
      <c r="KB85" s="646">
        <v>379.42385278390509</v>
      </c>
      <c r="KC85" s="646">
        <v>1812.5</v>
      </c>
      <c r="KD85" s="563" t="s">
        <v>67</v>
      </c>
      <c r="KE85" s="563">
        <v>6</v>
      </c>
      <c r="KF85" s="563">
        <v>2</v>
      </c>
      <c r="KG85" s="563">
        <v>8</v>
      </c>
      <c r="KH85" s="563">
        <v>51.645769171337641</v>
      </c>
      <c r="KI85" s="650">
        <v>2090.1647501170355</v>
      </c>
      <c r="KJ85" s="563">
        <v>2</v>
      </c>
      <c r="KK85" s="563">
        <v>8</v>
      </c>
      <c r="KL85" s="563">
        <v>76.614298207974599</v>
      </c>
      <c r="KM85" s="650">
        <v>2086.8486338718121</v>
      </c>
      <c r="KN85" s="564">
        <v>2086.8486338718121</v>
      </c>
      <c r="KO85" s="566">
        <v>195.36964445230231</v>
      </c>
    </row>
    <row r="86" spans="1:301" ht="15" customHeight="1">
      <c r="A86" s="802" t="s">
        <v>858</v>
      </c>
      <c r="B86" s="629" t="s">
        <v>382</v>
      </c>
      <c r="C86" s="629">
        <v>242</v>
      </c>
      <c r="D86" s="629">
        <v>723</v>
      </c>
      <c r="E86" s="629">
        <v>0</v>
      </c>
      <c r="F86" s="629">
        <v>0</v>
      </c>
      <c r="G86" s="629">
        <v>123</v>
      </c>
      <c r="H86" s="629">
        <v>98</v>
      </c>
      <c r="I86" s="629">
        <v>62</v>
      </c>
      <c r="J86" s="629">
        <v>38</v>
      </c>
      <c r="K86" s="629">
        <v>48</v>
      </c>
      <c r="L86" s="629">
        <v>10</v>
      </c>
      <c r="M86" s="629">
        <v>352.64014414632982</v>
      </c>
      <c r="N86" s="629">
        <v>5</v>
      </c>
      <c r="O86" s="623">
        <v>16.114103064767452</v>
      </c>
      <c r="P86" s="629">
        <v>5</v>
      </c>
      <c r="Q86" s="623">
        <v>8.9374132185526491</v>
      </c>
      <c r="R86" s="629">
        <v>13.000000000000002</v>
      </c>
      <c r="S86" s="629">
        <v>482.5</v>
      </c>
      <c r="T86" s="645">
        <v>18.659393600158488</v>
      </c>
      <c r="U86" s="645">
        <v>72.375</v>
      </c>
      <c r="V86" s="645">
        <v>10</v>
      </c>
      <c r="W86" s="793">
        <v>0.24221328230974959</v>
      </c>
      <c r="X86" s="646">
        <v>0</v>
      </c>
      <c r="Y86" s="646">
        <v>0</v>
      </c>
      <c r="Z86" s="646">
        <v>0</v>
      </c>
      <c r="AA86" s="646">
        <v>0</v>
      </c>
      <c r="AB86" s="647">
        <v>7.5775569524062121</v>
      </c>
      <c r="AC86" s="784">
        <v>4000</v>
      </c>
      <c r="AD86" s="631">
        <v>0</v>
      </c>
      <c r="AE86" s="631">
        <v>0</v>
      </c>
      <c r="AF86" s="631">
        <v>0</v>
      </c>
      <c r="AG86" s="631">
        <v>0</v>
      </c>
      <c r="AH86" s="629"/>
      <c r="AI86" s="648">
        <v>2.1144337007700504</v>
      </c>
      <c r="AJ86" s="649">
        <v>6.6437403157168546</v>
      </c>
      <c r="AK86" s="646">
        <v>50.596863481505196</v>
      </c>
      <c r="AL86" s="646">
        <v>0</v>
      </c>
      <c r="AM86" s="646">
        <v>0</v>
      </c>
      <c r="AN86" s="646">
        <v>40.507768518605502</v>
      </c>
      <c r="AO86" s="646">
        <v>2.9227278627557749</v>
      </c>
      <c r="AP86" s="801">
        <v>3600</v>
      </c>
      <c r="AQ86" s="563" t="s">
        <v>71</v>
      </c>
      <c r="AR86" s="563">
        <v>3</v>
      </c>
      <c r="AS86" s="563">
        <v>0</v>
      </c>
      <c r="AT86" s="563">
        <v>0</v>
      </c>
      <c r="AU86" s="563">
        <v>0</v>
      </c>
      <c r="AV86" s="650">
        <v>4852.2704563246589</v>
      </c>
      <c r="AW86" s="563">
        <v>0</v>
      </c>
      <c r="AX86" s="563">
        <v>0</v>
      </c>
      <c r="AY86" s="563">
        <v>0</v>
      </c>
      <c r="AZ86" s="650">
        <v>5166.8692075593817</v>
      </c>
      <c r="BA86" s="564">
        <v>4000</v>
      </c>
      <c r="BB86" s="565">
        <v>151.42476590302803</v>
      </c>
      <c r="BC86" s="649">
        <v>6.6437403157168546</v>
      </c>
      <c r="BD86" s="646">
        <v>50.596863481505196</v>
      </c>
      <c r="BE86" s="646">
        <v>0</v>
      </c>
      <c r="BF86" s="646">
        <v>0</v>
      </c>
      <c r="BG86" s="646">
        <v>40.507768518605502</v>
      </c>
      <c r="BH86" s="646">
        <v>2.9227278627557749</v>
      </c>
      <c r="BI86" s="646">
        <v>3600</v>
      </c>
      <c r="BJ86" s="563" t="s">
        <v>71</v>
      </c>
      <c r="BK86" s="563">
        <v>3</v>
      </c>
      <c r="BL86" s="563">
        <v>0</v>
      </c>
      <c r="BM86" s="563">
        <v>0</v>
      </c>
      <c r="BN86" s="563">
        <v>0</v>
      </c>
      <c r="BO86" s="650">
        <v>4852.2704563246589</v>
      </c>
      <c r="BP86" s="563">
        <v>0</v>
      </c>
      <c r="BQ86" s="563">
        <v>0</v>
      </c>
      <c r="BR86" s="563">
        <v>0</v>
      </c>
      <c r="BS86" s="650">
        <v>5166.8692075593817</v>
      </c>
      <c r="BT86" s="564">
        <v>4000</v>
      </c>
      <c r="BU86" s="565">
        <v>151.42476590302803</v>
      </c>
      <c r="BV86" s="649">
        <v>6.6437403157168546</v>
      </c>
      <c r="BW86" s="646">
        <v>50.596863481505196</v>
      </c>
      <c r="BX86" s="646">
        <v>0</v>
      </c>
      <c r="BY86" s="646">
        <v>0</v>
      </c>
      <c r="BZ86" s="646">
        <v>40.507768518605502</v>
      </c>
      <c r="CA86" s="646">
        <v>2.9227278627557749</v>
      </c>
      <c r="CB86" s="646">
        <v>3600</v>
      </c>
      <c r="CC86" s="563" t="s">
        <v>1584</v>
      </c>
      <c r="CD86" s="563">
        <v>3</v>
      </c>
      <c r="CE86" s="563">
        <v>0</v>
      </c>
      <c r="CF86" s="563">
        <v>0</v>
      </c>
      <c r="CG86" s="563">
        <v>0</v>
      </c>
      <c r="CH86" s="650">
        <v>4754.2346847908411</v>
      </c>
      <c r="CI86" s="563">
        <v>0</v>
      </c>
      <c r="CJ86" s="563">
        <v>0</v>
      </c>
      <c r="CK86" s="563">
        <v>0</v>
      </c>
      <c r="CL86" s="650">
        <v>5062.4772504875818</v>
      </c>
      <c r="CM86" s="564">
        <v>4000</v>
      </c>
      <c r="CN86" s="565">
        <v>151.42476590302803</v>
      </c>
      <c r="CO86" s="649">
        <v>6.6437403157168546</v>
      </c>
      <c r="CP86" s="646">
        <v>50.596863481505196</v>
      </c>
      <c r="CQ86" s="646">
        <v>0</v>
      </c>
      <c r="CR86" s="646">
        <v>0</v>
      </c>
      <c r="CS86" s="646">
        <v>40.507768518605502</v>
      </c>
      <c r="CT86" s="646">
        <v>2.9227278627557749</v>
      </c>
      <c r="CU86" s="646">
        <v>3600</v>
      </c>
      <c r="CV86" s="563" t="s">
        <v>1584</v>
      </c>
      <c r="CW86" s="563">
        <v>3</v>
      </c>
      <c r="CX86" s="563">
        <v>0</v>
      </c>
      <c r="CY86" s="563">
        <v>0</v>
      </c>
      <c r="CZ86" s="563">
        <v>0</v>
      </c>
      <c r="DA86" s="650">
        <v>4754.2346847908411</v>
      </c>
      <c r="DB86" s="563">
        <v>0</v>
      </c>
      <c r="DC86" s="563">
        <v>0</v>
      </c>
      <c r="DD86" s="563">
        <v>0</v>
      </c>
      <c r="DE86" s="650">
        <v>5062.4772504875818</v>
      </c>
      <c r="DF86" s="564">
        <v>4000</v>
      </c>
      <c r="DG86" s="565">
        <v>151.42476590302803</v>
      </c>
      <c r="DH86" s="649">
        <v>6.6437403157168546</v>
      </c>
      <c r="DI86" s="646">
        <v>50.596863481505196</v>
      </c>
      <c r="DJ86" s="646">
        <v>0</v>
      </c>
      <c r="DK86" s="646">
        <v>0</v>
      </c>
      <c r="DL86" s="646">
        <v>40.507768518605502</v>
      </c>
      <c r="DM86" s="646">
        <v>2.9227278627557749</v>
      </c>
      <c r="DN86" s="646">
        <v>3600</v>
      </c>
      <c r="DO86" s="563" t="s">
        <v>1588</v>
      </c>
      <c r="DP86" s="563">
        <v>3</v>
      </c>
      <c r="DQ86" s="563">
        <v>0</v>
      </c>
      <c r="DR86" s="563">
        <v>0</v>
      </c>
      <c r="DS86" s="563">
        <v>0</v>
      </c>
      <c r="DT86" s="650">
        <v>4948.3643484058412</v>
      </c>
      <c r="DU86" s="563">
        <v>0</v>
      </c>
      <c r="DV86" s="563">
        <v>0</v>
      </c>
      <c r="DW86" s="563">
        <v>0</v>
      </c>
      <c r="DX86" s="650">
        <v>5269.1933827053936</v>
      </c>
      <c r="DY86" s="564">
        <v>4000</v>
      </c>
      <c r="DZ86" s="565">
        <v>151.42476590302803</v>
      </c>
      <c r="EA86" s="649">
        <v>6.6437403157168546</v>
      </c>
      <c r="EB86" s="646">
        <v>50.596863481505196</v>
      </c>
      <c r="EC86" s="646">
        <v>0</v>
      </c>
      <c r="ED86" s="646">
        <v>0</v>
      </c>
      <c r="EE86" s="646">
        <v>40.507768518605502</v>
      </c>
      <c r="EF86" s="646">
        <v>2.9227278627557749</v>
      </c>
      <c r="EG86" s="646">
        <v>3600</v>
      </c>
      <c r="EH86" s="563" t="s">
        <v>1588</v>
      </c>
      <c r="EI86" s="563">
        <v>3</v>
      </c>
      <c r="EJ86" s="563">
        <v>0</v>
      </c>
      <c r="EK86" s="563">
        <v>0</v>
      </c>
      <c r="EL86" s="563">
        <v>0</v>
      </c>
      <c r="EM86" s="650">
        <v>4948.3643484058412</v>
      </c>
      <c r="EN86" s="563">
        <v>0</v>
      </c>
      <c r="EO86" s="563">
        <v>0</v>
      </c>
      <c r="EP86" s="563">
        <v>0</v>
      </c>
      <c r="EQ86" s="650">
        <v>5269.1933827053936</v>
      </c>
      <c r="ER86" s="564">
        <v>4000</v>
      </c>
      <c r="ES86" s="565">
        <v>151.42476590302803</v>
      </c>
      <c r="ET86" s="649">
        <v>6.6437403157168546</v>
      </c>
      <c r="EU86" s="646">
        <v>50.596863481505196</v>
      </c>
      <c r="EV86" s="646">
        <v>0</v>
      </c>
      <c r="EW86" s="646">
        <v>0</v>
      </c>
      <c r="EX86" s="646">
        <v>40.507768518605502</v>
      </c>
      <c r="EY86" s="646">
        <v>2.9227278627557749</v>
      </c>
      <c r="EZ86" s="646">
        <v>3600</v>
      </c>
      <c r="FA86" s="563" t="s">
        <v>1589</v>
      </c>
      <c r="FB86" s="563">
        <v>3</v>
      </c>
      <c r="FC86" s="563">
        <v>0</v>
      </c>
      <c r="FD86" s="563">
        <v>0</v>
      </c>
      <c r="FE86" s="563">
        <v>0</v>
      </c>
      <c r="FF86" s="650">
        <v>5270.9148850990659</v>
      </c>
      <c r="FG86" s="563">
        <v>0</v>
      </c>
      <c r="FH86" s="563">
        <v>0</v>
      </c>
      <c r="FI86" s="563">
        <v>0</v>
      </c>
      <c r="FJ86" s="650">
        <v>5612.6566028459156</v>
      </c>
      <c r="FK86" s="564">
        <v>4000</v>
      </c>
      <c r="FL86" s="565">
        <v>151.42476590302803</v>
      </c>
      <c r="FM86" s="649">
        <v>6.6437403157168546</v>
      </c>
      <c r="FN86" s="646">
        <v>50.596863481505196</v>
      </c>
      <c r="FO86" s="646">
        <v>0</v>
      </c>
      <c r="FP86" s="646">
        <v>0</v>
      </c>
      <c r="FQ86" s="646">
        <v>40.507768518605502</v>
      </c>
      <c r="FR86" s="646">
        <v>2.9227278627557749</v>
      </c>
      <c r="FS86" s="646">
        <v>3600</v>
      </c>
      <c r="FT86" s="563" t="s">
        <v>1589</v>
      </c>
      <c r="FU86" s="563">
        <v>3</v>
      </c>
      <c r="FV86" s="563">
        <v>0</v>
      </c>
      <c r="FW86" s="563">
        <v>0</v>
      </c>
      <c r="FX86" s="563">
        <v>0</v>
      </c>
      <c r="FY86" s="650">
        <v>5270.9148850990659</v>
      </c>
      <c r="FZ86" s="563">
        <v>0</v>
      </c>
      <c r="GA86" s="563">
        <v>0</v>
      </c>
      <c r="GB86" s="563">
        <v>0</v>
      </c>
      <c r="GC86" s="650">
        <v>5612.6566028459156</v>
      </c>
      <c r="GD86" s="564">
        <v>4000</v>
      </c>
      <c r="GE86" s="565">
        <v>151.42476590302803</v>
      </c>
      <c r="GF86" s="649">
        <v>6.6437403157168546</v>
      </c>
      <c r="GG86" s="646">
        <v>50.596863481505196</v>
      </c>
      <c r="GH86" s="646">
        <v>0</v>
      </c>
      <c r="GI86" s="646">
        <v>0</v>
      </c>
      <c r="GJ86" s="646">
        <v>40.507768518605502</v>
      </c>
      <c r="GK86" s="646">
        <v>2.9227278627557749</v>
      </c>
      <c r="GL86" s="646">
        <v>3600</v>
      </c>
      <c r="GM86" s="563" t="s">
        <v>1587</v>
      </c>
      <c r="GN86" s="563">
        <v>3</v>
      </c>
      <c r="GO86" s="563">
        <v>0</v>
      </c>
      <c r="GP86" s="563">
        <v>0</v>
      </c>
      <c r="GQ86" s="563">
        <v>0</v>
      </c>
      <c r="GR86" s="650">
        <v>6510.0039513335159</v>
      </c>
      <c r="GS86" s="563">
        <v>0</v>
      </c>
      <c r="GT86" s="563">
        <v>0</v>
      </c>
      <c r="GU86" s="563">
        <v>0</v>
      </c>
      <c r="GV86" s="650">
        <v>6932.082467371949</v>
      </c>
      <c r="GW86" s="564">
        <v>4000</v>
      </c>
      <c r="GX86" s="565">
        <v>151.42476590302803</v>
      </c>
      <c r="GY86" s="649">
        <v>6.6437403157168546</v>
      </c>
      <c r="GZ86" s="646">
        <v>50.596863481505196</v>
      </c>
      <c r="HA86" s="646">
        <v>0</v>
      </c>
      <c r="HB86" s="646">
        <v>0</v>
      </c>
      <c r="HC86" s="646">
        <v>40.507768518605502</v>
      </c>
      <c r="HD86" s="646">
        <v>2.9227278627557749</v>
      </c>
      <c r="HE86" s="646">
        <v>3600</v>
      </c>
      <c r="HF86" s="563" t="s">
        <v>1587</v>
      </c>
      <c r="HG86" s="563">
        <v>3</v>
      </c>
      <c r="HH86" s="563">
        <v>0</v>
      </c>
      <c r="HI86" s="563">
        <v>0</v>
      </c>
      <c r="HJ86" s="563">
        <v>0</v>
      </c>
      <c r="HK86" s="650">
        <v>6510.0039513335159</v>
      </c>
      <c r="HL86" s="563">
        <v>0</v>
      </c>
      <c r="HM86" s="563">
        <v>0</v>
      </c>
      <c r="HN86" s="563">
        <v>0</v>
      </c>
      <c r="HO86" s="650">
        <v>6932.082467371949</v>
      </c>
      <c r="HP86" s="564">
        <v>4000</v>
      </c>
      <c r="HQ86" s="565">
        <v>151.42476590302803</v>
      </c>
      <c r="HR86" s="649">
        <v>6.6437403157168546</v>
      </c>
      <c r="HS86" s="646">
        <v>50.596863481505196</v>
      </c>
      <c r="HT86" s="646">
        <v>0</v>
      </c>
      <c r="HU86" s="646">
        <v>0</v>
      </c>
      <c r="HV86" s="646">
        <v>40.507768518605502</v>
      </c>
      <c r="HW86" s="646">
        <v>2.9227278627557749</v>
      </c>
      <c r="HX86" s="646">
        <v>3600</v>
      </c>
      <c r="HY86" s="563" t="s">
        <v>68</v>
      </c>
      <c r="HZ86" s="563">
        <v>3</v>
      </c>
      <c r="IA86" s="563">
        <v>0</v>
      </c>
      <c r="IB86" s="563">
        <v>0</v>
      </c>
      <c r="IC86" s="563">
        <v>0</v>
      </c>
      <c r="ID86" s="650">
        <v>5741.2838297587723</v>
      </c>
      <c r="IE86" s="563">
        <v>0</v>
      </c>
      <c r="IF86" s="563">
        <v>0</v>
      </c>
      <c r="IG86" s="563">
        <v>0</v>
      </c>
      <c r="IH86" s="650">
        <v>6113.5220921523978</v>
      </c>
      <c r="II86" s="564">
        <v>4000</v>
      </c>
      <c r="IJ86" s="565">
        <v>151.42476590302803</v>
      </c>
      <c r="IK86" s="649">
        <v>6.6437403157168546</v>
      </c>
      <c r="IL86" s="646">
        <v>50.596863481505196</v>
      </c>
      <c r="IM86" s="646">
        <v>0</v>
      </c>
      <c r="IN86" s="646">
        <v>0</v>
      </c>
      <c r="IO86" s="646">
        <v>40.507768518605502</v>
      </c>
      <c r="IP86" s="646">
        <v>2.9227278627557749</v>
      </c>
      <c r="IQ86" s="646">
        <v>3600</v>
      </c>
      <c r="IR86" s="563" t="s">
        <v>68</v>
      </c>
      <c r="IS86" s="563">
        <v>3</v>
      </c>
      <c r="IT86" s="563">
        <v>0</v>
      </c>
      <c r="IU86" s="563">
        <v>0</v>
      </c>
      <c r="IV86" s="563">
        <v>0</v>
      </c>
      <c r="IW86" s="650">
        <v>5741.2838297587723</v>
      </c>
      <c r="IX86" s="563">
        <v>0</v>
      </c>
      <c r="IY86" s="563">
        <v>0</v>
      </c>
      <c r="IZ86" s="563">
        <v>0</v>
      </c>
      <c r="JA86" s="650">
        <v>6113.5220921523978</v>
      </c>
      <c r="JB86" s="564">
        <v>4000</v>
      </c>
      <c r="JC86" s="565">
        <v>151.42476590302803</v>
      </c>
      <c r="JD86" s="649">
        <v>6.6437403157168546</v>
      </c>
      <c r="JE86" s="646">
        <v>50.596863481505196</v>
      </c>
      <c r="JF86" s="646">
        <v>0</v>
      </c>
      <c r="JG86" s="646">
        <v>0</v>
      </c>
      <c r="JH86" s="646">
        <v>40.507768518605502</v>
      </c>
      <c r="JI86" s="646">
        <v>2.9227278627557749</v>
      </c>
      <c r="JJ86" s="646">
        <v>3600</v>
      </c>
      <c r="JK86" s="563" t="s">
        <v>67</v>
      </c>
      <c r="JL86" s="563">
        <v>3</v>
      </c>
      <c r="JM86" s="563">
        <v>0</v>
      </c>
      <c r="JN86" s="563">
        <v>0</v>
      </c>
      <c r="JO86" s="563">
        <v>0</v>
      </c>
      <c r="JP86" s="650">
        <v>7824.0510166687245</v>
      </c>
      <c r="JQ86" s="563">
        <v>0</v>
      </c>
      <c r="JR86" s="563">
        <v>0</v>
      </c>
      <c r="JS86" s="563">
        <v>0</v>
      </c>
      <c r="JT86" s="650">
        <v>8331.3262606181615</v>
      </c>
      <c r="JU86" s="564">
        <v>4000</v>
      </c>
      <c r="JV86" s="565">
        <v>151.42476590302803</v>
      </c>
      <c r="JW86" s="649">
        <v>6.6437403157168546</v>
      </c>
      <c r="JX86" s="646">
        <v>50.596863481505196</v>
      </c>
      <c r="JY86" s="646">
        <v>0</v>
      </c>
      <c r="JZ86" s="646">
        <v>0</v>
      </c>
      <c r="KA86" s="646">
        <v>40.507768518605502</v>
      </c>
      <c r="KB86" s="646">
        <v>2.9227278627557749</v>
      </c>
      <c r="KC86" s="646">
        <v>3600</v>
      </c>
      <c r="KD86" s="563" t="s">
        <v>67</v>
      </c>
      <c r="KE86" s="563">
        <v>3</v>
      </c>
      <c r="KF86" s="563">
        <v>0</v>
      </c>
      <c r="KG86" s="563">
        <v>0</v>
      </c>
      <c r="KH86" s="563">
        <v>0</v>
      </c>
      <c r="KI86" s="650">
        <v>7824.0510166687245</v>
      </c>
      <c r="KJ86" s="563">
        <v>0</v>
      </c>
      <c r="KK86" s="563">
        <v>0</v>
      </c>
      <c r="KL86" s="563">
        <v>0</v>
      </c>
      <c r="KM86" s="650">
        <v>8331.3262606181615</v>
      </c>
      <c r="KN86" s="564">
        <v>4000</v>
      </c>
      <c r="KO86" s="566">
        <v>151.42476590302803</v>
      </c>
    </row>
    <row r="87" spans="1:301" ht="15" customHeight="1">
      <c r="A87" s="802" t="s">
        <v>859</v>
      </c>
      <c r="B87" s="629" t="s">
        <v>382</v>
      </c>
      <c r="C87" s="629">
        <v>236</v>
      </c>
      <c r="D87" s="629">
        <v>842</v>
      </c>
      <c r="E87" s="629">
        <v>0</v>
      </c>
      <c r="F87" s="629">
        <v>0</v>
      </c>
      <c r="G87" s="629">
        <v>113</v>
      </c>
      <c r="H87" s="629">
        <v>88</v>
      </c>
      <c r="I87" s="629">
        <v>62</v>
      </c>
      <c r="J87" s="629">
        <v>42</v>
      </c>
      <c r="K87" s="629">
        <v>52</v>
      </c>
      <c r="L87" s="629">
        <v>8</v>
      </c>
      <c r="M87" s="629">
        <v>414.30022071287436</v>
      </c>
      <c r="N87" s="629">
        <v>5</v>
      </c>
      <c r="O87" s="623">
        <v>21.85514667296016</v>
      </c>
      <c r="P87" s="629">
        <v>5</v>
      </c>
      <c r="Q87" s="623">
        <v>12.89929127469585</v>
      </c>
      <c r="R87" s="629">
        <v>14</v>
      </c>
      <c r="S87" s="629">
        <v>539</v>
      </c>
      <c r="T87" s="645">
        <v>25.07639511514007</v>
      </c>
      <c r="U87" s="645">
        <v>80.849999999999994</v>
      </c>
      <c r="V87" s="645">
        <v>10</v>
      </c>
      <c r="W87" s="793">
        <v>0.30226011969142047</v>
      </c>
      <c r="X87" s="646">
        <v>0</v>
      </c>
      <c r="Y87" s="646">
        <v>0</v>
      </c>
      <c r="Z87" s="646">
        <v>0</v>
      </c>
      <c r="AA87" s="646">
        <v>0</v>
      </c>
      <c r="AB87" s="647">
        <v>8.8366586382443373</v>
      </c>
      <c r="AC87" s="784">
        <v>4000</v>
      </c>
      <c r="AD87" s="631">
        <v>0</v>
      </c>
      <c r="AE87" s="631">
        <v>0</v>
      </c>
      <c r="AF87" s="631">
        <v>0</v>
      </c>
      <c r="AG87" s="631">
        <v>0</v>
      </c>
      <c r="AH87" s="629"/>
      <c r="AI87" s="648">
        <v>2.6369492866979147</v>
      </c>
      <c r="AJ87" s="649">
        <v>5.8540621186729158</v>
      </c>
      <c r="AK87" s="646">
        <v>65.987155301160414</v>
      </c>
      <c r="AL87" s="646">
        <v>0</v>
      </c>
      <c r="AM87" s="646">
        <v>0</v>
      </c>
      <c r="AN87" s="646">
        <v>36.221078543618447</v>
      </c>
      <c r="AO87" s="646">
        <v>5.0185933588059939</v>
      </c>
      <c r="AP87" s="801">
        <v>3600</v>
      </c>
      <c r="AQ87" s="563" t="s">
        <v>71</v>
      </c>
      <c r="AR87" s="563">
        <v>3</v>
      </c>
      <c r="AS87" s="563">
        <v>0</v>
      </c>
      <c r="AT87" s="563">
        <v>0</v>
      </c>
      <c r="AU87" s="563">
        <v>0</v>
      </c>
      <c r="AV87" s="650">
        <v>5709.6629267039361</v>
      </c>
      <c r="AW87" s="563">
        <v>0</v>
      </c>
      <c r="AX87" s="563">
        <v>0</v>
      </c>
      <c r="AY87" s="563">
        <v>0</v>
      </c>
      <c r="AZ87" s="650">
        <v>4991.4305091221713</v>
      </c>
      <c r="BA87" s="564">
        <v>4000</v>
      </c>
      <c r="BB87" s="565">
        <v>176.34806762150706</v>
      </c>
      <c r="BC87" s="649">
        <v>5.8540621186729158</v>
      </c>
      <c r="BD87" s="646">
        <v>65.987155301160414</v>
      </c>
      <c r="BE87" s="646">
        <v>0</v>
      </c>
      <c r="BF87" s="646">
        <v>0</v>
      </c>
      <c r="BG87" s="646">
        <v>36.221078543618447</v>
      </c>
      <c r="BH87" s="646">
        <v>5.0185933588059939</v>
      </c>
      <c r="BI87" s="646">
        <v>3600</v>
      </c>
      <c r="BJ87" s="563" t="s">
        <v>71</v>
      </c>
      <c r="BK87" s="563">
        <v>3</v>
      </c>
      <c r="BL87" s="563">
        <v>0</v>
      </c>
      <c r="BM87" s="563">
        <v>0</v>
      </c>
      <c r="BN87" s="563">
        <v>0</v>
      </c>
      <c r="BO87" s="650">
        <v>5709.6629267039361</v>
      </c>
      <c r="BP87" s="563">
        <v>0</v>
      </c>
      <c r="BQ87" s="563">
        <v>0</v>
      </c>
      <c r="BR87" s="563">
        <v>0</v>
      </c>
      <c r="BS87" s="650">
        <v>4991.4305091221713</v>
      </c>
      <c r="BT87" s="564">
        <v>4000</v>
      </c>
      <c r="BU87" s="565">
        <v>176.34806762150706</v>
      </c>
      <c r="BV87" s="649">
        <v>5.8540621186729158</v>
      </c>
      <c r="BW87" s="646">
        <v>65.987155301160414</v>
      </c>
      <c r="BX87" s="646">
        <v>0</v>
      </c>
      <c r="BY87" s="646">
        <v>0</v>
      </c>
      <c r="BZ87" s="646">
        <v>36.221078543618447</v>
      </c>
      <c r="CA87" s="646">
        <v>5.0185933588059939</v>
      </c>
      <c r="CB87" s="646">
        <v>3600</v>
      </c>
      <c r="CC87" s="563" t="s">
        <v>1584</v>
      </c>
      <c r="CD87" s="563">
        <v>3</v>
      </c>
      <c r="CE87" s="563">
        <v>0</v>
      </c>
      <c r="CF87" s="563">
        <v>0</v>
      </c>
      <c r="CG87" s="563">
        <v>0</v>
      </c>
      <c r="CH87" s="650">
        <v>5594.3043094842697</v>
      </c>
      <c r="CI87" s="563">
        <v>0</v>
      </c>
      <c r="CJ87" s="563">
        <v>0</v>
      </c>
      <c r="CK87" s="563">
        <v>0</v>
      </c>
      <c r="CL87" s="650">
        <v>4890.5831335639105</v>
      </c>
      <c r="CM87" s="564">
        <v>4000</v>
      </c>
      <c r="CN87" s="565">
        <v>176.34806762150706</v>
      </c>
      <c r="CO87" s="649">
        <v>5.8540621186729158</v>
      </c>
      <c r="CP87" s="646">
        <v>65.987155301160414</v>
      </c>
      <c r="CQ87" s="646">
        <v>0</v>
      </c>
      <c r="CR87" s="646">
        <v>0</v>
      </c>
      <c r="CS87" s="646">
        <v>36.221078543618447</v>
      </c>
      <c r="CT87" s="646">
        <v>5.0185933588059939</v>
      </c>
      <c r="CU87" s="646">
        <v>3600</v>
      </c>
      <c r="CV87" s="563" t="s">
        <v>1584</v>
      </c>
      <c r="CW87" s="563">
        <v>3</v>
      </c>
      <c r="CX87" s="563">
        <v>0</v>
      </c>
      <c r="CY87" s="563">
        <v>0</v>
      </c>
      <c r="CZ87" s="563">
        <v>0</v>
      </c>
      <c r="DA87" s="650">
        <v>5594.3043094842697</v>
      </c>
      <c r="DB87" s="563">
        <v>0</v>
      </c>
      <c r="DC87" s="563">
        <v>0</v>
      </c>
      <c r="DD87" s="563">
        <v>0</v>
      </c>
      <c r="DE87" s="650">
        <v>4890.5831335639105</v>
      </c>
      <c r="DF87" s="564">
        <v>4000</v>
      </c>
      <c r="DG87" s="565">
        <v>176.34806762150706</v>
      </c>
      <c r="DH87" s="649">
        <v>5.8540621186729158</v>
      </c>
      <c r="DI87" s="646">
        <v>65.987155301160414</v>
      </c>
      <c r="DJ87" s="646">
        <v>0</v>
      </c>
      <c r="DK87" s="646">
        <v>0</v>
      </c>
      <c r="DL87" s="646">
        <v>36.221078543618447</v>
      </c>
      <c r="DM87" s="646">
        <v>5.0185933588059939</v>
      </c>
      <c r="DN87" s="646">
        <v>3600</v>
      </c>
      <c r="DO87" s="563" t="s">
        <v>1588</v>
      </c>
      <c r="DP87" s="563">
        <v>3</v>
      </c>
      <c r="DQ87" s="563">
        <v>0</v>
      </c>
      <c r="DR87" s="563">
        <v>0</v>
      </c>
      <c r="DS87" s="563">
        <v>0</v>
      </c>
      <c r="DT87" s="650">
        <v>5822.736535860131</v>
      </c>
      <c r="DU87" s="563">
        <v>0</v>
      </c>
      <c r="DV87" s="563">
        <v>0</v>
      </c>
      <c r="DW87" s="563">
        <v>0</v>
      </c>
      <c r="DX87" s="650">
        <v>5090.2803133512652</v>
      </c>
      <c r="DY87" s="564">
        <v>4000</v>
      </c>
      <c r="DZ87" s="565">
        <v>176.34806762150706</v>
      </c>
      <c r="EA87" s="649">
        <v>5.8540621186729158</v>
      </c>
      <c r="EB87" s="646">
        <v>65.987155301160414</v>
      </c>
      <c r="EC87" s="646">
        <v>0</v>
      </c>
      <c r="ED87" s="646">
        <v>0</v>
      </c>
      <c r="EE87" s="646">
        <v>36.221078543618447</v>
      </c>
      <c r="EF87" s="646">
        <v>5.0185933588059939</v>
      </c>
      <c r="EG87" s="646">
        <v>3600</v>
      </c>
      <c r="EH87" s="563" t="s">
        <v>1588</v>
      </c>
      <c r="EI87" s="563">
        <v>3</v>
      </c>
      <c r="EJ87" s="563">
        <v>0</v>
      </c>
      <c r="EK87" s="563">
        <v>0</v>
      </c>
      <c r="EL87" s="563">
        <v>0</v>
      </c>
      <c r="EM87" s="650">
        <v>5822.736535860131</v>
      </c>
      <c r="EN87" s="563">
        <v>0</v>
      </c>
      <c r="EO87" s="563">
        <v>0</v>
      </c>
      <c r="EP87" s="563">
        <v>0</v>
      </c>
      <c r="EQ87" s="650">
        <v>5090.2803133512652</v>
      </c>
      <c r="ER87" s="564">
        <v>4000</v>
      </c>
      <c r="ES87" s="565">
        <v>176.34806762150706</v>
      </c>
      <c r="ET87" s="649">
        <v>5.8540621186729158</v>
      </c>
      <c r="EU87" s="646">
        <v>65.987155301160414</v>
      </c>
      <c r="EV87" s="646">
        <v>0</v>
      </c>
      <c r="EW87" s="646">
        <v>0</v>
      </c>
      <c r="EX87" s="646">
        <v>36.221078543618447</v>
      </c>
      <c r="EY87" s="646">
        <v>5.0185933588059939</v>
      </c>
      <c r="EZ87" s="646">
        <v>3600</v>
      </c>
      <c r="FA87" s="563" t="s">
        <v>1589</v>
      </c>
      <c r="FB87" s="563">
        <v>3</v>
      </c>
      <c r="FC87" s="563">
        <v>0</v>
      </c>
      <c r="FD87" s="563">
        <v>0</v>
      </c>
      <c r="FE87" s="563">
        <v>0</v>
      </c>
      <c r="FF87" s="650">
        <v>6202.2815051528642</v>
      </c>
      <c r="FG87" s="563">
        <v>0</v>
      </c>
      <c r="FH87" s="563">
        <v>0</v>
      </c>
      <c r="FI87" s="563">
        <v>0</v>
      </c>
      <c r="FJ87" s="650">
        <v>5422.0813957673899</v>
      </c>
      <c r="FK87" s="564">
        <v>4000</v>
      </c>
      <c r="FL87" s="565">
        <v>176.34806762150706</v>
      </c>
      <c r="FM87" s="649">
        <v>5.8540621186729158</v>
      </c>
      <c r="FN87" s="646">
        <v>65.987155301160414</v>
      </c>
      <c r="FO87" s="646">
        <v>0</v>
      </c>
      <c r="FP87" s="646">
        <v>0</v>
      </c>
      <c r="FQ87" s="646">
        <v>36.221078543618447</v>
      </c>
      <c r="FR87" s="646">
        <v>5.0185933588059939</v>
      </c>
      <c r="FS87" s="646">
        <v>3600</v>
      </c>
      <c r="FT87" s="563" t="s">
        <v>1589</v>
      </c>
      <c r="FU87" s="563">
        <v>3</v>
      </c>
      <c r="FV87" s="563">
        <v>0</v>
      </c>
      <c r="FW87" s="563">
        <v>0</v>
      </c>
      <c r="FX87" s="563">
        <v>0</v>
      </c>
      <c r="FY87" s="650">
        <v>6202.2815051528642</v>
      </c>
      <c r="FZ87" s="563">
        <v>0</v>
      </c>
      <c r="GA87" s="563">
        <v>0</v>
      </c>
      <c r="GB87" s="563">
        <v>0</v>
      </c>
      <c r="GC87" s="650">
        <v>5422.0813957673899</v>
      </c>
      <c r="GD87" s="564">
        <v>4000</v>
      </c>
      <c r="GE87" s="565">
        <v>176.34806762150706</v>
      </c>
      <c r="GF87" s="649">
        <v>5.8540621186729158</v>
      </c>
      <c r="GG87" s="646">
        <v>65.987155301160414</v>
      </c>
      <c r="GH87" s="646">
        <v>0</v>
      </c>
      <c r="GI87" s="646">
        <v>0</v>
      </c>
      <c r="GJ87" s="646">
        <v>36.221078543618447</v>
      </c>
      <c r="GK87" s="646">
        <v>5.0185933588059939</v>
      </c>
      <c r="GL87" s="646">
        <v>3600</v>
      </c>
      <c r="GM87" s="563" t="s">
        <v>1587</v>
      </c>
      <c r="GN87" s="563">
        <v>3</v>
      </c>
      <c r="GO87" s="563">
        <v>0</v>
      </c>
      <c r="GP87" s="563">
        <v>0</v>
      </c>
      <c r="GQ87" s="563">
        <v>0</v>
      </c>
      <c r="GR87" s="650">
        <v>7660.3166596322399</v>
      </c>
      <c r="GS87" s="563">
        <v>0</v>
      </c>
      <c r="GT87" s="563">
        <v>0</v>
      </c>
      <c r="GU87" s="563">
        <v>0</v>
      </c>
      <c r="GV87" s="650">
        <v>6696.7067540181361</v>
      </c>
      <c r="GW87" s="564">
        <v>4000</v>
      </c>
      <c r="GX87" s="565">
        <v>176.34806762150706</v>
      </c>
      <c r="GY87" s="649">
        <v>5.8540621186729158</v>
      </c>
      <c r="GZ87" s="646">
        <v>65.987155301160414</v>
      </c>
      <c r="HA87" s="646">
        <v>0</v>
      </c>
      <c r="HB87" s="646">
        <v>0</v>
      </c>
      <c r="HC87" s="646">
        <v>36.221078543618447</v>
      </c>
      <c r="HD87" s="646">
        <v>5.0185933588059939</v>
      </c>
      <c r="HE87" s="646">
        <v>3600</v>
      </c>
      <c r="HF87" s="563" t="s">
        <v>1587</v>
      </c>
      <c r="HG87" s="563">
        <v>3</v>
      </c>
      <c r="HH87" s="563">
        <v>0</v>
      </c>
      <c r="HI87" s="563">
        <v>0</v>
      </c>
      <c r="HJ87" s="563">
        <v>0</v>
      </c>
      <c r="HK87" s="650">
        <v>7660.3166596322399</v>
      </c>
      <c r="HL87" s="563">
        <v>0</v>
      </c>
      <c r="HM87" s="563">
        <v>0</v>
      </c>
      <c r="HN87" s="563">
        <v>0</v>
      </c>
      <c r="HO87" s="650">
        <v>6696.7067540181361</v>
      </c>
      <c r="HP87" s="564">
        <v>4000</v>
      </c>
      <c r="HQ87" s="565">
        <v>176.34806762150706</v>
      </c>
      <c r="HR87" s="649">
        <v>5.8540621186729158</v>
      </c>
      <c r="HS87" s="646">
        <v>65.987155301160414</v>
      </c>
      <c r="HT87" s="646">
        <v>0</v>
      </c>
      <c r="HU87" s="646">
        <v>0</v>
      </c>
      <c r="HV87" s="646">
        <v>36.221078543618447</v>
      </c>
      <c r="HW87" s="646">
        <v>5.0185933588059939</v>
      </c>
      <c r="HX87" s="646">
        <v>3600</v>
      </c>
      <c r="HY87" s="563" t="s">
        <v>68</v>
      </c>
      <c r="HZ87" s="563">
        <v>3</v>
      </c>
      <c r="IA87" s="563">
        <v>0</v>
      </c>
      <c r="IB87" s="563">
        <v>0</v>
      </c>
      <c r="IC87" s="563">
        <v>0</v>
      </c>
      <c r="ID87" s="650">
        <v>6755.7642817973083</v>
      </c>
      <c r="IE87" s="563">
        <v>0</v>
      </c>
      <c r="IF87" s="563">
        <v>0</v>
      </c>
      <c r="IG87" s="563">
        <v>0</v>
      </c>
      <c r="IH87" s="650">
        <v>5905.9402247528606</v>
      </c>
      <c r="II87" s="564">
        <v>4000</v>
      </c>
      <c r="IJ87" s="565">
        <v>176.34806762150706</v>
      </c>
      <c r="IK87" s="649">
        <v>5.8540621186729158</v>
      </c>
      <c r="IL87" s="646">
        <v>65.987155301160414</v>
      </c>
      <c r="IM87" s="646">
        <v>0</v>
      </c>
      <c r="IN87" s="646">
        <v>0</v>
      </c>
      <c r="IO87" s="646">
        <v>36.221078543618447</v>
      </c>
      <c r="IP87" s="646">
        <v>5.0185933588059939</v>
      </c>
      <c r="IQ87" s="646">
        <v>3600</v>
      </c>
      <c r="IR87" s="563" t="s">
        <v>68</v>
      </c>
      <c r="IS87" s="563">
        <v>3</v>
      </c>
      <c r="IT87" s="563">
        <v>0</v>
      </c>
      <c r="IU87" s="563">
        <v>0</v>
      </c>
      <c r="IV87" s="563">
        <v>0</v>
      </c>
      <c r="IW87" s="650">
        <v>6755.7642817973083</v>
      </c>
      <c r="IX87" s="563">
        <v>0</v>
      </c>
      <c r="IY87" s="563">
        <v>0</v>
      </c>
      <c r="IZ87" s="563">
        <v>0</v>
      </c>
      <c r="JA87" s="650">
        <v>5905.9402247528606</v>
      </c>
      <c r="JB87" s="564">
        <v>4000</v>
      </c>
      <c r="JC87" s="565">
        <v>176.34806762150706</v>
      </c>
      <c r="JD87" s="649">
        <v>5.8540621186729158</v>
      </c>
      <c r="JE87" s="646">
        <v>65.987155301160414</v>
      </c>
      <c r="JF87" s="646">
        <v>0</v>
      </c>
      <c r="JG87" s="646">
        <v>0</v>
      </c>
      <c r="JH87" s="646">
        <v>36.221078543618447</v>
      </c>
      <c r="JI87" s="646">
        <v>5.0185933588059939</v>
      </c>
      <c r="JJ87" s="646">
        <v>3600</v>
      </c>
      <c r="JK87" s="563" t="s">
        <v>67</v>
      </c>
      <c r="JL87" s="563">
        <v>3</v>
      </c>
      <c r="JM87" s="563">
        <v>0</v>
      </c>
      <c r="JN87" s="563">
        <v>0</v>
      </c>
      <c r="JO87" s="563">
        <v>0</v>
      </c>
      <c r="JP87" s="650">
        <v>9206.5548341983558</v>
      </c>
      <c r="JQ87" s="563">
        <v>0</v>
      </c>
      <c r="JR87" s="563">
        <v>0</v>
      </c>
      <c r="JS87" s="563">
        <v>0</v>
      </c>
      <c r="JT87" s="650">
        <v>8048.4398594528002</v>
      </c>
      <c r="JU87" s="564">
        <v>4000</v>
      </c>
      <c r="JV87" s="565">
        <v>176.34806762150706</v>
      </c>
      <c r="JW87" s="649">
        <v>5.8540621186729158</v>
      </c>
      <c r="JX87" s="646">
        <v>65.987155301160414</v>
      </c>
      <c r="JY87" s="646">
        <v>0</v>
      </c>
      <c r="JZ87" s="646">
        <v>0</v>
      </c>
      <c r="KA87" s="646">
        <v>36.221078543618447</v>
      </c>
      <c r="KB87" s="646">
        <v>5.0185933588059939</v>
      </c>
      <c r="KC87" s="646">
        <v>3600</v>
      </c>
      <c r="KD87" s="563" t="s">
        <v>67</v>
      </c>
      <c r="KE87" s="563">
        <v>3</v>
      </c>
      <c r="KF87" s="563">
        <v>0</v>
      </c>
      <c r="KG87" s="563">
        <v>0</v>
      </c>
      <c r="KH87" s="563">
        <v>0</v>
      </c>
      <c r="KI87" s="650">
        <v>9206.5548341983558</v>
      </c>
      <c r="KJ87" s="563">
        <v>0</v>
      </c>
      <c r="KK87" s="563">
        <v>0</v>
      </c>
      <c r="KL87" s="563">
        <v>0</v>
      </c>
      <c r="KM87" s="650">
        <v>8048.4398594528002</v>
      </c>
      <c r="KN87" s="564">
        <v>4000</v>
      </c>
      <c r="KO87" s="566">
        <v>176.34806762150706</v>
      </c>
    </row>
    <row r="88" spans="1:301" ht="15" customHeight="1">
      <c r="A88" s="802" t="s">
        <v>999</v>
      </c>
      <c r="B88" s="629" t="s">
        <v>382</v>
      </c>
      <c r="C88" s="629">
        <v>271.87541298516823</v>
      </c>
      <c r="D88" s="629">
        <v>903</v>
      </c>
      <c r="E88" s="629">
        <v>280</v>
      </c>
      <c r="F88" s="629">
        <v>218.16039433791846</v>
      </c>
      <c r="G88" s="629">
        <v>117.66728438727455</v>
      </c>
      <c r="H88" s="629">
        <v>96.251856522057722</v>
      </c>
      <c r="I88" s="629">
        <v>64</v>
      </c>
      <c r="J88" s="629">
        <v>44.359661470256277</v>
      </c>
      <c r="K88" s="629">
        <v>69.755891651842049</v>
      </c>
      <c r="L88" s="629">
        <v>12</v>
      </c>
      <c r="M88" s="629">
        <v>382.45188175877689</v>
      </c>
      <c r="N88" s="629">
        <v>6</v>
      </c>
      <c r="O88" s="623">
        <v>27.263623756848069</v>
      </c>
      <c r="P88" s="629">
        <v>6</v>
      </c>
      <c r="Q88" s="623">
        <v>18.538994945085946</v>
      </c>
      <c r="R88" s="629">
        <v>18.000000000000004</v>
      </c>
      <c r="S88" s="629">
        <v>560.58019716895922</v>
      </c>
      <c r="T88" s="645">
        <v>34.874464457550239</v>
      </c>
      <c r="U88" s="645">
        <v>84.087029575343877</v>
      </c>
      <c r="V88" s="645">
        <v>60</v>
      </c>
      <c r="W88" s="793">
        <v>1.9616886257372006</v>
      </c>
      <c r="X88" s="646">
        <v>0</v>
      </c>
      <c r="Y88" s="646">
        <v>0</v>
      </c>
      <c r="Z88" s="646">
        <v>0</v>
      </c>
      <c r="AA88" s="646">
        <v>0</v>
      </c>
      <c r="AB88" s="647">
        <v>11.116755233886396</v>
      </c>
      <c r="AC88" s="784">
        <v>4000</v>
      </c>
      <c r="AD88" s="631">
        <v>1.2505567045432751</v>
      </c>
      <c r="AE88" s="631">
        <v>0.97789410412164601</v>
      </c>
      <c r="AF88" s="631">
        <v>-0.23309507693951337</v>
      </c>
      <c r="AG88" s="631">
        <v>0.87457838023673884</v>
      </c>
      <c r="AH88" s="629"/>
      <c r="AI88" s="648">
        <v>3.1810390544829499</v>
      </c>
      <c r="AJ88" s="649">
        <v>11.546776777086199</v>
      </c>
      <c r="AK88" s="646">
        <v>94.185548562307645</v>
      </c>
      <c r="AL88" s="646">
        <v>0</v>
      </c>
      <c r="AM88" s="646">
        <v>0</v>
      </c>
      <c r="AN88" s="646">
        <v>38.309609401213109</v>
      </c>
      <c r="AO88" s="646">
        <v>8.3174204592463994</v>
      </c>
      <c r="AP88" s="801">
        <v>3000</v>
      </c>
      <c r="AQ88" s="563" t="s">
        <v>71</v>
      </c>
      <c r="AR88" s="563">
        <v>4</v>
      </c>
      <c r="AS88" s="563">
        <v>0</v>
      </c>
      <c r="AT88" s="563">
        <v>0</v>
      </c>
      <c r="AU88" s="563">
        <v>0</v>
      </c>
      <c r="AV88" s="650">
        <v>5923.5083756361264</v>
      </c>
      <c r="AW88" s="563">
        <v>0</v>
      </c>
      <c r="AX88" s="563">
        <v>0</v>
      </c>
      <c r="AY88" s="563">
        <v>0</v>
      </c>
      <c r="AZ88" s="650">
        <v>7715.7409346457216</v>
      </c>
      <c r="BA88" s="564">
        <v>4000</v>
      </c>
      <c r="BB88" s="565">
        <v>189.12387774610553</v>
      </c>
      <c r="BC88" s="649">
        <v>11.546776777086199</v>
      </c>
      <c r="BD88" s="646">
        <v>94.185548562307645</v>
      </c>
      <c r="BE88" s="646">
        <v>0</v>
      </c>
      <c r="BF88" s="646">
        <v>0</v>
      </c>
      <c r="BG88" s="646">
        <v>38.309609401213109</v>
      </c>
      <c r="BH88" s="646">
        <v>8.3174204592463994</v>
      </c>
      <c r="BI88" s="646">
        <v>3600</v>
      </c>
      <c r="BJ88" s="563" t="s">
        <v>71</v>
      </c>
      <c r="BK88" s="563">
        <v>4</v>
      </c>
      <c r="BL88" s="563">
        <v>0</v>
      </c>
      <c r="BM88" s="563">
        <v>0</v>
      </c>
      <c r="BN88" s="563">
        <v>0</v>
      </c>
      <c r="BO88" s="650">
        <v>5923.5083756361264</v>
      </c>
      <c r="BP88" s="563">
        <v>0</v>
      </c>
      <c r="BQ88" s="563">
        <v>0</v>
      </c>
      <c r="BR88" s="563">
        <v>0</v>
      </c>
      <c r="BS88" s="650">
        <v>7715.7409346457216</v>
      </c>
      <c r="BT88" s="564">
        <v>4000</v>
      </c>
      <c r="BU88" s="565">
        <v>189.12387774610553</v>
      </c>
      <c r="BV88" s="649">
        <v>11.546776777086199</v>
      </c>
      <c r="BW88" s="646">
        <v>94.185548562307645</v>
      </c>
      <c r="BX88" s="646">
        <v>0</v>
      </c>
      <c r="BY88" s="646">
        <v>0</v>
      </c>
      <c r="BZ88" s="646">
        <v>38.309609401213109</v>
      </c>
      <c r="CA88" s="646">
        <v>8.3174204592463994</v>
      </c>
      <c r="CB88" s="646">
        <v>3000</v>
      </c>
      <c r="CC88" s="563" t="s">
        <v>1584</v>
      </c>
      <c r="CD88" s="563">
        <v>4</v>
      </c>
      <c r="CE88" s="563">
        <v>0</v>
      </c>
      <c r="CF88" s="563">
        <v>0</v>
      </c>
      <c r="CG88" s="563">
        <v>0</v>
      </c>
      <c r="CH88" s="650">
        <v>5803.8292029643744</v>
      </c>
      <c r="CI88" s="563">
        <v>0</v>
      </c>
      <c r="CJ88" s="563">
        <v>0</v>
      </c>
      <c r="CK88" s="563">
        <v>0</v>
      </c>
      <c r="CL88" s="650">
        <v>7559.851310954793</v>
      </c>
      <c r="CM88" s="564">
        <v>4000</v>
      </c>
      <c r="CN88" s="565">
        <v>189.12387774610553</v>
      </c>
      <c r="CO88" s="649">
        <v>11.546776777086199</v>
      </c>
      <c r="CP88" s="646">
        <v>94.185548562307645</v>
      </c>
      <c r="CQ88" s="646">
        <v>0</v>
      </c>
      <c r="CR88" s="646">
        <v>0</v>
      </c>
      <c r="CS88" s="646">
        <v>38.309609401213109</v>
      </c>
      <c r="CT88" s="646">
        <v>8.3174204592463994</v>
      </c>
      <c r="CU88" s="646">
        <v>3600</v>
      </c>
      <c r="CV88" s="563" t="s">
        <v>1584</v>
      </c>
      <c r="CW88" s="563">
        <v>4</v>
      </c>
      <c r="CX88" s="563">
        <v>0</v>
      </c>
      <c r="CY88" s="563">
        <v>0</v>
      </c>
      <c r="CZ88" s="563">
        <v>0</v>
      </c>
      <c r="DA88" s="650">
        <v>5803.8292029643744</v>
      </c>
      <c r="DB88" s="563">
        <v>0</v>
      </c>
      <c r="DC88" s="563">
        <v>0</v>
      </c>
      <c r="DD88" s="563">
        <v>0</v>
      </c>
      <c r="DE88" s="650">
        <v>7559.851310954793</v>
      </c>
      <c r="DF88" s="564">
        <v>4000</v>
      </c>
      <c r="DG88" s="565">
        <v>189.12387774610553</v>
      </c>
      <c r="DH88" s="649">
        <v>11.546776777086199</v>
      </c>
      <c r="DI88" s="646">
        <v>94.185548562307645</v>
      </c>
      <c r="DJ88" s="646">
        <v>0</v>
      </c>
      <c r="DK88" s="646">
        <v>0</v>
      </c>
      <c r="DL88" s="646">
        <v>38.309609401213109</v>
      </c>
      <c r="DM88" s="646">
        <v>8.3174204592463994</v>
      </c>
      <c r="DN88" s="646">
        <v>3000</v>
      </c>
      <c r="DO88" s="563" t="s">
        <v>1588</v>
      </c>
      <c r="DP88" s="563">
        <v>4</v>
      </c>
      <c r="DQ88" s="563">
        <v>0</v>
      </c>
      <c r="DR88" s="563">
        <v>0</v>
      </c>
      <c r="DS88" s="563">
        <v>0</v>
      </c>
      <c r="DT88" s="650">
        <v>6040.8169592597815</v>
      </c>
      <c r="DU88" s="563">
        <v>0</v>
      </c>
      <c r="DV88" s="563">
        <v>0</v>
      </c>
      <c r="DW88" s="563">
        <v>0</v>
      </c>
      <c r="DX88" s="650">
        <v>7868.5427175170325</v>
      </c>
      <c r="DY88" s="564">
        <v>4000</v>
      </c>
      <c r="DZ88" s="565">
        <v>189.12387774610553</v>
      </c>
      <c r="EA88" s="649">
        <v>11.546776777086199</v>
      </c>
      <c r="EB88" s="646">
        <v>94.185548562307645</v>
      </c>
      <c r="EC88" s="646">
        <v>0</v>
      </c>
      <c r="ED88" s="646">
        <v>0</v>
      </c>
      <c r="EE88" s="646">
        <v>38.309609401213109</v>
      </c>
      <c r="EF88" s="646">
        <v>8.3174204592463994</v>
      </c>
      <c r="EG88" s="646">
        <v>3600</v>
      </c>
      <c r="EH88" s="563" t="s">
        <v>1588</v>
      </c>
      <c r="EI88" s="563">
        <v>4</v>
      </c>
      <c r="EJ88" s="563">
        <v>0</v>
      </c>
      <c r="EK88" s="563">
        <v>0</v>
      </c>
      <c r="EL88" s="563">
        <v>0</v>
      </c>
      <c r="EM88" s="650">
        <v>6040.8169592597815</v>
      </c>
      <c r="EN88" s="563">
        <v>0</v>
      </c>
      <c r="EO88" s="563">
        <v>0</v>
      </c>
      <c r="EP88" s="563">
        <v>0</v>
      </c>
      <c r="EQ88" s="650">
        <v>7868.5427175170325</v>
      </c>
      <c r="ER88" s="564">
        <v>4000</v>
      </c>
      <c r="ES88" s="565">
        <v>189.12387774610553</v>
      </c>
      <c r="ET88" s="649">
        <v>11.546776777086199</v>
      </c>
      <c r="EU88" s="646">
        <v>94.185548562307645</v>
      </c>
      <c r="EV88" s="646">
        <v>0</v>
      </c>
      <c r="EW88" s="646">
        <v>0</v>
      </c>
      <c r="EX88" s="646">
        <v>38.309609401213109</v>
      </c>
      <c r="EY88" s="646">
        <v>8.3174204592463994</v>
      </c>
      <c r="EZ88" s="646">
        <v>3000</v>
      </c>
      <c r="FA88" s="563" t="s">
        <v>1589</v>
      </c>
      <c r="FB88" s="563">
        <v>4</v>
      </c>
      <c r="FC88" s="563">
        <v>0</v>
      </c>
      <c r="FD88" s="563">
        <v>0</v>
      </c>
      <c r="FE88" s="563">
        <v>0</v>
      </c>
      <c r="FF88" s="650">
        <v>6434.57712223212</v>
      </c>
      <c r="FG88" s="563">
        <v>0</v>
      </c>
      <c r="FH88" s="563">
        <v>0</v>
      </c>
      <c r="FI88" s="563">
        <v>0</v>
      </c>
      <c r="FJ88" s="650">
        <v>8381.4400100024468</v>
      </c>
      <c r="FK88" s="564">
        <v>4000</v>
      </c>
      <c r="FL88" s="565">
        <v>189.12387774610553</v>
      </c>
      <c r="FM88" s="649">
        <v>11.546776777086199</v>
      </c>
      <c r="FN88" s="646">
        <v>94.185548562307645</v>
      </c>
      <c r="FO88" s="646">
        <v>0</v>
      </c>
      <c r="FP88" s="646">
        <v>0</v>
      </c>
      <c r="FQ88" s="646">
        <v>38.309609401213109</v>
      </c>
      <c r="FR88" s="646">
        <v>8.3174204592463994</v>
      </c>
      <c r="FS88" s="646">
        <v>3600</v>
      </c>
      <c r="FT88" s="563" t="s">
        <v>1589</v>
      </c>
      <c r="FU88" s="563">
        <v>4</v>
      </c>
      <c r="FV88" s="563">
        <v>0</v>
      </c>
      <c r="FW88" s="563">
        <v>0</v>
      </c>
      <c r="FX88" s="563">
        <v>0</v>
      </c>
      <c r="FY88" s="650">
        <v>6434.57712223212</v>
      </c>
      <c r="FZ88" s="563">
        <v>0</v>
      </c>
      <c r="GA88" s="563">
        <v>0</v>
      </c>
      <c r="GB88" s="563">
        <v>0</v>
      </c>
      <c r="GC88" s="650">
        <v>8381.4400100024468</v>
      </c>
      <c r="GD88" s="564">
        <v>4000</v>
      </c>
      <c r="GE88" s="565">
        <v>189.12387774610553</v>
      </c>
      <c r="GF88" s="649">
        <v>11.546776777086199</v>
      </c>
      <c r="GG88" s="646">
        <v>94.185548562307645</v>
      </c>
      <c r="GH88" s="646">
        <v>0</v>
      </c>
      <c r="GI88" s="646">
        <v>0</v>
      </c>
      <c r="GJ88" s="646">
        <v>38.309609401213109</v>
      </c>
      <c r="GK88" s="646">
        <v>8.3174204592463994</v>
      </c>
      <c r="GL88" s="646">
        <v>3000</v>
      </c>
      <c r="GM88" s="563" t="s">
        <v>1587</v>
      </c>
      <c r="GN88" s="563">
        <v>4</v>
      </c>
      <c r="GO88" s="563">
        <v>0</v>
      </c>
      <c r="GP88" s="563">
        <v>0</v>
      </c>
      <c r="GQ88" s="563">
        <v>0</v>
      </c>
      <c r="GR88" s="650">
        <v>7947.2204359270409</v>
      </c>
      <c r="GS88" s="563">
        <v>0</v>
      </c>
      <c r="GT88" s="563">
        <v>0</v>
      </c>
      <c r="GU88" s="563">
        <v>0</v>
      </c>
      <c r="GV88" s="650">
        <v>10351.752735987357</v>
      </c>
      <c r="GW88" s="564">
        <v>4000</v>
      </c>
      <c r="GX88" s="565">
        <v>189.12387774610553</v>
      </c>
      <c r="GY88" s="649">
        <v>11.546776777086199</v>
      </c>
      <c r="GZ88" s="646">
        <v>94.185548562307645</v>
      </c>
      <c r="HA88" s="646">
        <v>0</v>
      </c>
      <c r="HB88" s="646">
        <v>0</v>
      </c>
      <c r="HC88" s="646">
        <v>38.309609401213109</v>
      </c>
      <c r="HD88" s="646">
        <v>8.3174204592463994</v>
      </c>
      <c r="HE88" s="646">
        <v>3600</v>
      </c>
      <c r="HF88" s="563" t="s">
        <v>1587</v>
      </c>
      <c r="HG88" s="563">
        <v>4</v>
      </c>
      <c r="HH88" s="563">
        <v>0</v>
      </c>
      <c r="HI88" s="563">
        <v>0</v>
      </c>
      <c r="HJ88" s="563">
        <v>0</v>
      </c>
      <c r="HK88" s="650">
        <v>7947.2204359270409</v>
      </c>
      <c r="HL88" s="563">
        <v>0</v>
      </c>
      <c r="HM88" s="563">
        <v>0</v>
      </c>
      <c r="HN88" s="563">
        <v>0</v>
      </c>
      <c r="HO88" s="650">
        <v>10351.752735987357</v>
      </c>
      <c r="HP88" s="564">
        <v>4000</v>
      </c>
      <c r="HQ88" s="565">
        <v>189.12387774610553</v>
      </c>
      <c r="HR88" s="649">
        <v>11.546776777086199</v>
      </c>
      <c r="HS88" s="646">
        <v>94.185548562307645</v>
      </c>
      <c r="HT88" s="646">
        <v>0</v>
      </c>
      <c r="HU88" s="646">
        <v>0</v>
      </c>
      <c r="HV88" s="646">
        <v>38.309609401213109</v>
      </c>
      <c r="HW88" s="646">
        <v>8.3174204592463994</v>
      </c>
      <c r="HX88" s="646">
        <v>3000</v>
      </c>
      <c r="HY88" s="563" t="s">
        <v>68</v>
      </c>
      <c r="HZ88" s="563">
        <v>4</v>
      </c>
      <c r="IA88" s="563">
        <v>0</v>
      </c>
      <c r="IB88" s="563">
        <v>0</v>
      </c>
      <c r="IC88" s="563">
        <v>0</v>
      </c>
      <c r="ID88" s="650">
        <v>7008.7896292244268</v>
      </c>
      <c r="IE88" s="563">
        <v>0</v>
      </c>
      <c r="IF88" s="563">
        <v>0</v>
      </c>
      <c r="IG88" s="563">
        <v>0</v>
      </c>
      <c r="IH88" s="650">
        <v>9129.3877910183364</v>
      </c>
      <c r="II88" s="564">
        <v>4000</v>
      </c>
      <c r="IJ88" s="565">
        <v>189.12387774610553</v>
      </c>
      <c r="IK88" s="649">
        <v>11.546776777086199</v>
      </c>
      <c r="IL88" s="646">
        <v>94.185548562307645</v>
      </c>
      <c r="IM88" s="646">
        <v>0</v>
      </c>
      <c r="IN88" s="646">
        <v>0</v>
      </c>
      <c r="IO88" s="646">
        <v>38.309609401213109</v>
      </c>
      <c r="IP88" s="646">
        <v>8.3174204592463994</v>
      </c>
      <c r="IQ88" s="646">
        <v>3600</v>
      </c>
      <c r="IR88" s="563" t="s">
        <v>68</v>
      </c>
      <c r="IS88" s="563">
        <v>4</v>
      </c>
      <c r="IT88" s="563">
        <v>0</v>
      </c>
      <c r="IU88" s="563">
        <v>0</v>
      </c>
      <c r="IV88" s="563">
        <v>0</v>
      </c>
      <c r="IW88" s="650">
        <v>7008.7896292244268</v>
      </c>
      <c r="IX88" s="563">
        <v>0</v>
      </c>
      <c r="IY88" s="563">
        <v>0</v>
      </c>
      <c r="IZ88" s="563">
        <v>0</v>
      </c>
      <c r="JA88" s="650">
        <v>9129.3877910183364</v>
      </c>
      <c r="JB88" s="564">
        <v>4000</v>
      </c>
      <c r="JC88" s="565">
        <v>189.12387774610553</v>
      </c>
      <c r="JD88" s="649">
        <v>11.546776777086199</v>
      </c>
      <c r="JE88" s="646">
        <v>94.185548562307645</v>
      </c>
      <c r="JF88" s="646">
        <v>0</v>
      </c>
      <c r="JG88" s="646">
        <v>0</v>
      </c>
      <c r="JH88" s="646">
        <v>38.309609401213109</v>
      </c>
      <c r="JI88" s="646">
        <v>8.3174204592463994</v>
      </c>
      <c r="JJ88" s="646">
        <v>3000</v>
      </c>
      <c r="JK88" s="563" t="s">
        <v>67</v>
      </c>
      <c r="JL88" s="563">
        <v>4</v>
      </c>
      <c r="JM88" s="563">
        <v>0</v>
      </c>
      <c r="JN88" s="563">
        <v>0</v>
      </c>
      <c r="JO88" s="563">
        <v>0</v>
      </c>
      <c r="JP88" s="650">
        <v>9551.3702597167448</v>
      </c>
      <c r="JQ88" s="563">
        <v>0</v>
      </c>
      <c r="JR88" s="563">
        <v>0</v>
      </c>
      <c r="JS88" s="563">
        <v>0</v>
      </c>
      <c r="JT88" s="650">
        <v>12441.258426842349</v>
      </c>
      <c r="JU88" s="564">
        <v>4000</v>
      </c>
      <c r="JV88" s="565">
        <v>189.12387774610553</v>
      </c>
      <c r="JW88" s="649">
        <v>11.546776777086199</v>
      </c>
      <c r="JX88" s="646">
        <v>94.185548562307645</v>
      </c>
      <c r="JY88" s="646">
        <v>0</v>
      </c>
      <c r="JZ88" s="646">
        <v>0</v>
      </c>
      <c r="KA88" s="646">
        <v>38.309609401213109</v>
      </c>
      <c r="KB88" s="646">
        <v>8.3174204592463994</v>
      </c>
      <c r="KC88" s="646">
        <v>3600</v>
      </c>
      <c r="KD88" s="563" t="s">
        <v>67</v>
      </c>
      <c r="KE88" s="563">
        <v>4</v>
      </c>
      <c r="KF88" s="563">
        <v>0</v>
      </c>
      <c r="KG88" s="563">
        <v>0</v>
      </c>
      <c r="KH88" s="563">
        <v>0</v>
      </c>
      <c r="KI88" s="650">
        <v>9551.3702597167448</v>
      </c>
      <c r="KJ88" s="563">
        <v>0</v>
      </c>
      <c r="KK88" s="563">
        <v>0</v>
      </c>
      <c r="KL88" s="563">
        <v>0</v>
      </c>
      <c r="KM88" s="650">
        <v>12441.258426842349</v>
      </c>
      <c r="KN88" s="564">
        <v>4000</v>
      </c>
      <c r="KO88" s="566">
        <v>189.12387774610553</v>
      </c>
    </row>
    <row r="89" spans="1:301" ht="15" customHeight="1">
      <c r="A89" s="802" t="s">
        <v>1000</v>
      </c>
      <c r="B89" s="629" t="s">
        <v>382</v>
      </c>
      <c r="C89" s="629">
        <v>258.4020582737362</v>
      </c>
      <c r="D89" s="629">
        <v>937</v>
      </c>
      <c r="E89" s="629">
        <v>250</v>
      </c>
      <c r="F89" s="629">
        <v>220.99495584268831</v>
      </c>
      <c r="G89" s="629">
        <v>114.72118162068971</v>
      </c>
      <c r="H89" s="629">
        <v>93.910364274571734</v>
      </c>
      <c r="I89" s="629">
        <v>60.764009605790491</v>
      </c>
      <c r="J89" s="629">
        <v>48.413722825307509</v>
      </c>
      <c r="K89" s="629">
        <v>75.305820187831998</v>
      </c>
      <c r="L89" s="629">
        <v>16</v>
      </c>
      <c r="M89" s="629">
        <v>389.20862681903844</v>
      </c>
      <c r="N89" s="629">
        <v>6</v>
      </c>
      <c r="O89" s="623">
        <v>30.166035966145785</v>
      </c>
      <c r="P89" s="629">
        <v>6</v>
      </c>
      <c r="Q89" s="623">
        <v>20.076839793510441</v>
      </c>
      <c r="R89" s="629">
        <v>18.000000000000004</v>
      </c>
      <c r="S89" s="629">
        <v>578.99747792134417</v>
      </c>
      <c r="T89" s="645">
        <v>37.203636048409741</v>
      </c>
      <c r="U89" s="645">
        <v>86.849621688201623</v>
      </c>
      <c r="V89" s="645">
        <v>60</v>
      </c>
      <c r="W89" s="793">
        <v>2.0927045277230474</v>
      </c>
      <c r="X89" s="646">
        <v>0</v>
      </c>
      <c r="Y89" s="646">
        <v>0</v>
      </c>
      <c r="Z89" s="646">
        <v>0</v>
      </c>
      <c r="AA89" s="646">
        <v>0</v>
      </c>
      <c r="AB89" s="647">
        <v>14.380769104343463</v>
      </c>
      <c r="AC89" s="784">
        <v>4000</v>
      </c>
      <c r="AD89" s="631">
        <v>1.5517899767066914</v>
      </c>
      <c r="AE89" s="631">
        <v>1.1268706058405957</v>
      </c>
      <c r="AF89" s="631">
        <v>-0.14243962417550859</v>
      </c>
      <c r="AG89" s="631">
        <v>0.77910565246186503</v>
      </c>
      <c r="AH89" s="629"/>
      <c r="AI89" s="648">
        <v>3.6165459497990331</v>
      </c>
      <c r="AJ89" s="649">
        <v>15.12239088631207</v>
      </c>
      <c r="AK89" s="646">
        <v>104.66160722210108</v>
      </c>
      <c r="AL89" s="646">
        <v>0</v>
      </c>
      <c r="AM89" s="646">
        <v>0</v>
      </c>
      <c r="AN89" s="646">
        <v>38.226265872990218</v>
      </c>
      <c r="AO89" s="646">
        <v>9.9357997930500819</v>
      </c>
      <c r="AP89" s="801">
        <v>3500</v>
      </c>
      <c r="AQ89" s="563" t="s">
        <v>71</v>
      </c>
      <c r="AR89" s="563">
        <v>4</v>
      </c>
      <c r="AS89" s="563">
        <v>0</v>
      </c>
      <c r="AT89" s="563">
        <v>0</v>
      </c>
      <c r="AU89" s="563">
        <v>0</v>
      </c>
      <c r="AV89" s="650">
        <v>6491.2898638447023</v>
      </c>
      <c r="AW89" s="563">
        <v>0</v>
      </c>
      <c r="AX89" s="563">
        <v>0</v>
      </c>
      <c r="AY89" s="563">
        <v>0</v>
      </c>
      <c r="AZ89" s="650">
        <v>9470.0731967539759</v>
      </c>
      <c r="BA89" s="564">
        <v>4000</v>
      </c>
      <c r="BB89" s="565">
        <v>196.24482109424241</v>
      </c>
      <c r="BC89" s="649">
        <v>15.12239088631207</v>
      </c>
      <c r="BD89" s="646">
        <v>104.66160722210108</v>
      </c>
      <c r="BE89" s="646">
        <v>0</v>
      </c>
      <c r="BF89" s="646">
        <v>0</v>
      </c>
      <c r="BG89" s="646">
        <v>38.226265872990218</v>
      </c>
      <c r="BH89" s="646">
        <v>9.9357997930500819</v>
      </c>
      <c r="BI89" s="646">
        <v>3600</v>
      </c>
      <c r="BJ89" s="563" t="s">
        <v>71</v>
      </c>
      <c r="BK89" s="563">
        <v>4</v>
      </c>
      <c r="BL89" s="563">
        <v>0</v>
      </c>
      <c r="BM89" s="563">
        <v>0</v>
      </c>
      <c r="BN89" s="563">
        <v>0</v>
      </c>
      <c r="BO89" s="650">
        <v>6491.2898638447023</v>
      </c>
      <c r="BP89" s="563">
        <v>0</v>
      </c>
      <c r="BQ89" s="563">
        <v>0</v>
      </c>
      <c r="BR89" s="563">
        <v>0</v>
      </c>
      <c r="BS89" s="650">
        <v>9470.0731967539759</v>
      </c>
      <c r="BT89" s="564">
        <v>4000</v>
      </c>
      <c r="BU89" s="565">
        <v>196.24482109424241</v>
      </c>
      <c r="BV89" s="649">
        <v>15.12239088631207</v>
      </c>
      <c r="BW89" s="646">
        <v>104.66160722210108</v>
      </c>
      <c r="BX89" s="646">
        <v>0</v>
      </c>
      <c r="BY89" s="646">
        <v>0</v>
      </c>
      <c r="BZ89" s="646">
        <v>38.226265872990218</v>
      </c>
      <c r="CA89" s="646">
        <v>9.9357997930500819</v>
      </c>
      <c r="CB89" s="646">
        <v>3500</v>
      </c>
      <c r="CC89" s="563" t="s">
        <v>1584</v>
      </c>
      <c r="CD89" s="563">
        <v>4</v>
      </c>
      <c r="CE89" s="563">
        <v>0</v>
      </c>
      <c r="CF89" s="563">
        <v>0</v>
      </c>
      <c r="CG89" s="563">
        <v>0</v>
      </c>
      <c r="CH89" s="650">
        <v>6360.1391755680033</v>
      </c>
      <c r="CI89" s="563">
        <v>0</v>
      </c>
      <c r="CJ89" s="563">
        <v>0</v>
      </c>
      <c r="CK89" s="563">
        <v>0</v>
      </c>
      <c r="CL89" s="650">
        <v>9278.7388635419084</v>
      </c>
      <c r="CM89" s="564">
        <v>4000</v>
      </c>
      <c r="CN89" s="565">
        <v>196.24482109424241</v>
      </c>
      <c r="CO89" s="649">
        <v>15.12239088631207</v>
      </c>
      <c r="CP89" s="646">
        <v>104.66160722210108</v>
      </c>
      <c r="CQ89" s="646">
        <v>0</v>
      </c>
      <c r="CR89" s="646">
        <v>0</v>
      </c>
      <c r="CS89" s="646">
        <v>38.226265872990218</v>
      </c>
      <c r="CT89" s="646">
        <v>9.9357997930500819</v>
      </c>
      <c r="CU89" s="646">
        <v>3600</v>
      </c>
      <c r="CV89" s="563" t="s">
        <v>1584</v>
      </c>
      <c r="CW89" s="563">
        <v>4</v>
      </c>
      <c r="CX89" s="563">
        <v>0</v>
      </c>
      <c r="CY89" s="563">
        <v>0</v>
      </c>
      <c r="CZ89" s="563">
        <v>0</v>
      </c>
      <c r="DA89" s="650">
        <v>6360.1391755680033</v>
      </c>
      <c r="DB89" s="563">
        <v>0</v>
      </c>
      <c r="DC89" s="563">
        <v>0</v>
      </c>
      <c r="DD89" s="563">
        <v>0</v>
      </c>
      <c r="DE89" s="650">
        <v>9278.7388635419084</v>
      </c>
      <c r="DF89" s="564">
        <v>4000</v>
      </c>
      <c r="DG89" s="565">
        <v>196.24482109424241</v>
      </c>
      <c r="DH89" s="649">
        <v>15.12239088631207</v>
      </c>
      <c r="DI89" s="646">
        <v>104.66160722210108</v>
      </c>
      <c r="DJ89" s="646">
        <v>0</v>
      </c>
      <c r="DK89" s="646">
        <v>0</v>
      </c>
      <c r="DL89" s="646">
        <v>38.226265872990218</v>
      </c>
      <c r="DM89" s="646">
        <v>9.9357997930500819</v>
      </c>
      <c r="DN89" s="646">
        <v>3500</v>
      </c>
      <c r="DO89" s="563" t="s">
        <v>1588</v>
      </c>
      <c r="DP89" s="563">
        <v>4</v>
      </c>
      <c r="DQ89" s="563">
        <v>0</v>
      </c>
      <c r="DR89" s="563">
        <v>0</v>
      </c>
      <c r="DS89" s="563">
        <v>0</v>
      </c>
      <c r="DT89" s="650">
        <v>6619.8427368262364</v>
      </c>
      <c r="DU89" s="563">
        <v>0</v>
      </c>
      <c r="DV89" s="563">
        <v>0</v>
      </c>
      <c r="DW89" s="563">
        <v>0</v>
      </c>
      <c r="DX89" s="650">
        <v>9657.6176050801096</v>
      </c>
      <c r="DY89" s="564">
        <v>4000</v>
      </c>
      <c r="DZ89" s="565">
        <v>196.24482109424241</v>
      </c>
      <c r="EA89" s="649">
        <v>15.12239088631207</v>
      </c>
      <c r="EB89" s="646">
        <v>104.66160722210108</v>
      </c>
      <c r="EC89" s="646">
        <v>0</v>
      </c>
      <c r="ED89" s="646">
        <v>0</v>
      </c>
      <c r="EE89" s="646">
        <v>38.226265872990218</v>
      </c>
      <c r="EF89" s="646">
        <v>9.9357997930500819</v>
      </c>
      <c r="EG89" s="646">
        <v>3600</v>
      </c>
      <c r="EH89" s="563" t="s">
        <v>1588</v>
      </c>
      <c r="EI89" s="563">
        <v>4</v>
      </c>
      <c r="EJ89" s="563">
        <v>0</v>
      </c>
      <c r="EK89" s="563">
        <v>0</v>
      </c>
      <c r="EL89" s="563">
        <v>0</v>
      </c>
      <c r="EM89" s="650">
        <v>6619.8427368262364</v>
      </c>
      <c r="EN89" s="563">
        <v>0</v>
      </c>
      <c r="EO89" s="563">
        <v>0</v>
      </c>
      <c r="EP89" s="563">
        <v>0</v>
      </c>
      <c r="EQ89" s="650">
        <v>9657.6176050801096</v>
      </c>
      <c r="ER89" s="564">
        <v>4000</v>
      </c>
      <c r="ES89" s="565">
        <v>196.24482109424241</v>
      </c>
      <c r="ET89" s="649">
        <v>15.12239088631207</v>
      </c>
      <c r="EU89" s="646">
        <v>104.66160722210108</v>
      </c>
      <c r="EV89" s="646">
        <v>0</v>
      </c>
      <c r="EW89" s="646">
        <v>0</v>
      </c>
      <c r="EX89" s="646">
        <v>38.226265872990218</v>
      </c>
      <c r="EY89" s="646">
        <v>9.9357997930500819</v>
      </c>
      <c r="EZ89" s="646">
        <v>3500</v>
      </c>
      <c r="FA89" s="563" t="s">
        <v>1589</v>
      </c>
      <c r="FB89" s="563">
        <v>4</v>
      </c>
      <c r="FC89" s="563">
        <v>0</v>
      </c>
      <c r="FD89" s="563">
        <v>0</v>
      </c>
      <c r="FE89" s="563">
        <v>0</v>
      </c>
      <c r="FF89" s="650">
        <v>7051.3456895697909</v>
      </c>
      <c r="FG89" s="563">
        <v>0</v>
      </c>
      <c r="FH89" s="563">
        <v>0</v>
      </c>
      <c r="FI89" s="563">
        <v>0</v>
      </c>
      <c r="FJ89" s="650">
        <v>10287.132637193719</v>
      </c>
      <c r="FK89" s="564">
        <v>4000</v>
      </c>
      <c r="FL89" s="565">
        <v>196.24482109424241</v>
      </c>
      <c r="FM89" s="649">
        <v>15.12239088631207</v>
      </c>
      <c r="FN89" s="646">
        <v>104.66160722210108</v>
      </c>
      <c r="FO89" s="646">
        <v>0</v>
      </c>
      <c r="FP89" s="646">
        <v>0</v>
      </c>
      <c r="FQ89" s="646">
        <v>38.226265872990218</v>
      </c>
      <c r="FR89" s="646">
        <v>9.9357997930500819</v>
      </c>
      <c r="FS89" s="646">
        <v>3600</v>
      </c>
      <c r="FT89" s="563" t="s">
        <v>1589</v>
      </c>
      <c r="FU89" s="563">
        <v>4</v>
      </c>
      <c r="FV89" s="563">
        <v>0</v>
      </c>
      <c r="FW89" s="563">
        <v>0</v>
      </c>
      <c r="FX89" s="563">
        <v>0</v>
      </c>
      <c r="FY89" s="650">
        <v>7051.3456895697909</v>
      </c>
      <c r="FZ89" s="563">
        <v>0</v>
      </c>
      <c r="GA89" s="563">
        <v>0</v>
      </c>
      <c r="GB89" s="563">
        <v>0</v>
      </c>
      <c r="GC89" s="650">
        <v>10287.132637193719</v>
      </c>
      <c r="GD89" s="564">
        <v>4000</v>
      </c>
      <c r="GE89" s="565">
        <v>196.24482109424241</v>
      </c>
      <c r="GF89" s="649">
        <v>15.12239088631207</v>
      </c>
      <c r="GG89" s="646">
        <v>104.66160722210108</v>
      </c>
      <c r="GH89" s="646">
        <v>0</v>
      </c>
      <c r="GI89" s="646">
        <v>0</v>
      </c>
      <c r="GJ89" s="646">
        <v>38.226265872990218</v>
      </c>
      <c r="GK89" s="646">
        <v>9.9357997930500819</v>
      </c>
      <c r="GL89" s="646">
        <v>3500</v>
      </c>
      <c r="GM89" s="563" t="s">
        <v>1587</v>
      </c>
      <c r="GN89" s="563">
        <v>4</v>
      </c>
      <c r="GO89" s="563">
        <v>0</v>
      </c>
      <c r="GP89" s="563">
        <v>0</v>
      </c>
      <c r="GQ89" s="563">
        <v>0</v>
      </c>
      <c r="GR89" s="650">
        <v>8708.9792383272652</v>
      </c>
      <c r="GS89" s="563">
        <v>0</v>
      </c>
      <c r="GT89" s="563">
        <v>0</v>
      </c>
      <c r="GU89" s="563">
        <v>0</v>
      </c>
      <c r="GV89" s="650">
        <v>12705.436451904383</v>
      </c>
      <c r="GW89" s="564">
        <v>4000</v>
      </c>
      <c r="GX89" s="565">
        <v>196.24482109424241</v>
      </c>
      <c r="GY89" s="649">
        <v>15.12239088631207</v>
      </c>
      <c r="GZ89" s="646">
        <v>104.66160722210108</v>
      </c>
      <c r="HA89" s="646">
        <v>0</v>
      </c>
      <c r="HB89" s="646">
        <v>0</v>
      </c>
      <c r="HC89" s="646">
        <v>38.226265872990218</v>
      </c>
      <c r="HD89" s="646">
        <v>9.9357997930500819</v>
      </c>
      <c r="HE89" s="646">
        <v>3600</v>
      </c>
      <c r="HF89" s="563" t="s">
        <v>1587</v>
      </c>
      <c r="HG89" s="563">
        <v>4</v>
      </c>
      <c r="HH89" s="563">
        <v>0</v>
      </c>
      <c r="HI89" s="563">
        <v>0</v>
      </c>
      <c r="HJ89" s="563">
        <v>0</v>
      </c>
      <c r="HK89" s="650">
        <v>8708.9792383272652</v>
      </c>
      <c r="HL89" s="563">
        <v>0</v>
      </c>
      <c r="HM89" s="563">
        <v>0</v>
      </c>
      <c r="HN89" s="563">
        <v>0</v>
      </c>
      <c r="HO89" s="650">
        <v>12705.436451904383</v>
      </c>
      <c r="HP89" s="564">
        <v>4000</v>
      </c>
      <c r="HQ89" s="565">
        <v>196.24482109424241</v>
      </c>
      <c r="HR89" s="649">
        <v>15.12239088631207</v>
      </c>
      <c r="HS89" s="646">
        <v>104.66160722210108</v>
      </c>
      <c r="HT89" s="646">
        <v>0</v>
      </c>
      <c r="HU89" s="646">
        <v>0</v>
      </c>
      <c r="HV89" s="646">
        <v>38.226265872990218</v>
      </c>
      <c r="HW89" s="646">
        <v>9.9357997930500819</v>
      </c>
      <c r="HX89" s="646">
        <v>3500</v>
      </c>
      <c r="HY89" s="563" t="s">
        <v>68</v>
      </c>
      <c r="HZ89" s="563">
        <v>4</v>
      </c>
      <c r="IA89" s="563">
        <v>0</v>
      </c>
      <c r="IB89" s="563">
        <v>0</v>
      </c>
      <c r="IC89" s="563">
        <v>0</v>
      </c>
      <c r="ID89" s="650">
        <v>7680.5977459462201</v>
      </c>
      <c r="IE89" s="563">
        <v>0</v>
      </c>
      <c r="IF89" s="563">
        <v>0</v>
      </c>
      <c r="IG89" s="563">
        <v>0</v>
      </c>
      <c r="IH89" s="650">
        <v>11205.141716757953</v>
      </c>
      <c r="II89" s="564">
        <v>4000</v>
      </c>
      <c r="IJ89" s="565">
        <v>196.24482109424241</v>
      </c>
      <c r="IK89" s="649">
        <v>15.12239088631207</v>
      </c>
      <c r="IL89" s="646">
        <v>104.66160722210108</v>
      </c>
      <c r="IM89" s="646">
        <v>0</v>
      </c>
      <c r="IN89" s="646">
        <v>0</v>
      </c>
      <c r="IO89" s="646">
        <v>38.226265872990218</v>
      </c>
      <c r="IP89" s="646">
        <v>9.9357997930500819</v>
      </c>
      <c r="IQ89" s="646">
        <v>3600</v>
      </c>
      <c r="IR89" s="563" t="s">
        <v>68</v>
      </c>
      <c r="IS89" s="563">
        <v>4</v>
      </c>
      <c r="IT89" s="563">
        <v>0</v>
      </c>
      <c r="IU89" s="563">
        <v>0</v>
      </c>
      <c r="IV89" s="563">
        <v>0</v>
      </c>
      <c r="IW89" s="650">
        <v>7680.5977459462201</v>
      </c>
      <c r="IX89" s="563">
        <v>0</v>
      </c>
      <c r="IY89" s="563">
        <v>0</v>
      </c>
      <c r="IZ89" s="563">
        <v>0</v>
      </c>
      <c r="JA89" s="650">
        <v>11205.141716757953</v>
      </c>
      <c r="JB89" s="564">
        <v>4000</v>
      </c>
      <c r="JC89" s="565">
        <v>196.24482109424241</v>
      </c>
      <c r="JD89" s="649">
        <v>15.12239088631207</v>
      </c>
      <c r="JE89" s="646">
        <v>104.66160722210108</v>
      </c>
      <c r="JF89" s="646">
        <v>0</v>
      </c>
      <c r="JG89" s="646">
        <v>0</v>
      </c>
      <c r="JH89" s="646">
        <v>38.226265872990218</v>
      </c>
      <c r="JI89" s="646">
        <v>9.9357997930500819</v>
      </c>
      <c r="JJ89" s="646">
        <v>3500</v>
      </c>
      <c r="JK89" s="563" t="s">
        <v>67</v>
      </c>
      <c r="JL89" s="563">
        <v>4</v>
      </c>
      <c r="JM89" s="563">
        <v>0</v>
      </c>
      <c r="JN89" s="563">
        <v>0</v>
      </c>
      <c r="JO89" s="563">
        <v>0</v>
      </c>
      <c r="JP89" s="650">
        <v>10466.890400246757</v>
      </c>
      <c r="JQ89" s="563">
        <v>0</v>
      </c>
      <c r="JR89" s="563">
        <v>0</v>
      </c>
      <c r="JS89" s="563">
        <v>0</v>
      </c>
      <c r="JT89" s="650">
        <v>15270.034201496836</v>
      </c>
      <c r="JU89" s="564">
        <v>4000</v>
      </c>
      <c r="JV89" s="565">
        <v>196.24482109424241</v>
      </c>
      <c r="JW89" s="649">
        <v>15.12239088631207</v>
      </c>
      <c r="JX89" s="646">
        <v>104.66160722210108</v>
      </c>
      <c r="JY89" s="646">
        <v>0</v>
      </c>
      <c r="JZ89" s="646">
        <v>0</v>
      </c>
      <c r="KA89" s="646">
        <v>38.226265872990218</v>
      </c>
      <c r="KB89" s="646">
        <v>9.9357997930500819</v>
      </c>
      <c r="KC89" s="646">
        <v>3600</v>
      </c>
      <c r="KD89" s="563" t="s">
        <v>67</v>
      </c>
      <c r="KE89" s="563">
        <v>4</v>
      </c>
      <c r="KF89" s="563">
        <v>0</v>
      </c>
      <c r="KG89" s="563">
        <v>0</v>
      </c>
      <c r="KH89" s="563">
        <v>0</v>
      </c>
      <c r="KI89" s="650">
        <v>10466.890400246757</v>
      </c>
      <c r="KJ89" s="563">
        <v>0</v>
      </c>
      <c r="KK89" s="563">
        <v>0</v>
      </c>
      <c r="KL89" s="563">
        <v>0</v>
      </c>
      <c r="KM89" s="650">
        <v>15270.034201496836</v>
      </c>
      <c r="KN89" s="564">
        <v>4000</v>
      </c>
      <c r="KO89" s="566">
        <v>196.24482109424241</v>
      </c>
    </row>
    <row r="90" spans="1:301" ht="15" customHeight="1">
      <c r="A90" s="802" t="s">
        <v>1001</v>
      </c>
      <c r="B90" s="629" t="s">
        <v>382</v>
      </c>
      <c r="C90" s="629">
        <v>221</v>
      </c>
      <c r="D90" s="629">
        <v>481</v>
      </c>
      <c r="E90" s="629">
        <v>225</v>
      </c>
      <c r="F90" s="629">
        <v>177.3947991690622</v>
      </c>
      <c r="G90" s="629">
        <v>108.02143910949975</v>
      </c>
      <c r="H90" s="629">
        <v>90.064582765330258</v>
      </c>
      <c r="I90" s="629">
        <v>70.28996381275968</v>
      </c>
      <c r="J90" s="629">
        <v>35.235782755402447</v>
      </c>
      <c r="K90" s="629">
        <v>52.320931437378036</v>
      </c>
      <c r="L90" s="629">
        <v>10</v>
      </c>
      <c r="M90" s="629">
        <v>192.29481104617889</v>
      </c>
      <c r="N90" s="629">
        <v>4</v>
      </c>
      <c r="O90" s="623">
        <v>4.4572212852377584</v>
      </c>
      <c r="P90" s="629">
        <v>4</v>
      </c>
      <c r="Q90" s="623">
        <v>3.0331199499119048</v>
      </c>
      <c r="R90" s="629">
        <v>13.000000000000002</v>
      </c>
      <c r="S90" s="629">
        <v>329.19739958453107</v>
      </c>
      <c r="T90" s="645">
        <v>8.6859171451536987</v>
      </c>
      <c r="U90" s="645">
        <v>49.37960993767966</v>
      </c>
      <c r="V90" s="645">
        <v>47.5</v>
      </c>
      <c r="W90" s="793">
        <v>0.5355619585894047</v>
      </c>
      <c r="X90" s="646">
        <v>0</v>
      </c>
      <c r="Y90" s="646">
        <v>0</v>
      </c>
      <c r="Z90" s="646">
        <v>0</v>
      </c>
      <c r="AA90" s="646">
        <v>0</v>
      </c>
      <c r="AB90" s="647">
        <v>2.2879769476475222</v>
      </c>
      <c r="AC90" s="784">
        <v>4000</v>
      </c>
      <c r="AD90" s="631">
        <v>1.4719991100794516</v>
      </c>
      <c r="AE90" s="631">
        <v>0.70635811783156988</v>
      </c>
      <c r="AF90" s="631">
        <v>-0.32596240908534724</v>
      </c>
      <c r="AG90" s="631">
        <v>0.8663127694136179</v>
      </c>
      <c r="AH90" s="629"/>
      <c r="AI90" s="648">
        <v>0.95847622687649348</v>
      </c>
      <c r="AJ90" s="649">
        <v>3.6308621368776235</v>
      </c>
      <c r="AK90" s="646">
        <v>20.342682475770392</v>
      </c>
      <c r="AL90" s="646">
        <v>0</v>
      </c>
      <c r="AM90" s="646">
        <v>0</v>
      </c>
      <c r="AN90" s="646">
        <v>31.47019158796677</v>
      </c>
      <c r="AO90" s="646">
        <v>0.53074967781941274</v>
      </c>
      <c r="AP90" s="801">
        <v>3480</v>
      </c>
      <c r="AQ90" s="563" t="s">
        <v>71</v>
      </c>
      <c r="AR90" s="563">
        <v>3</v>
      </c>
      <c r="AS90" s="563">
        <v>0</v>
      </c>
      <c r="AT90" s="563">
        <v>0</v>
      </c>
      <c r="AU90" s="563">
        <v>0</v>
      </c>
      <c r="AV90" s="650">
        <v>5532.6871029071308</v>
      </c>
      <c r="AW90" s="563">
        <v>0</v>
      </c>
      <c r="AX90" s="563">
        <v>0</v>
      </c>
      <c r="AY90" s="563">
        <v>0</v>
      </c>
      <c r="AZ90" s="650">
        <v>5783.15703605003</v>
      </c>
      <c r="BA90" s="564">
        <v>4000</v>
      </c>
      <c r="BB90" s="565">
        <v>100.7404044251127</v>
      </c>
      <c r="BC90" s="649">
        <v>3.6308621368776235</v>
      </c>
      <c r="BD90" s="646">
        <v>20.342682475770392</v>
      </c>
      <c r="BE90" s="646">
        <v>0</v>
      </c>
      <c r="BF90" s="646">
        <v>0</v>
      </c>
      <c r="BG90" s="646">
        <v>31.47019158796677</v>
      </c>
      <c r="BH90" s="646">
        <v>0.53074967781941274</v>
      </c>
      <c r="BI90" s="646">
        <v>3600</v>
      </c>
      <c r="BJ90" s="563" t="s">
        <v>71</v>
      </c>
      <c r="BK90" s="563">
        <v>3</v>
      </c>
      <c r="BL90" s="563">
        <v>0</v>
      </c>
      <c r="BM90" s="563">
        <v>0</v>
      </c>
      <c r="BN90" s="563">
        <v>0</v>
      </c>
      <c r="BO90" s="650">
        <v>5532.6871029071308</v>
      </c>
      <c r="BP90" s="563">
        <v>0</v>
      </c>
      <c r="BQ90" s="563">
        <v>0</v>
      </c>
      <c r="BR90" s="563">
        <v>0</v>
      </c>
      <c r="BS90" s="650">
        <v>5783.15703605003</v>
      </c>
      <c r="BT90" s="564">
        <v>4000</v>
      </c>
      <c r="BU90" s="565">
        <v>100.7404044251127</v>
      </c>
      <c r="BV90" s="649">
        <v>3.6308621368776235</v>
      </c>
      <c r="BW90" s="646">
        <v>20.342682475770392</v>
      </c>
      <c r="BX90" s="646">
        <v>0</v>
      </c>
      <c r="BY90" s="646">
        <v>0</v>
      </c>
      <c r="BZ90" s="646">
        <v>31.47019158796677</v>
      </c>
      <c r="CA90" s="646">
        <v>0.53074967781941274</v>
      </c>
      <c r="CB90" s="646">
        <v>3480</v>
      </c>
      <c r="CC90" s="563" t="s">
        <v>1584</v>
      </c>
      <c r="CD90" s="563">
        <v>3</v>
      </c>
      <c r="CE90" s="563">
        <v>0</v>
      </c>
      <c r="CF90" s="563">
        <v>0</v>
      </c>
      <c r="CG90" s="563">
        <v>0</v>
      </c>
      <c r="CH90" s="650">
        <v>5420.9041234399183</v>
      </c>
      <c r="CI90" s="563">
        <v>0</v>
      </c>
      <c r="CJ90" s="563">
        <v>0</v>
      </c>
      <c r="CK90" s="563">
        <v>0</v>
      </c>
      <c r="CL90" s="650">
        <v>5666.3135362835665</v>
      </c>
      <c r="CM90" s="564">
        <v>4000</v>
      </c>
      <c r="CN90" s="565">
        <v>100.7404044251127</v>
      </c>
      <c r="CO90" s="649">
        <v>3.6308621368776235</v>
      </c>
      <c r="CP90" s="646">
        <v>20.342682475770392</v>
      </c>
      <c r="CQ90" s="646">
        <v>0</v>
      </c>
      <c r="CR90" s="646">
        <v>0</v>
      </c>
      <c r="CS90" s="646">
        <v>31.47019158796677</v>
      </c>
      <c r="CT90" s="646">
        <v>0.53074967781941274</v>
      </c>
      <c r="CU90" s="646">
        <v>3600</v>
      </c>
      <c r="CV90" s="563" t="s">
        <v>1584</v>
      </c>
      <c r="CW90" s="563">
        <v>3</v>
      </c>
      <c r="CX90" s="563">
        <v>0</v>
      </c>
      <c r="CY90" s="563">
        <v>0</v>
      </c>
      <c r="CZ90" s="563">
        <v>0</v>
      </c>
      <c r="DA90" s="650">
        <v>5420.9041234399183</v>
      </c>
      <c r="DB90" s="563">
        <v>0</v>
      </c>
      <c r="DC90" s="563">
        <v>0</v>
      </c>
      <c r="DD90" s="563">
        <v>0</v>
      </c>
      <c r="DE90" s="650">
        <v>5666.3135362835665</v>
      </c>
      <c r="DF90" s="564">
        <v>4000</v>
      </c>
      <c r="DG90" s="565">
        <v>100.7404044251127</v>
      </c>
      <c r="DH90" s="649">
        <v>2.4205747579184158</v>
      </c>
      <c r="DI90" s="646">
        <v>19.132395096811184</v>
      </c>
      <c r="DJ90" s="646">
        <v>0</v>
      </c>
      <c r="DK90" s="646">
        <v>0</v>
      </c>
      <c r="DL90" s="646">
        <v>30.612272956731498</v>
      </c>
      <c r="DM90" s="646">
        <v>0.48835905979952171</v>
      </c>
      <c r="DN90" s="646">
        <v>3480</v>
      </c>
      <c r="DO90" s="563" t="s">
        <v>1588</v>
      </c>
      <c r="DP90" s="563">
        <v>2</v>
      </c>
      <c r="DQ90" s="563">
        <v>0</v>
      </c>
      <c r="DR90" s="563">
        <v>0</v>
      </c>
      <c r="DS90" s="563">
        <v>0</v>
      </c>
      <c r="DT90" s="650">
        <v>4370.4174377155696</v>
      </c>
      <c r="DU90" s="563">
        <v>0</v>
      </c>
      <c r="DV90" s="563">
        <v>0</v>
      </c>
      <c r="DW90" s="563">
        <v>0</v>
      </c>
      <c r="DX90" s="650">
        <v>4485.5560601930119</v>
      </c>
      <c r="DY90" s="564">
        <v>4000</v>
      </c>
      <c r="DZ90" s="565">
        <v>100.7404044251127</v>
      </c>
      <c r="EA90" s="649">
        <v>2.4205747579184158</v>
      </c>
      <c r="EB90" s="646">
        <v>19.132395096811184</v>
      </c>
      <c r="EC90" s="646">
        <v>0</v>
      </c>
      <c r="ED90" s="646">
        <v>0</v>
      </c>
      <c r="EE90" s="646">
        <v>30.612272956731498</v>
      </c>
      <c r="EF90" s="646">
        <v>0.48835905979952171</v>
      </c>
      <c r="EG90" s="646">
        <v>3600</v>
      </c>
      <c r="EH90" s="563" t="s">
        <v>1588</v>
      </c>
      <c r="EI90" s="563">
        <v>2</v>
      </c>
      <c r="EJ90" s="563">
        <v>0</v>
      </c>
      <c r="EK90" s="563">
        <v>0</v>
      </c>
      <c r="EL90" s="563">
        <v>0</v>
      </c>
      <c r="EM90" s="650">
        <v>4370.4174377155696</v>
      </c>
      <c r="EN90" s="563">
        <v>0</v>
      </c>
      <c r="EO90" s="563">
        <v>0</v>
      </c>
      <c r="EP90" s="563">
        <v>0</v>
      </c>
      <c r="EQ90" s="650">
        <v>4485.5560601930119</v>
      </c>
      <c r="ER90" s="564">
        <v>4000</v>
      </c>
      <c r="ES90" s="565">
        <v>100.7404044251127</v>
      </c>
      <c r="ET90" s="649">
        <v>2.4205747579184158</v>
      </c>
      <c r="EU90" s="646">
        <v>19.132395096811184</v>
      </c>
      <c r="EV90" s="646">
        <v>0</v>
      </c>
      <c r="EW90" s="646">
        <v>0</v>
      </c>
      <c r="EX90" s="646">
        <v>30.612272956731498</v>
      </c>
      <c r="EY90" s="646">
        <v>0.48835905979952171</v>
      </c>
      <c r="EZ90" s="646">
        <v>3480</v>
      </c>
      <c r="FA90" s="563" t="s">
        <v>1589</v>
      </c>
      <c r="FB90" s="563">
        <v>2</v>
      </c>
      <c r="FC90" s="563">
        <v>0</v>
      </c>
      <c r="FD90" s="563">
        <v>0</v>
      </c>
      <c r="FE90" s="563">
        <v>0</v>
      </c>
      <c r="FF90" s="650">
        <v>4655.2955087013361</v>
      </c>
      <c r="FG90" s="563">
        <v>0</v>
      </c>
      <c r="FH90" s="563">
        <v>0</v>
      </c>
      <c r="FI90" s="563">
        <v>0</v>
      </c>
      <c r="FJ90" s="650">
        <v>4777.9392423345862</v>
      </c>
      <c r="FK90" s="564">
        <v>4000</v>
      </c>
      <c r="FL90" s="565">
        <v>100.7404044251127</v>
      </c>
      <c r="FM90" s="649">
        <v>2.4205747579184158</v>
      </c>
      <c r="FN90" s="646">
        <v>19.132395096811184</v>
      </c>
      <c r="FO90" s="646">
        <v>0</v>
      </c>
      <c r="FP90" s="646">
        <v>0</v>
      </c>
      <c r="FQ90" s="646">
        <v>30.612272956731498</v>
      </c>
      <c r="FR90" s="646">
        <v>0.48835905979952171</v>
      </c>
      <c r="FS90" s="646">
        <v>3600</v>
      </c>
      <c r="FT90" s="563" t="s">
        <v>1589</v>
      </c>
      <c r="FU90" s="563">
        <v>2</v>
      </c>
      <c r="FV90" s="563">
        <v>0</v>
      </c>
      <c r="FW90" s="563">
        <v>0</v>
      </c>
      <c r="FX90" s="563">
        <v>0</v>
      </c>
      <c r="FY90" s="650">
        <v>4655.2955087013361</v>
      </c>
      <c r="FZ90" s="563">
        <v>0</v>
      </c>
      <c r="GA90" s="563">
        <v>0</v>
      </c>
      <c r="GB90" s="563">
        <v>0</v>
      </c>
      <c r="GC90" s="650">
        <v>4777.9392423345862</v>
      </c>
      <c r="GD90" s="564">
        <v>4000</v>
      </c>
      <c r="GE90" s="565">
        <v>100.7404044251127</v>
      </c>
      <c r="GF90" s="649">
        <v>2.4205747579184158</v>
      </c>
      <c r="GG90" s="646">
        <v>19.132395096811184</v>
      </c>
      <c r="GH90" s="646">
        <v>0</v>
      </c>
      <c r="GI90" s="646">
        <v>0</v>
      </c>
      <c r="GJ90" s="646">
        <v>30.612272956731498</v>
      </c>
      <c r="GK90" s="646">
        <v>0.48835905979952171</v>
      </c>
      <c r="GL90" s="646">
        <v>3480</v>
      </c>
      <c r="GM90" s="563" t="s">
        <v>1587</v>
      </c>
      <c r="GN90" s="563">
        <v>2</v>
      </c>
      <c r="GO90" s="563">
        <v>0</v>
      </c>
      <c r="GP90" s="563">
        <v>0</v>
      </c>
      <c r="GQ90" s="563">
        <v>0</v>
      </c>
      <c r="GR90" s="650">
        <v>5749.6644922015785</v>
      </c>
      <c r="GS90" s="563">
        <v>0</v>
      </c>
      <c r="GT90" s="563">
        <v>0</v>
      </c>
      <c r="GU90" s="563">
        <v>0</v>
      </c>
      <c r="GV90" s="650">
        <v>5901.1393704652864</v>
      </c>
      <c r="GW90" s="564">
        <v>4000</v>
      </c>
      <c r="GX90" s="565">
        <v>100.7404044251127</v>
      </c>
      <c r="GY90" s="649">
        <v>2.4205747579184158</v>
      </c>
      <c r="GZ90" s="646">
        <v>19.132395096811184</v>
      </c>
      <c r="HA90" s="646">
        <v>0</v>
      </c>
      <c r="HB90" s="646">
        <v>0</v>
      </c>
      <c r="HC90" s="646">
        <v>30.612272956731498</v>
      </c>
      <c r="HD90" s="646">
        <v>0.48835905979952171</v>
      </c>
      <c r="HE90" s="646">
        <v>3600</v>
      </c>
      <c r="HF90" s="563" t="s">
        <v>1587</v>
      </c>
      <c r="HG90" s="563">
        <v>2</v>
      </c>
      <c r="HH90" s="563">
        <v>0</v>
      </c>
      <c r="HI90" s="563">
        <v>0</v>
      </c>
      <c r="HJ90" s="563">
        <v>0</v>
      </c>
      <c r="HK90" s="650">
        <v>5749.6644922015785</v>
      </c>
      <c r="HL90" s="563">
        <v>0</v>
      </c>
      <c r="HM90" s="563">
        <v>0</v>
      </c>
      <c r="HN90" s="563">
        <v>0</v>
      </c>
      <c r="HO90" s="650">
        <v>5901.1393704652864</v>
      </c>
      <c r="HP90" s="564">
        <v>4000</v>
      </c>
      <c r="HQ90" s="565">
        <v>100.7404044251127</v>
      </c>
      <c r="HR90" s="649">
        <v>2.4205747579184158</v>
      </c>
      <c r="HS90" s="646">
        <v>19.132395096811184</v>
      </c>
      <c r="HT90" s="646">
        <v>0</v>
      </c>
      <c r="HU90" s="646">
        <v>0</v>
      </c>
      <c r="HV90" s="646">
        <v>30.612272956731498</v>
      </c>
      <c r="HW90" s="646">
        <v>0.48835905979952171</v>
      </c>
      <c r="HX90" s="646">
        <v>3480</v>
      </c>
      <c r="HY90" s="563" t="s">
        <v>68</v>
      </c>
      <c r="HZ90" s="563">
        <v>2</v>
      </c>
      <c r="IA90" s="563">
        <v>0</v>
      </c>
      <c r="IB90" s="563">
        <v>0</v>
      </c>
      <c r="IC90" s="563">
        <v>0</v>
      </c>
      <c r="ID90" s="650">
        <v>5070.7274561412833</v>
      </c>
      <c r="IE90" s="563">
        <v>0</v>
      </c>
      <c r="IF90" s="563">
        <v>0</v>
      </c>
      <c r="IG90" s="563">
        <v>0</v>
      </c>
      <c r="IH90" s="650">
        <v>5204.315742061136</v>
      </c>
      <c r="II90" s="564">
        <v>4000</v>
      </c>
      <c r="IJ90" s="565">
        <v>100.7404044251127</v>
      </c>
      <c r="IK90" s="649">
        <v>2.4205747579184158</v>
      </c>
      <c r="IL90" s="646">
        <v>19.132395096811184</v>
      </c>
      <c r="IM90" s="646">
        <v>0</v>
      </c>
      <c r="IN90" s="646">
        <v>0</v>
      </c>
      <c r="IO90" s="646">
        <v>30.612272956731498</v>
      </c>
      <c r="IP90" s="646">
        <v>0.48835905979952171</v>
      </c>
      <c r="IQ90" s="646">
        <v>3600</v>
      </c>
      <c r="IR90" s="563" t="s">
        <v>68</v>
      </c>
      <c r="IS90" s="563">
        <v>2</v>
      </c>
      <c r="IT90" s="563">
        <v>0</v>
      </c>
      <c r="IU90" s="563">
        <v>0</v>
      </c>
      <c r="IV90" s="563">
        <v>0</v>
      </c>
      <c r="IW90" s="650">
        <v>5070.7274561412833</v>
      </c>
      <c r="IX90" s="563">
        <v>0</v>
      </c>
      <c r="IY90" s="563">
        <v>0</v>
      </c>
      <c r="IZ90" s="563">
        <v>0</v>
      </c>
      <c r="JA90" s="650">
        <v>5204.315742061136</v>
      </c>
      <c r="JB90" s="564">
        <v>4000</v>
      </c>
      <c r="JC90" s="565">
        <v>100.7404044251127</v>
      </c>
      <c r="JD90" s="649">
        <v>2.4205747579184158</v>
      </c>
      <c r="JE90" s="646">
        <v>19.132395096811184</v>
      </c>
      <c r="JF90" s="646">
        <v>0</v>
      </c>
      <c r="JG90" s="646">
        <v>0</v>
      </c>
      <c r="JH90" s="646">
        <v>30.612272956731498</v>
      </c>
      <c r="JI90" s="646">
        <v>0.48835905979952171</v>
      </c>
      <c r="JJ90" s="646">
        <v>3480</v>
      </c>
      <c r="JK90" s="563" t="s">
        <v>67</v>
      </c>
      <c r="JL90" s="563">
        <v>2</v>
      </c>
      <c r="JM90" s="563">
        <v>0</v>
      </c>
      <c r="JN90" s="563">
        <v>0</v>
      </c>
      <c r="JO90" s="563">
        <v>0</v>
      </c>
      <c r="JP90" s="650">
        <v>6910.2367144491354</v>
      </c>
      <c r="JQ90" s="563">
        <v>0</v>
      </c>
      <c r="JR90" s="563">
        <v>0</v>
      </c>
      <c r="JS90" s="563">
        <v>0</v>
      </c>
      <c r="JT90" s="650">
        <v>7092.2868612906268</v>
      </c>
      <c r="JU90" s="564">
        <v>4000</v>
      </c>
      <c r="JV90" s="565">
        <v>100.7404044251127</v>
      </c>
      <c r="JW90" s="649">
        <v>2.4205747579184158</v>
      </c>
      <c r="JX90" s="646">
        <v>19.132395096811184</v>
      </c>
      <c r="JY90" s="646">
        <v>0</v>
      </c>
      <c r="JZ90" s="646">
        <v>0</v>
      </c>
      <c r="KA90" s="646">
        <v>30.612272956731498</v>
      </c>
      <c r="KB90" s="646">
        <v>0.48835905979952171</v>
      </c>
      <c r="KC90" s="646">
        <v>3600</v>
      </c>
      <c r="KD90" s="563" t="s">
        <v>67</v>
      </c>
      <c r="KE90" s="563">
        <v>2</v>
      </c>
      <c r="KF90" s="563">
        <v>0</v>
      </c>
      <c r="KG90" s="563">
        <v>0</v>
      </c>
      <c r="KH90" s="563">
        <v>0</v>
      </c>
      <c r="KI90" s="650">
        <v>6910.2367144491354</v>
      </c>
      <c r="KJ90" s="563">
        <v>0</v>
      </c>
      <c r="KK90" s="563">
        <v>0</v>
      </c>
      <c r="KL90" s="563">
        <v>0</v>
      </c>
      <c r="KM90" s="650">
        <v>7092.2868612906268</v>
      </c>
      <c r="KN90" s="564">
        <v>4000</v>
      </c>
      <c r="KO90" s="566">
        <v>100.7404044251127</v>
      </c>
    </row>
    <row r="91" spans="1:301" ht="15" customHeight="1">
      <c r="A91" s="802" t="s">
        <v>1002</v>
      </c>
      <c r="B91" s="629" t="s">
        <v>384</v>
      </c>
      <c r="C91" s="629">
        <v>355.12666424333946</v>
      </c>
      <c r="D91" s="629">
        <v>638</v>
      </c>
      <c r="E91" s="629">
        <v>355</v>
      </c>
      <c r="F91" s="629">
        <v>291.57357518945429</v>
      </c>
      <c r="G91" s="629">
        <v>183.28920281722259</v>
      </c>
      <c r="H91" s="629">
        <v>154.0081730148259</v>
      </c>
      <c r="I91" s="629">
        <v>134.04894840072134</v>
      </c>
      <c r="J91" s="629">
        <v>25.866912704330069</v>
      </c>
      <c r="K91" s="629">
        <v>36.459282805542969</v>
      </c>
      <c r="L91" s="629">
        <v>9</v>
      </c>
      <c r="M91" s="629">
        <v>280.57070866786336</v>
      </c>
      <c r="N91" s="629">
        <v>4</v>
      </c>
      <c r="O91" s="623">
        <v>6.9303507234653283</v>
      </c>
      <c r="P91" s="629">
        <v>4</v>
      </c>
      <c r="Q91" s="623">
        <v>4.7107721606912012</v>
      </c>
      <c r="R91" s="629">
        <v>13.000000000000002</v>
      </c>
      <c r="S91" s="629">
        <v>464.78678759472712</v>
      </c>
      <c r="T91" s="645">
        <v>17.314519280493695</v>
      </c>
      <c r="U91" s="645">
        <v>69.718018139209065</v>
      </c>
      <c r="V91" s="645">
        <v>72.5</v>
      </c>
      <c r="W91" s="793">
        <v>1.6294793986329996</v>
      </c>
      <c r="X91" s="646">
        <v>0</v>
      </c>
      <c r="Y91" s="646">
        <v>0</v>
      </c>
      <c r="Z91" s="646">
        <v>0</v>
      </c>
      <c r="AA91" s="646">
        <v>0</v>
      </c>
      <c r="AB91" s="647">
        <v>7.7783315859432074</v>
      </c>
      <c r="AC91" s="784">
        <v>4000</v>
      </c>
      <c r="AD91" s="631">
        <v>0.66888969731684444</v>
      </c>
      <c r="AE91" s="631">
        <v>0.48486046820515211</v>
      </c>
      <c r="AF91" s="631">
        <v>-0.42532317986639762</v>
      </c>
      <c r="AG91" s="631">
        <v>1.011040783532652</v>
      </c>
      <c r="AH91" s="629"/>
      <c r="AI91" s="648">
        <v>1.808049059786347</v>
      </c>
      <c r="AJ91" s="649">
        <v>17.129881807250975</v>
      </c>
      <c r="AK91" s="646">
        <v>47.715003370534198</v>
      </c>
      <c r="AL91" s="646">
        <v>0</v>
      </c>
      <c r="AM91" s="646">
        <v>0</v>
      </c>
      <c r="AN91" s="646">
        <v>53.80773174692284</v>
      </c>
      <c r="AO91" s="646">
        <v>2.4378560916699197</v>
      </c>
      <c r="AP91" s="801">
        <v>2950</v>
      </c>
      <c r="AQ91" s="563" t="s">
        <v>71</v>
      </c>
      <c r="AR91" s="563">
        <v>6</v>
      </c>
      <c r="AS91" s="563">
        <v>0</v>
      </c>
      <c r="AT91" s="563">
        <v>0</v>
      </c>
      <c r="AU91" s="563">
        <v>0</v>
      </c>
      <c r="AV91" s="650">
        <v>4282.5199058920289</v>
      </c>
      <c r="AW91" s="563">
        <v>0</v>
      </c>
      <c r="AX91" s="563">
        <v>0</v>
      </c>
      <c r="AY91" s="563">
        <v>0</v>
      </c>
      <c r="AZ91" s="650">
        <v>4198.8996116765766</v>
      </c>
      <c r="BA91" s="564">
        <v>4000</v>
      </c>
      <c r="BB91" s="565">
        <v>133.62240753268586</v>
      </c>
      <c r="BC91" s="649">
        <v>17.129881807250975</v>
      </c>
      <c r="BD91" s="646">
        <v>47.715003370534198</v>
      </c>
      <c r="BE91" s="646">
        <v>0</v>
      </c>
      <c r="BF91" s="646">
        <v>0</v>
      </c>
      <c r="BG91" s="646">
        <v>53.80773174692284</v>
      </c>
      <c r="BH91" s="646">
        <v>2.4378560916699197</v>
      </c>
      <c r="BI91" s="646">
        <v>3600</v>
      </c>
      <c r="BJ91" s="563" t="s">
        <v>71</v>
      </c>
      <c r="BK91" s="563">
        <v>6</v>
      </c>
      <c r="BL91" s="563">
        <v>0</v>
      </c>
      <c r="BM91" s="563">
        <v>0</v>
      </c>
      <c r="BN91" s="563">
        <v>0</v>
      </c>
      <c r="BO91" s="650">
        <v>4282.5199058920289</v>
      </c>
      <c r="BP91" s="563">
        <v>0</v>
      </c>
      <c r="BQ91" s="563">
        <v>0</v>
      </c>
      <c r="BR91" s="563">
        <v>0</v>
      </c>
      <c r="BS91" s="650">
        <v>4198.8996116765766</v>
      </c>
      <c r="BT91" s="564">
        <v>4000</v>
      </c>
      <c r="BU91" s="565">
        <v>133.62240753268586</v>
      </c>
      <c r="BV91" s="649">
        <v>17.129881807250975</v>
      </c>
      <c r="BW91" s="646">
        <v>47.715003370534198</v>
      </c>
      <c r="BX91" s="646">
        <v>0</v>
      </c>
      <c r="BY91" s="646">
        <v>0</v>
      </c>
      <c r="BZ91" s="646">
        <v>53.80773174692284</v>
      </c>
      <c r="CA91" s="646">
        <v>2.4378560916699197</v>
      </c>
      <c r="CB91" s="646">
        <v>2950</v>
      </c>
      <c r="CC91" s="563" t="s">
        <v>1584</v>
      </c>
      <c r="CD91" s="563">
        <v>6</v>
      </c>
      <c r="CE91" s="563">
        <v>0</v>
      </c>
      <c r="CF91" s="563">
        <v>0</v>
      </c>
      <c r="CG91" s="563">
        <v>0</v>
      </c>
      <c r="CH91" s="650">
        <v>4195.9954330989221</v>
      </c>
      <c r="CI91" s="563">
        <v>0</v>
      </c>
      <c r="CJ91" s="563">
        <v>0</v>
      </c>
      <c r="CK91" s="563">
        <v>0</v>
      </c>
      <c r="CL91" s="650">
        <v>4114.0646119112171</v>
      </c>
      <c r="CM91" s="564">
        <v>4000</v>
      </c>
      <c r="CN91" s="565">
        <v>133.62240753268586</v>
      </c>
      <c r="CO91" s="649">
        <v>17.129881807250975</v>
      </c>
      <c r="CP91" s="646">
        <v>47.715003370534198</v>
      </c>
      <c r="CQ91" s="646">
        <v>0</v>
      </c>
      <c r="CR91" s="646">
        <v>0</v>
      </c>
      <c r="CS91" s="646">
        <v>53.80773174692284</v>
      </c>
      <c r="CT91" s="646">
        <v>2.4378560916699197</v>
      </c>
      <c r="CU91" s="646">
        <v>3600</v>
      </c>
      <c r="CV91" s="563" t="s">
        <v>1584</v>
      </c>
      <c r="CW91" s="563">
        <v>6</v>
      </c>
      <c r="CX91" s="563">
        <v>0</v>
      </c>
      <c r="CY91" s="563">
        <v>0</v>
      </c>
      <c r="CZ91" s="563">
        <v>0</v>
      </c>
      <c r="DA91" s="650">
        <v>4195.9954330989221</v>
      </c>
      <c r="DB91" s="563">
        <v>0</v>
      </c>
      <c r="DC91" s="563">
        <v>0</v>
      </c>
      <c r="DD91" s="563">
        <v>0</v>
      </c>
      <c r="DE91" s="650">
        <v>4114.0646119112171</v>
      </c>
      <c r="DF91" s="564">
        <v>4000</v>
      </c>
      <c r="DG91" s="565">
        <v>133.62240753268586</v>
      </c>
      <c r="DH91" s="649">
        <v>17.129881807250975</v>
      </c>
      <c r="DI91" s="646">
        <v>47.715003370534198</v>
      </c>
      <c r="DJ91" s="646">
        <v>0</v>
      </c>
      <c r="DK91" s="646">
        <v>0</v>
      </c>
      <c r="DL91" s="646">
        <v>53.80773174692284</v>
      </c>
      <c r="DM91" s="646">
        <v>2.4378560916699197</v>
      </c>
      <c r="DN91" s="646">
        <v>2950</v>
      </c>
      <c r="DO91" s="563" t="s">
        <v>1588</v>
      </c>
      <c r="DP91" s="563">
        <v>6</v>
      </c>
      <c r="DQ91" s="563">
        <v>0</v>
      </c>
      <c r="DR91" s="563">
        <v>0</v>
      </c>
      <c r="DS91" s="563">
        <v>0</v>
      </c>
      <c r="DT91" s="650">
        <v>4367.3305134985985</v>
      </c>
      <c r="DU91" s="563">
        <v>0</v>
      </c>
      <c r="DV91" s="563">
        <v>0</v>
      </c>
      <c r="DW91" s="563">
        <v>0</v>
      </c>
      <c r="DX91" s="650">
        <v>4282.0542111112063</v>
      </c>
      <c r="DY91" s="564">
        <v>4000</v>
      </c>
      <c r="DZ91" s="565">
        <v>133.62240753268586</v>
      </c>
      <c r="EA91" s="649">
        <v>17.129881807250975</v>
      </c>
      <c r="EB91" s="646">
        <v>47.715003370534198</v>
      </c>
      <c r="EC91" s="646">
        <v>0</v>
      </c>
      <c r="ED91" s="646">
        <v>0</v>
      </c>
      <c r="EE91" s="646">
        <v>53.80773174692284</v>
      </c>
      <c r="EF91" s="646">
        <v>2.4378560916699197</v>
      </c>
      <c r="EG91" s="646">
        <v>3600</v>
      </c>
      <c r="EH91" s="563" t="s">
        <v>1588</v>
      </c>
      <c r="EI91" s="563">
        <v>6</v>
      </c>
      <c r="EJ91" s="563">
        <v>0</v>
      </c>
      <c r="EK91" s="563">
        <v>0</v>
      </c>
      <c r="EL91" s="563">
        <v>0</v>
      </c>
      <c r="EM91" s="650">
        <v>4367.3305134985985</v>
      </c>
      <c r="EN91" s="563">
        <v>0</v>
      </c>
      <c r="EO91" s="563">
        <v>0</v>
      </c>
      <c r="EP91" s="563">
        <v>0</v>
      </c>
      <c r="EQ91" s="650">
        <v>4282.0542111112063</v>
      </c>
      <c r="ER91" s="564">
        <v>4000</v>
      </c>
      <c r="ES91" s="565">
        <v>133.62240753268586</v>
      </c>
      <c r="ET91" s="649">
        <v>14.274901506042479</v>
      </c>
      <c r="EU91" s="646">
        <v>44.860023069325706</v>
      </c>
      <c r="EV91" s="646">
        <v>0</v>
      </c>
      <c r="EW91" s="646">
        <v>0</v>
      </c>
      <c r="EX91" s="646">
        <v>52.331470002725766</v>
      </c>
      <c r="EY91" s="646">
        <v>2.2475863050483387</v>
      </c>
      <c r="EZ91" s="646">
        <v>2950</v>
      </c>
      <c r="FA91" s="563" t="s">
        <v>1589</v>
      </c>
      <c r="FB91" s="563">
        <v>5</v>
      </c>
      <c r="FC91" s="563">
        <v>0</v>
      </c>
      <c r="FD91" s="563">
        <v>0</v>
      </c>
      <c r="FE91" s="563">
        <v>0</v>
      </c>
      <c r="FF91" s="650">
        <v>3648.2183147711776</v>
      </c>
      <c r="FG91" s="563">
        <v>0</v>
      </c>
      <c r="FH91" s="563">
        <v>0</v>
      </c>
      <c r="FI91" s="563">
        <v>0</v>
      </c>
      <c r="FJ91" s="650">
        <v>3427.3662550664667</v>
      </c>
      <c r="FK91" s="564">
        <v>3427.3662550664667</v>
      </c>
      <c r="FL91" s="565">
        <v>114.4932326245667</v>
      </c>
      <c r="FM91" s="649">
        <v>17.129881807250975</v>
      </c>
      <c r="FN91" s="646">
        <v>47.715003370534198</v>
      </c>
      <c r="FO91" s="646">
        <v>0</v>
      </c>
      <c r="FP91" s="646">
        <v>0</v>
      </c>
      <c r="FQ91" s="646">
        <v>53.80773174692284</v>
      </c>
      <c r="FR91" s="646">
        <v>2.4378560916699197</v>
      </c>
      <c r="FS91" s="646">
        <v>3600</v>
      </c>
      <c r="FT91" s="563" t="s">
        <v>1589</v>
      </c>
      <c r="FU91" s="563">
        <v>6</v>
      </c>
      <c r="FV91" s="563">
        <v>0</v>
      </c>
      <c r="FW91" s="563">
        <v>0</v>
      </c>
      <c r="FX91" s="563">
        <v>0</v>
      </c>
      <c r="FY91" s="650">
        <v>4652.0073686900523</v>
      </c>
      <c r="FZ91" s="563">
        <v>0</v>
      </c>
      <c r="GA91" s="563">
        <v>0</v>
      </c>
      <c r="GB91" s="563">
        <v>0</v>
      </c>
      <c r="GC91" s="650">
        <v>4561.1724786228469</v>
      </c>
      <c r="GD91" s="564">
        <v>4000</v>
      </c>
      <c r="GE91" s="565">
        <v>133.62240753268586</v>
      </c>
      <c r="GF91" s="649">
        <v>11.419921204833983</v>
      </c>
      <c r="GG91" s="646">
        <v>42.005042768117207</v>
      </c>
      <c r="GH91" s="646">
        <v>0</v>
      </c>
      <c r="GI91" s="646">
        <v>0</v>
      </c>
      <c r="GJ91" s="646">
        <v>50.654532438609806</v>
      </c>
      <c r="GK91" s="646">
        <v>2.0573165184267577</v>
      </c>
      <c r="GL91" s="646">
        <v>2950</v>
      </c>
      <c r="GM91" s="563" t="s">
        <v>1587</v>
      </c>
      <c r="GN91" s="563">
        <v>4</v>
      </c>
      <c r="GO91" s="563">
        <v>0</v>
      </c>
      <c r="GP91" s="563">
        <v>0</v>
      </c>
      <c r="GQ91" s="563">
        <v>0</v>
      </c>
      <c r="GR91" s="650">
        <v>3727.8110929623181</v>
      </c>
      <c r="GS91" s="563">
        <v>0</v>
      </c>
      <c r="GT91" s="563">
        <v>0</v>
      </c>
      <c r="GU91" s="563">
        <v>0</v>
      </c>
      <c r="GV91" s="650">
        <v>3445.4023953083502</v>
      </c>
      <c r="GW91" s="564">
        <v>3445.4023953083502</v>
      </c>
      <c r="GX91" s="565">
        <v>115.09574074499612</v>
      </c>
      <c r="GY91" s="649">
        <v>14.274901506042479</v>
      </c>
      <c r="GZ91" s="646">
        <v>44.860023069325706</v>
      </c>
      <c r="HA91" s="646">
        <v>0</v>
      </c>
      <c r="HB91" s="646">
        <v>0</v>
      </c>
      <c r="HC91" s="646">
        <v>52.331470002725766</v>
      </c>
      <c r="HD91" s="646">
        <v>2.2475863050483387</v>
      </c>
      <c r="HE91" s="646">
        <v>3600</v>
      </c>
      <c r="HF91" s="563" t="s">
        <v>1587</v>
      </c>
      <c r="HG91" s="563">
        <v>5</v>
      </c>
      <c r="HH91" s="563">
        <v>0</v>
      </c>
      <c r="HI91" s="563">
        <v>0</v>
      </c>
      <c r="HJ91" s="563">
        <v>0</v>
      </c>
      <c r="HK91" s="650">
        <v>4505.8431339175922</v>
      </c>
      <c r="HL91" s="563">
        <v>0</v>
      </c>
      <c r="HM91" s="563">
        <v>0</v>
      </c>
      <c r="HN91" s="563">
        <v>0</v>
      </c>
      <c r="HO91" s="650">
        <v>4233.0730716647677</v>
      </c>
      <c r="HP91" s="564">
        <v>4000</v>
      </c>
      <c r="HQ91" s="565">
        <v>133.62240753268586</v>
      </c>
      <c r="HR91" s="649">
        <v>14.274901506042479</v>
      </c>
      <c r="HS91" s="646">
        <v>44.860023069325706</v>
      </c>
      <c r="HT91" s="646">
        <v>0</v>
      </c>
      <c r="HU91" s="646">
        <v>0</v>
      </c>
      <c r="HV91" s="646">
        <v>52.331470002725766</v>
      </c>
      <c r="HW91" s="646">
        <v>2.2475863050483387</v>
      </c>
      <c r="HX91" s="646">
        <v>2950</v>
      </c>
      <c r="HY91" s="563" t="s">
        <v>68</v>
      </c>
      <c r="HZ91" s="563">
        <v>5</v>
      </c>
      <c r="IA91" s="563">
        <v>0</v>
      </c>
      <c r="IB91" s="563">
        <v>0</v>
      </c>
      <c r="IC91" s="563">
        <v>0</v>
      </c>
      <c r="ID91" s="650">
        <v>3973.7801263379511</v>
      </c>
      <c r="IE91" s="563">
        <v>0</v>
      </c>
      <c r="IF91" s="563">
        <v>0</v>
      </c>
      <c r="IG91" s="563">
        <v>0</v>
      </c>
      <c r="IH91" s="650">
        <v>3733.2195430630904</v>
      </c>
      <c r="II91" s="564">
        <v>3733.2195430630904</v>
      </c>
      <c r="IJ91" s="565">
        <v>124.71044579804089</v>
      </c>
      <c r="IK91" s="649">
        <v>14.274901506042479</v>
      </c>
      <c r="IL91" s="646">
        <v>44.860023069325706</v>
      </c>
      <c r="IM91" s="646">
        <v>0</v>
      </c>
      <c r="IN91" s="646">
        <v>0</v>
      </c>
      <c r="IO91" s="646">
        <v>52.331470002725766</v>
      </c>
      <c r="IP91" s="646">
        <v>2.2475863050483387</v>
      </c>
      <c r="IQ91" s="646">
        <v>3600</v>
      </c>
      <c r="IR91" s="563" t="s">
        <v>68</v>
      </c>
      <c r="IS91" s="563">
        <v>5</v>
      </c>
      <c r="IT91" s="563">
        <v>0</v>
      </c>
      <c r="IU91" s="563">
        <v>0</v>
      </c>
      <c r="IV91" s="563">
        <v>0</v>
      </c>
      <c r="IW91" s="650">
        <v>3973.7801263379511</v>
      </c>
      <c r="IX91" s="563">
        <v>0</v>
      </c>
      <c r="IY91" s="563">
        <v>0</v>
      </c>
      <c r="IZ91" s="563">
        <v>0</v>
      </c>
      <c r="JA91" s="650">
        <v>3733.2195430630904</v>
      </c>
      <c r="JB91" s="564">
        <v>3733.2195430630904</v>
      </c>
      <c r="JC91" s="565">
        <v>124.71044579804089</v>
      </c>
      <c r="JD91" s="649">
        <v>8.5649409036254873</v>
      </c>
      <c r="JE91" s="646">
        <v>39.150062466908707</v>
      </c>
      <c r="JF91" s="646">
        <v>0</v>
      </c>
      <c r="JG91" s="646">
        <v>0</v>
      </c>
      <c r="JH91" s="646">
        <v>48.733016786479077</v>
      </c>
      <c r="JI91" s="646">
        <v>1.8670467318051764</v>
      </c>
      <c r="JJ91" s="646">
        <v>2950</v>
      </c>
      <c r="JK91" s="563" t="s">
        <v>67</v>
      </c>
      <c r="JL91" s="563">
        <v>3</v>
      </c>
      <c r="JM91" s="563">
        <v>0</v>
      </c>
      <c r="JN91" s="563">
        <v>0</v>
      </c>
      <c r="JO91" s="563">
        <v>0</v>
      </c>
      <c r="JP91" s="650">
        <v>3710.5935255403501</v>
      </c>
      <c r="JQ91" s="563">
        <v>0</v>
      </c>
      <c r="JR91" s="563">
        <v>0</v>
      </c>
      <c r="JS91" s="563">
        <v>0</v>
      </c>
      <c r="JT91" s="650">
        <v>3402.0325592156178</v>
      </c>
      <c r="JU91" s="564">
        <v>3402.0325592156178</v>
      </c>
      <c r="JV91" s="565">
        <v>113.64694526674388</v>
      </c>
      <c r="JW91" s="649">
        <v>11.419921204833983</v>
      </c>
      <c r="JX91" s="646">
        <v>42.005042768117207</v>
      </c>
      <c r="JY91" s="646">
        <v>0</v>
      </c>
      <c r="JZ91" s="646">
        <v>0</v>
      </c>
      <c r="KA91" s="646">
        <v>50.654532438609806</v>
      </c>
      <c r="KB91" s="646">
        <v>2.0573165184267577</v>
      </c>
      <c r="KC91" s="646">
        <v>3600</v>
      </c>
      <c r="KD91" s="563" t="s">
        <v>67</v>
      </c>
      <c r="KE91" s="563">
        <v>4</v>
      </c>
      <c r="KF91" s="563">
        <v>0</v>
      </c>
      <c r="KG91" s="563">
        <v>0</v>
      </c>
      <c r="KH91" s="563">
        <v>0</v>
      </c>
      <c r="KI91" s="650">
        <v>4480.2713469730325</v>
      </c>
      <c r="KJ91" s="563">
        <v>0</v>
      </c>
      <c r="KK91" s="563">
        <v>0</v>
      </c>
      <c r="KL91" s="563">
        <v>0</v>
      </c>
      <c r="KM91" s="650">
        <v>4140.8583336302345</v>
      </c>
      <c r="KN91" s="564">
        <v>4000</v>
      </c>
      <c r="KO91" s="566">
        <v>133.62240753268586</v>
      </c>
    </row>
    <row r="92" spans="1:301" ht="15" customHeight="1">
      <c r="A92" s="802" t="s">
        <v>1003</v>
      </c>
      <c r="B92" s="629" t="s">
        <v>382</v>
      </c>
      <c r="C92" s="629">
        <v>246.34507149933427</v>
      </c>
      <c r="D92" s="629">
        <v>784</v>
      </c>
      <c r="E92" s="629">
        <v>250</v>
      </c>
      <c r="F92" s="629">
        <v>200.760348064781</v>
      </c>
      <c r="G92" s="629">
        <v>107.6547041790775</v>
      </c>
      <c r="H92" s="629">
        <v>88.081250156811777</v>
      </c>
      <c r="I92" s="629">
        <v>59</v>
      </c>
      <c r="J92" s="629">
        <v>43.209228908929859</v>
      </c>
      <c r="K92" s="629">
        <v>68.046406243465213</v>
      </c>
      <c r="L92" s="629">
        <v>10</v>
      </c>
      <c r="M92" s="629">
        <v>331.62741560022869</v>
      </c>
      <c r="N92" s="629">
        <v>5</v>
      </c>
      <c r="O92" s="623">
        <v>17.021245601123599</v>
      </c>
      <c r="P92" s="629">
        <v>5</v>
      </c>
      <c r="Q92" s="623">
        <v>11.474311574784826</v>
      </c>
      <c r="R92" s="629">
        <v>13.000000000000002</v>
      </c>
      <c r="S92" s="629">
        <v>492.38017403239053</v>
      </c>
      <c r="T92" s="645">
        <v>19.431396129400163</v>
      </c>
      <c r="U92" s="645">
        <v>73.857026104858576</v>
      </c>
      <c r="V92" s="645">
        <v>60</v>
      </c>
      <c r="W92" s="793">
        <v>1.5134068139244357</v>
      </c>
      <c r="X92" s="646">
        <v>0</v>
      </c>
      <c r="Y92" s="646">
        <v>0</v>
      </c>
      <c r="Z92" s="646">
        <v>0</v>
      </c>
      <c r="AA92" s="646">
        <v>0</v>
      </c>
      <c r="AB92" s="647">
        <v>7.2190119829866033</v>
      </c>
      <c r="AC92" s="784">
        <v>4000</v>
      </c>
      <c r="AD92" s="631">
        <v>1.3629038305730332</v>
      </c>
      <c r="AE92" s="631">
        <v>0.93936566850738923</v>
      </c>
      <c r="AF92" s="631">
        <v>-0.22527905162026593</v>
      </c>
      <c r="AG92" s="631">
        <v>0.88659718582402813</v>
      </c>
      <c r="AH92" s="629"/>
      <c r="AI92" s="648">
        <v>2.3234353430331063</v>
      </c>
      <c r="AJ92" s="649">
        <v>5.7433945912668101</v>
      </c>
      <c r="AK92" s="646">
        <v>55.183754710499827</v>
      </c>
      <c r="AL92" s="646">
        <v>0</v>
      </c>
      <c r="AM92" s="646">
        <v>0</v>
      </c>
      <c r="AN92" s="646">
        <v>35.38337230012192</v>
      </c>
      <c r="AO92" s="646">
        <v>3.7437841594535506</v>
      </c>
      <c r="AP92" s="801">
        <v>3600</v>
      </c>
      <c r="AQ92" s="563" t="s">
        <v>71</v>
      </c>
      <c r="AR92" s="563">
        <v>3</v>
      </c>
      <c r="AS92" s="563">
        <v>0</v>
      </c>
      <c r="AT92" s="563">
        <v>0</v>
      </c>
      <c r="AU92" s="563">
        <v>0</v>
      </c>
      <c r="AV92" s="650">
        <v>5637.1097526735739</v>
      </c>
      <c r="AW92" s="563">
        <v>0</v>
      </c>
      <c r="AX92" s="563">
        <v>0</v>
      </c>
      <c r="AY92" s="563">
        <v>0</v>
      </c>
      <c r="AZ92" s="650">
        <v>7048.2962910017113</v>
      </c>
      <c r="BA92" s="564">
        <v>4000</v>
      </c>
      <c r="BB92" s="565">
        <v>164.20057602762651</v>
      </c>
      <c r="BC92" s="649">
        <v>5.7433945912668101</v>
      </c>
      <c r="BD92" s="646">
        <v>55.183754710499827</v>
      </c>
      <c r="BE92" s="646">
        <v>0</v>
      </c>
      <c r="BF92" s="646">
        <v>0</v>
      </c>
      <c r="BG92" s="646">
        <v>35.38337230012192</v>
      </c>
      <c r="BH92" s="646">
        <v>3.7437841594535506</v>
      </c>
      <c r="BI92" s="646">
        <v>3600</v>
      </c>
      <c r="BJ92" s="563" t="s">
        <v>71</v>
      </c>
      <c r="BK92" s="563">
        <v>3</v>
      </c>
      <c r="BL92" s="563">
        <v>0</v>
      </c>
      <c r="BM92" s="563">
        <v>0</v>
      </c>
      <c r="BN92" s="563">
        <v>0</v>
      </c>
      <c r="BO92" s="650">
        <v>5637.1097526735739</v>
      </c>
      <c r="BP92" s="563">
        <v>0</v>
      </c>
      <c r="BQ92" s="563">
        <v>0</v>
      </c>
      <c r="BR92" s="563">
        <v>0</v>
      </c>
      <c r="BS92" s="650">
        <v>7048.2962910017113</v>
      </c>
      <c r="BT92" s="564">
        <v>4000</v>
      </c>
      <c r="BU92" s="565">
        <v>164.20057602762651</v>
      </c>
      <c r="BV92" s="649">
        <v>5.7433945912668101</v>
      </c>
      <c r="BW92" s="646">
        <v>55.183754710499827</v>
      </c>
      <c r="BX92" s="646">
        <v>0</v>
      </c>
      <c r="BY92" s="646">
        <v>0</v>
      </c>
      <c r="BZ92" s="646">
        <v>35.38337230012192</v>
      </c>
      <c r="CA92" s="646">
        <v>3.7437841594535506</v>
      </c>
      <c r="CB92" s="646">
        <v>3600</v>
      </c>
      <c r="CC92" s="563" t="s">
        <v>1584</v>
      </c>
      <c r="CD92" s="563">
        <v>3</v>
      </c>
      <c r="CE92" s="563">
        <v>0</v>
      </c>
      <c r="CF92" s="563">
        <v>0</v>
      </c>
      <c r="CG92" s="563">
        <v>0</v>
      </c>
      <c r="CH92" s="650">
        <v>5523.2170072467752</v>
      </c>
      <c r="CI92" s="563">
        <v>0</v>
      </c>
      <c r="CJ92" s="563">
        <v>0</v>
      </c>
      <c r="CK92" s="563">
        <v>0</v>
      </c>
      <c r="CL92" s="650">
        <v>6905.891787562161</v>
      </c>
      <c r="CM92" s="564">
        <v>4000</v>
      </c>
      <c r="CN92" s="565">
        <v>164.20057602762651</v>
      </c>
      <c r="CO92" s="649">
        <v>5.7433945912668101</v>
      </c>
      <c r="CP92" s="646">
        <v>55.183754710499827</v>
      </c>
      <c r="CQ92" s="646">
        <v>0</v>
      </c>
      <c r="CR92" s="646">
        <v>0</v>
      </c>
      <c r="CS92" s="646">
        <v>35.38337230012192</v>
      </c>
      <c r="CT92" s="646">
        <v>3.7437841594535506</v>
      </c>
      <c r="CU92" s="646">
        <v>3600</v>
      </c>
      <c r="CV92" s="563" t="s">
        <v>1584</v>
      </c>
      <c r="CW92" s="563">
        <v>3</v>
      </c>
      <c r="CX92" s="563">
        <v>0</v>
      </c>
      <c r="CY92" s="563">
        <v>0</v>
      </c>
      <c r="CZ92" s="563">
        <v>0</v>
      </c>
      <c r="DA92" s="650">
        <v>5523.2170072467752</v>
      </c>
      <c r="DB92" s="563">
        <v>0</v>
      </c>
      <c r="DC92" s="563">
        <v>0</v>
      </c>
      <c r="DD92" s="563">
        <v>0</v>
      </c>
      <c r="DE92" s="650">
        <v>6905.891787562161</v>
      </c>
      <c r="DF92" s="564">
        <v>4000</v>
      </c>
      <c r="DG92" s="565">
        <v>164.20057602762651</v>
      </c>
      <c r="DH92" s="649">
        <v>5.7433945912668101</v>
      </c>
      <c r="DI92" s="646">
        <v>55.183754710499827</v>
      </c>
      <c r="DJ92" s="646">
        <v>0</v>
      </c>
      <c r="DK92" s="646">
        <v>0</v>
      </c>
      <c r="DL92" s="646">
        <v>35.38337230012192</v>
      </c>
      <c r="DM92" s="646">
        <v>3.7437841594535506</v>
      </c>
      <c r="DN92" s="646">
        <v>3600</v>
      </c>
      <c r="DO92" s="563" t="s">
        <v>1588</v>
      </c>
      <c r="DP92" s="563">
        <v>3</v>
      </c>
      <c r="DQ92" s="563">
        <v>0</v>
      </c>
      <c r="DR92" s="563">
        <v>0</v>
      </c>
      <c r="DS92" s="563">
        <v>0</v>
      </c>
      <c r="DT92" s="650">
        <v>5748.7465258293487</v>
      </c>
      <c r="DU92" s="563">
        <v>0</v>
      </c>
      <c r="DV92" s="563">
        <v>0</v>
      </c>
      <c r="DW92" s="563">
        <v>0</v>
      </c>
      <c r="DX92" s="650">
        <v>7187.8800650802723</v>
      </c>
      <c r="DY92" s="564">
        <v>4000</v>
      </c>
      <c r="DZ92" s="565">
        <v>164.20057602762651</v>
      </c>
      <c r="EA92" s="649">
        <v>5.7433945912668101</v>
      </c>
      <c r="EB92" s="646">
        <v>55.183754710499827</v>
      </c>
      <c r="EC92" s="646">
        <v>0</v>
      </c>
      <c r="ED92" s="646">
        <v>0</v>
      </c>
      <c r="EE92" s="646">
        <v>35.38337230012192</v>
      </c>
      <c r="EF92" s="646">
        <v>3.7437841594535506</v>
      </c>
      <c r="EG92" s="646">
        <v>3600</v>
      </c>
      <c r="EH92" s="563" t="s">
        <v>1588</v>
      </c>
      <c r="EI92" s="563">
        <v>3</v>
      </c>
      <c r="EJ92" s="563">
        <v>0</v>
      </c>
      <c r="EK92" s="563">
        <v>0</v>
      </c>
      <c r="EL92" s="563">
        <v>0</v>
      </c>
      <c r="EM92" s="650">
        <v>5748.7465258293487</v>
      </c>
      <c r="EN92" s="563">
        <v>0</v>
      </c>
      <c r="EO92" s="563">
        <v>0</v>
      </c>
      <c r="EP92" s="563">
        <v>0</v>
      </c>
      <c r="EQ92" s="650">
        <v>7187.8800650802723</v>
      </c>
      <c r="ER92" s="564">
        <v>4000</v>
      </c>
      <c r="ES92" s="565">
        <v>164.20057602762651</v>
      </c>
      <c r="ET92" s="649">
        <v>5.7433945912668101</v>
      </c>
      <c r="EU92" s="646">
        <v>55.183754710499827</v>
      </c>
      <c r="EV92" s="646">
        <v>0</v>
      </c>
      <c r="EW92" s="646">
        <v>0</v>
      </c>
      <c r="EX92" s="646">
        <v>35.38337230012192</v>
      </c>
      <c r="EY92" s="646">
        <v>3.7437841594535506</v>
      </c>
      <c r="EZ92" s="646">
        <v>3600</v>
      </c>
      <c r="FA92" s="563" t="s">
        <v>1589</v>
      </c>
      <c r="FB92" s="563">
        <v>3</v>
      </c>
      <c r="FC92" s="563">
        <v>0</v>
      </c>
      <c r="FD92" s="563">
        <v>0</v>
      </c>
      <c r="FE92" s="563">
        <v>0</v>
      </c>
      <c r="FF92" s="650">
        <v>6123.4685848096969</v>
      </c>
      <c r="FG92" s="563">
        <v>0</v>
      </c>
      <c r="FH92" s="563">
        <v>0</v>
      </c>
      <c r="FI92" s="563">
        <v>0</v>
      </c>
      <c r="FJ92" s="650">
        <v>7656.4095446092215</v>
      </c>
      <c r="FK92" s="564">
        <v>4000</v>
      </c>
      <c r="FL92" s="565">
        <v>164.20057602762651</v>
      </c>
      <c r="FM92" s="649">
        <v>5.7433945912668101</v>
      </c>
      <c r="FN92" s="646">
        <v>55.183754710499827</v>
      </c>
      <c r="FO92" s="646">
        <v>0</v>
      </c>
      <c r="FP92" s="646">
        <v>0</v>
      </c>
      <c r="FQ92" s="646">
        <v>35.38337230012192</v>
      </c>
      <c r="FR92" s="646">
        <v>3.7437841594535506</v>
      </c>
      <c r="FS92" s="646">
        <v>3600</v>
      </c>
      <c r="FT92" s="563" t="s">
        <v>1589</v>
      </c>
      <c r="FU92" s="563">
        <v>3</v>
      </c>
      <c r="FV92" s="563">
        <v>0</v>
      </c>
      <c r="FW92" s="563">
        <v>0</v>
      </c>
      <c r="FX92" s="563">
        <v>0</v>
      </c>
      <c r="FY92" s="650">
        <v>6123.4685848096969</v>
      </c>
      <c r="FZ92" s="563">
        <v>0</v>
      </c>
      <c r="GA92" s="563">
        <v>0</v>
      </c>
      <c r="GB92" s="563">
        <v>0</v>
      </c>
      <c r="GC92" s="650">
        <v>7656.4095446092215</v>
      </c>
      <c r="GD92" s="564">
        <v>4000</v>
      </c>
      <c r="GE92" s="565">
        <v>164.20057602762651</v>
      </c>
      <c r="GF92" s="649">
        <v>5.7433945912668101</v>
      </c>
      <c r="GG92" s="646">
        <v>55.183754710499827</v>
      </c>
      <c r="GH92" s="646">
        <v>0</v>
      </c>
      <c r="GI92" s="646">
        <v>0</v>
      </c>
      <c r="GJ92" s="646">
        <v>35.38337230012192</v>
      </c>
      <c r="GK92" s="646">
        <v>3.7437841594535506</v>
      </c>
      <c r="GL92" s="646">
        <v>3600</v>
      </c>
      <c r="GM92" s="563" t="s">
        <v>1587</v>
      </c>
      <c r="GN92" s="563">
        <v>3</v>
      </c>
      <c r="GO92" s="563">
        <v>0</v>
      </c>
      <c r="GP92" s="563">
        <v>0</v>
      </c>
      <c r="GQ92" s="563">
        <v>0</v>
      </c>
      <c r="GR92" s="650">
        <v>7562.9763621630809</v>
      </c>
      <c r="GS92" s="563">
        <v>0</v>
      </c>
      <c r="GT92" s="563">
        <v>0</v>
      </c>
      <c r="GU92" s="563">
        <v>0</v>
      </c>
      <c r="GV92" s="650">
        <v>9456.281779343677</v>
      </c>
      <c r="GW92" s="564">
        <v>4000</v>
      </c>
      <c r="GX92" s="565">
        <v>164.20057602762651</v>
      </c>
      <c r="GY92" s="649">
        <v>5.7433945912668101</v>
      </c>
      <c r="GZ92" s="646">
        <v>55.183754710499827</v>
      </c>
      <c r="HA92" s="646">
        <v>0</v>
      </c>
      <c r="HB92" s="646">
        <v>0</v>
      </c>
      <c r="HC92" s="646">
        <v>35.38337230012192</v>
      </c>
      <c r="HD92" s="646">
        <v>3.7437841594535506</v>
      </c>
      <c r="HE92" s="646">
        <v>3600</v>
      </c>
      <c r="HF92" s="563" t="s">
        <v>1587</v>
      </c>
      <c r="HG92" s="563">
        <v>3</v>
      </c>
      <c r="HH92" s="563">
        <v>0</v>
      </c>
      <c r="HI92" s="563">
        <v>0</v>
      </c>
      <c r="HJ92" s="563">
        <v>0</v>
      </c>
      <c r="HK92" s="650">
        <v>7562.9763621630809</v>
      </c>
      <c r="HL92" s="563">
        <v>0</v>
      </c>
      <c r="HM92" s="563">
        <v>0</v>
      </c>
      <c r="HN92" s="563">
        <v>0</v>
      </c>
      <c r="HO92" s="650">
        <v>9456.281779343677</v>
      </c>
      <c r="HP92" s="564">
        <v>4000</v>
      </c>
      <c r="HQ92" s="565">
        <v>164.20057602762651</v>
      </c>
      <c r="HR92" s="649">
        <v>5.7433945912668101</v>
      </c>
      <c r="HS92" s="646">
        <v>55.183754710499827</v>
      </c>
      <c r="HT92" s="646">
        <v>0</v>
      </c>
      <c r="HU92" s="646">
        <v>0</v>
      </c>
      <c r="HV92" s="646">
        <v>35.38337230012192</v>
      </c>
      <c r="HW92" s="646">
        <v>3.7437841594535506</v>
      </c>
      <c r="HX92" s="646">
        <v>3600</v>
      </c>
      <c r="HY92" s="563" t="s">
        <v>68</v>
      </c>
      <c r="HZ92" s="563">
        <v>3</v>
      </c>
      <c r="IA92" s="563">
        <v>0</v>
      </c>
      <c r="IB92" s="563">
        <v>0</v>
      </c>
      <c r="IC92" s="563">
        <v>0</v>
      </c>
      <c r="ID92" s="650">
        <v>6669.9182085811599</v>
      </c>
      <c r="IE92" s="563">
        <v>0</v>
      </c>
      <c r="IF92" s="563">
        <v>0</v>
      </c>
      <c r="IG92" s="563">
        <v>0</v>
      </c>
      <c r="IH92" s="650">
        <v>8339.6566384982434</v>
      </c>
      <c r="II92" s="564">
        <v>4000</v>
      </c>
      <c r="IJ92" s="565">
        <v>164.20057602762651</v>
      </c>
      <c r="IK92" s="649">
        <v>5.7433945912668101</v>
      </c>
      <c r="IL92" s="646">
        <v>55.183754710499827</v>
      </c>
      <c r="IM92" s="646">
        <v>0</v>
      </c>
      <c r="IN92" s="646">
        <v>0</v>
      </c>
      <c r="IO92" s="646">
        <v>35.38337230012192</v>
      </c>
      <c r="IP92" s="646">
        <v>3.7437841594535506</v>
      </c>
      <c r="IQ92" s="646">
        <v>3600</v>
      </c>
      <c r="IR92" s="563" t="s">
        <v>68</v>
      </c>
      <c r="IS92" s="563">
        <v>3</v>
      </c>
      <c r="IT92" s="563">
        <v>0</v>
      </c>
      <c r="IU92" s="563">
        <v>0</v>
      </c>
      <c r="IV92" s="563">
        <v>0</v>
      </c>
      <c r="IW92" s="650">
        <v>6669.9182085811599</v>
      </c>
      <c r="IX92" s="563">
        <v>0</v>
      </c>
      <c r="IY92" s="563">
        <v>0</v>
      </c>
      <c r="IZ92" s="563">
        <v>0</v>
      </c>
      <c r="JA92" s="650">
        <v>8339.6566384982434</v>
      </c>
      <c r="JB92" s="564">
        <v>4000</v>
      </c>
      <c r="JC92" s="565">
        <v>164.20057602762651</v>
      </c>
      <c r="JD92" s="649">
        <v>5.7433945912668101</v>
      </c>
      <c r="JE92" s="646">
        <v>55.183754710499827</v>
      </c>
      <c r="JF92" s="646">
        <v>0</v>
      </c>
      <c r="JG92" s="646">
        <v>0</v>
      </c>
      <c r="JH92" s="646">
        <v>35.38337230012192</v>
      </c>
      <c r="JI92" s="646">
        <v>3.7437841594535506</v>
      </c>
      <c r="JJ92" s="646">
        <v>3600</v>
      </c>
      <c r="JK92" s="563" t="s">
        <v>67</v>
      </c>
      <c r="JL92" s="563">
        <v>3</v>
      </c>
      <c r="JM92" s="563">
        <v>0</v>
      </c>
      <c r="JN92" s="563">
        <v>0</v>
      </c>
      <c r="JO92" s="563">
        <v>0</v>
      </c>
      <c r="JP92" s="650">
        <v>9089.5663563003673</v>
      </c>
      <c r="JQ92" s="563">
        <v>0</v>
      </c>
      <c r="JR92" s="563">
        <v>0</v>
      </c>
      <c r="JS92" s="563">
        <v>0</v>
      </c>
      <c r="JT92" s="650">
        <v>11365.036276886496</v>
      </c>
      <c r="JU92" s="564">
        <v>4000</v>
      </c>
      <c r="JV92" s="565">
        <v>164.20057602762651</v>
      </c>
      <c r="JW92" s="649">
        <v>5.7433945912668101</v>
      </c>
      <c r="JX92" s="646">
        <v>55.183754710499827</v>
      </c>
      <c r="JY92" s="646">
        <v>0</v>
      </c>
      <c r="JZ92" s="646">
        <v>0</v>
      </c>
      <c r="KA92" s="646">
        <v>35.38337230012192</v>
      </c>
      <c r="KB92" s="646">
        <v>3.7437841594535506</v>
      </c>
      <c r="KC92" s="646">
        <v>3600</v>
      </c>
      <c r="KD92" s="563" t="s">
        <v>67</v>
      </c>
      <c r="KE92" s="563">
        <v>3</v>
      </c>
      <c r="KF92" s="563">
        <v>0</v>
      </c>
      <c r="KG92" s="563">
        <v>0</v>
      </c>
      <c r="KH92" s="563">
        <v>0</v>
      </c>
      <c r="KI92" s="650">
        <v>9089.5663563003673</v>
      </c>
      <c r="KJ92" s="563">
        <v>0</v>
      </c>
      <c r="KK92" s="563">
        <v>0</v>
      </c>
      <c r="KL92" s="563">
        <v>0</v>
      </c>
      <c r="KM92" s="650">
        <v>11365.036276886496</v>
      </c>
      <c r="KN92" s="564">
        <v>4000</v>
      </c>
      <c r="KO92" s="566">
        <v>164.20057602762651</v>
      </c>
    </row>
    <row r="93" spans="1:301" s="768" customFormat="1" ht="13.5">
      <c r="A93" s="802" t="s">
        <v>1004</v>
      </c>
      <c r="B93" s="629" t="s">
        <v>384</v>
      </c>
      <c r="C93" s="629">
        <v>340.45340501926489</v>
      </c>
      <c r="D93" s="629">
        <v>1061.8314830731099</v>
      </c>
      <c r="E93" s="629">
        <v>355</v>
      </c>
      <c r="F93" s="629">
        <v>269.53958135968043</v>
      </c>
      <c r="G93" s="629">
        <v>147.7378175636392</v>
      </c>
      <c r="H93" s="629">
        <v>121.05772560645465</v>
      </c>
      <c r="I93" s="629">
        <v>82.113490607440696</v>
      </c>
      <c r="J93" s="629">
        <v>42.642793235119498</v>
      </c>
      <c r="K93" s="629">
        <v>66.462605185997276</v>
      </c>
      <c r="L93" s="629">
        <v>16</v>
      </c>
      <c r="M93" s="629">
        <v>451.13078442860626</v>
      </c>
      <c r="N93" s="629">
        <v>6</v>
      </c>
      <c r="O93" s="623">
        <v>37.046302820088783</v>
      </c>
      <c r="P93" s="629">
        <v>6</v>
      </c>
      <c r="Q93" s="623">
        <v>25.315606902541287</v>
      </c>
      <c r="R93" s="629">
        <v>18.000000000000004</v>
      </c>
      <c r="S93" s="629">
        <v>665.68553221639513</v>
      </c>
      <c r="T93" s="645">
        <v>49.177933993150191</v>
      </c>
      <c r="U93" s="645">
        <v>99.852829832459264</v>
      </c>
      <c r="V93" s="645">
        <v>72.5</v>
      </c>
      <c r="W93" s="793">
        <v>3.3425627010969263</v>
      </c>
      <c r="X93" s="646">
        <v>0</v>
      </c>
      <c r="Y93" s="646">
        <v>0</v>
      </c>
      <c r="Z93" s="646">
        <v>0</v>
      </c>
      <c r="AA93" s="646">
        <v>0</v>
      </c>
      <c r="AB93" s="647">
        <v>20.08195880263294</v>
      </c>
      <c r="AC93" s="784">
        <v>4000</v>
      </c>
      <c r="AD93" s="631">
        <v>0.94124245638479254</v>
      </c>
      <c r="AE93" s="631">
        <v>0.92092650780238505</v>
      </c>
      <c r="AF93" s="631">
        <v>-0.26315390240544156</v>
      </c>
      <c r="AG93" s="631">
        <v>0.90245324639165336</v>
      </c>
      <c r="AH93" s="629"/>
      <c r="AI93" s="648">
        <v>4.8265420071883183</v>
      </c>
      <c r="AJ93" s="649">
        <v>23.024185684144811</v>
      </c>
      <c r="AK93" s="646">
        <v>137.906592101022</v>
      </c>
      <c r="AL93" s="646">
        <v>0</v>
      </c>
      <c r="AM93" s="646">
        <v>0</v>
      </c>
      <c r="AN93" s="646">
        <v>47.264492314809381</v>
      </c>
      <c r="AO93" s="646">
        <v>17.077494549484744</v>
      </c>
      <c r="AP93" s="801">
        <v>3000</v>
      </c>
      <c r="AQ93" s="563" t="s">
        <v>71</v>
      </c>
      <c r="AR93" s="563">
        <v>4</v>
      </c>
      <c r="AS93" s="563">
        <v>0</v>
      </c>
      <c r="AT93" s="563">
        <v>0</v>
      </c>
      <c r="AU93" s="563">
        <v>0</v>
      </c>
      <c r="AV93" s="650">
        <v>4008.5827139039361</v>
      </c>
      <c r="AW93" s="563">
        <v>0</v>
      </c>
      <c r="AX93" s="563">
        <v>0</v>
      </c>
      <c r="AY93" s="563">
        <v>0</v>
      </c>
      <c r="AZ93" s="650">
        <v>4846.5237855045179</v>
      </c>
      <c r="BA93" s="564">
        <v>4000</v>
      </c>
      <c r="BB93" s="565">
        <v>222.38946577152245</v>
      </c>
      <c r="BC93" s="649">
        <v>23.024185684144811</v>
      </c>
      <c r="BD93" s="646">
        <v>137.906592101022</v>
      </c>
      <c r="BE93" s="646">
        <v>0</v>
      </c>
      <c r="BF93" s="646">
        <v>0</v>
      </c>
      <c r="BG93" s="646">
        <v>47.264492314809381</v>
      </c>
      <c r="BH93" s="646">
        <v>17.077494549484744</v>
      </c>
      <c r="BI93" s="646">
        <v>3600</v>
      </c>
      <c r="BJ93" s="563" t="s">
        <v>71</v>
      </c>
      <c r="BK93" s="563">
        <v>4</v>
      </c>
      <c r="BL93" s="563">
        <v>0</v>
      </c>
      <c r="BM93" s="563">
        <v>0</v>
      </c>
      <c r="BN93" s="563">
        <v>0</v>
      </c>
      <c r="BO93" s="650">
        <v>4008.5827139039361</v>
      </c>
      <c r="BP93" s="563">
        <v>0</v>
      </c>
      <c r="BQ93" s="563">
        <v>0</v>
      </c>
      <c r="BR93" s="563">
        <v>0</v>
      </c>
      <c r="BS93" s="650">
        <v>4846.5237855045179</v>
      </c>
      <c r="BT93" s="564">
        <v>4000</v>
      </c>
      <c r="BU93" s="565">
        <v>222.38946577152245</v>
      </c>
      <c r="BV93" s="649">
        <v>23.024185684144811</v>
      </c>
      <c r="BW93" s="646">
        <v>137.906592101022</v>
      </c>
      <c r="BX93" s="646">
        <v>0</v>
      </c>
      <c r="BY93" s="646">
        <v>0</v>
      </c>
      <c r="BZ93" s="646">
        <v>47.264492314809381</v>
      </c>
      <c r="CA93" s="646">
        <v>17.077494549484744</v>
      </c>
      <c r="CB93" s="646">
        <v>3000</v>
      </c>
      <c r="CC93" s="563" t="s">
        <v>1584</v>
      </c>
      <c r="CD93" s="563">
        <v>4</v>
      </c>
      <c r="CE93" s="563">
        <v>0</v>
      </c>
      <c r="CF93" s="563">
        <v>0</v>
      </c>
      <c r="CG93" s="563">
        <v>0</v>
      </c>
      <c r="CH93" s="650">
        <v>3927.5928963222591</v>
      </c>
      <c r="CI93" s="563">
        <v>0</v>
      </c>
      <c r="CJ93" s="563">
        <v>0</v>
      </c>
      <c r="CK93" s="563">
        <v>0</v>
      </c>
      <c r="CL93" s="650">
        <v>4748.6041202992064</v>
      </c>
      <c r="CM93" s="564">
        <v>3927.5928963222591</v>
      </c>
      <c r="CN93" s="565">
        <v>218.36382149528345</v>
      </c>
      <c r="CO93" s="649">
        <v>23.024185684144811</v>
      </c>
      <c r="CP93" s="646">
        <v>137.906592101022</v>
      </c>
      <c r="CQ93" s="646">
        <v>0</v>
      </c>
      <c r="CR93" s="646">
        <v>0</v>
      </c>
      <c r="CS93" s="646">
        <v>47.264492314809381</v>
      </c>
      <c r="CT93" s="646">
        <v>17.077494549484744</v>
      </c>
      <c r="CU93" s="646">
        <v>3600</v>
      </c>
      <c r="CV93" s="563" t="s">
        <v>1584</v>
      </c>
      <c r="CW93" s="563">
        <v>4</v>
      </c>
      <c r="CX93" s="563">
        <v>0</v>
      </c>
      <c r="CY93" s="563">
        <v>0</v>
      </c>
      <c r="CZ93" s="563">
        <v>0</v>
      </c>
      <c r="DA93" s="650">
        <v>3927.5928963222591</v>
      </c>
      <c r="DB93" s="563">
        <v>0</v>
      </c>
      <c r="DC93" s="563">
        <v>0</v>
      </c>
      <c r="DD93" s="563">
        <v>0</v>
      </c>
      <c r="DE93" s="650">
        <v>4748.6041202992064</v>
      </c>
      <c r="DF93" s="564">
        <v>3927.5928963222591</v>
      </c>
      <c r="DG93" s="565">
        <v>218.36382149528345</v>
      </c>
      <c r="DH93" s="649">
        <v>23.024185684144811</v>
      </c>
      <c r="DI93" s="646">
        <v>137.906592101022</v>
      </c>
      <c r="DJ93" s="646">
        <v>0</v>
      </c>
      <c r="DK93" s="646">
        <v>0</v>
      </c>
      <c r="DL93" s="646">
        <v>47.264492314809381</v>
      </c>
      <c r="DM93" s="646">
        <v>17.077494549484744</v>
      </c>
      <c r="DN93" s="646">
        <v>3000</v>
      </c>
      <c r="DO93" s="563" t="s">
        <v>1588</v>
      </c>
      <c r="DP93" s="563">
        <v>4</v>
      </c>
      <c r="DQ93" s="563">
        <v>0</v>
      </c>
      <c r="DR93" s="563">
        <v>0</v>
      </c>
      <c r="DS93" s="563">
        <v>0</v>
      </c>
      <c r="DT93" s="650">
        <v>4087.9682960093778</v>
      </c>
      <c r="DU93" s="563">
        <v>0</v>
      </c>
      <c r="DV93" s="563">
        <v>0</v>
      </c>
      <c r="DW93" s="563">
        <v>0</v>
      </c>
      <c r="DX93" s="650">
        <v>4942.5038710758208</v>
      </c>
      <c r="DY93" s="564">
        <v>4000</v>
      </c>
      <c r="DZ93" s="565">
        <v>222.38946577152245</v>
      </c>
      <c r="EA93" s="649">
        <v>23.024185684144811</v>
      </c>
      <c r="EB93" s="646">
        <v>137.906592101022</v>
      </c>
      <c r="EC93" s="646">
        <v>0</v>
      </c>
      <c r="ED93" s="646">
        <v>0</v>
      </c>
      <c r="EE93" s="646">
        <v>47.264492314809381</v>
      </c>
      <c r="EF93" s="646">
        <v>17.077494549484744</v>
      </c>
      <c r="EG93" s="646">
        <v>3600</v>
      </c>
      <c r="EH93" s="563" t="s">
        <v>1588</v>
      </c>
      <c r="EI93" s="563">
        <v>4</v>
      </c>
      <c r="EJ93" s="563">
        <v>0</v>
      </c>
      <c r="EK93" s="563">
        <v>0</v>
      </c>
      <c r="EL93" s="563">
        <v>0</v>
      </c>
      <c r="EM93" s="650">
        <v>4087.9682960093778</v>
      </c>
      <c r="EN93" s="563">
        <v>0</v>
      </c>
      <c r="EO93" s="563">
        <v>0</v>
      </c>
      <c r="EP93" s="563">
        <v>0</v>
      </c>
      <c r="EQ93" s="650">
        <v>4942.5038710758208</v>
      </c>
      <c r="ER93" s="564">
        <v>4000</v>
      </c>
      <c r="ES93" s="565">
        <v>222.38946577152245</v>
      </c>
      <c r="ET93" s="649">
        <v>23.024185684144811</v>
      </c>
      <c r="EU93" s="646">
        <v>137.906592101022</v>
      </c>
      <c r="EV93" s="646">
        <v>0</v>
      </c>
      <c r="EW93" s="646">
        <v>0</v>
      </c>
      <c r="EX93" s="646">
        <v>47.264492314809381</v>
      </c>
      <c r="EY93" s="646">
        <v>17.077494549484744</v>
      </c>
      <c r="EZ93" s="646">
        <v>3000</v>
      </c>
      <c r="FA93" s="563" t="s">
        <v>1589</v>
      </c>
      <c r="FB93" s="563">
        <v>4</v>
      </c>
      <c r="FC93" s="563">
        <v>0</v>
      </c>
      <c r="FD93" s="563">
        <v>0</v>
      </c>
      <c r="FE93" s="563">
        <v>0</v>
      </c>
      <c r="FF93" s="650">
        <v>4354.4354101958097</v>
      </c>
      <c r="FG93" s="563">
        <v>0</v>
      </c>
      <c r="FH93" s="563">
        <v>0</v>
      </c>
      <c r="FI93" s="563">
        <v>0</v>
      </c>
      <c r="FJ93" s="650">
        <v>5264.6724027316295</v>
      </c>
      <c r="FK93" s="564">
        <v>4000</v>
      </c>
      <c r="FL93" s="565">
        <v>222.38946577152245</v>
      </c>
      <c r="FM93" s="649">
        <v>23.024185684144811</v>
      </c>
      <c r="FN93" s="646">
        <v>137.906592101022</v>
      </c>
      <c r="FO93" s="646">
        <v>0</v>
      </c>
      <c r="FP93" s="646">
        <v>0</v>
      </c>
      <c r="FQ93" s="646">
        <v>47.264492314809381</v>
      </c>
      <c r="FR93" s="646">
        <v>17.077494549484744</v>
      </c>
      <c r="FS93" s="646">
        <v>3600</v>
      </c>
      <c r="FT93" s="563" t="s">
        <v>1589</v>
      </c>
      <c r="FU93" s="563">
        <v>4</v>
      </c>
      <c r="FV93" s="563">
        <v>0</v>
      </c>
      <c r="FW93" s="563">
        <v>0</v>
      </c>
      <c r="FX93" s="563">
        <v>0</v>
      </c>
      <c r="FY93" s="650">
        <v>4354.4354101958097</v>
      </c>
      <c r="FZ93" s="563">
        <v>0</v>
      </c>
      <c r="GA93" s="563">
        <v>0</v>
      </c>
      <c r="GB93" s="563">
        <v>0</v>
      </c>
      <c r="GC93" s="650">
        <v>5264.6724027316295</v>
      </c>
      <c r="GD93" s="564">
        <v>4000</v>
      </c>
      <c r="GE93" s="565">
        <v>222.38946577152245</v>
      </c>
      <c r="GF93" s="649">
        <v>23.024185684144811</v>
      </c>
      <c r="GG93" s="646">
        <v>137.906592101022</v>
      </c>
      <c r="GH93" s="646">
        <v>0</v>
      </c>
      <c r="GI93" s="646">
        <v>0</v>
      </c>
      <c r="GJ93" s="646">
        <v>47.264492314809381</v>
      </c>
      <c r="GK93" s="646">
        <v>17.077494549484744</v>
      </c>
      <c r="GL93" s="646">
        <v>3000</v>
      </c>
      <c r="GM93" s="563" t="s">
        <v>1587</v>
      </c>
      <c r="GN93" s="563">
        <v>4</v>
      </c>
      <c r="GO93" s="563">
        <v>0</v>
      </c>
      <c r="GP93" s="563">
        <v>0</v>
      </c>
      <c r="GQ93" s="563">
        <v>0</v>
      </c>
      <c r="GR93" s="650">
        <v>5378.0780650318757</v>
      </c>
      <c r="GS93" s="563">
        <v>0</v>
      </c>
      <c r="GT93" s="563">
        <v>0</v>
      </c>
      <c r="GU93" s="563">
        <v>0</v>
      </c>
      <c r="GV93" s="650">
        <v>6502.2939833746268</v>
      </c>
      <c r="GW93" s="564">
        <v>4000</v>
      </c>
      <c r="GX93" s="565">
        <v>222.38946577152245</v>
      </c>
      <c r="GY93" s="649">
        <v>23.024185684144811</v>
      </c>
      <c r="GZ93" s="646">
        <v>137.906592101022</v>
      </c>
      <c r="HA93" s="646">
        <v>0</v>
      </c>
      <c r="HB93" s="646">
        <v>0</v>
      </c>
      <c r="HC93" s="646">
        <v>47.264492314809381</v>
      </c>
      <c r="HD93" s="646">
        <v>17.077494549484744</v>
      </c>
      <c r="HE93" s="646">
        <v>3600</v>
      </c>
      <c r="HF93" s="563" t="s">
        <v>1587</v>
      </c>
      <c r="HG93" s="563">
        <v>4</v>
      </c>
      <c r="HH93" s="563">
        <v>0</v>
      </c>
      <c r="HI93" s="563">
        <v>0</v>
      </c>
      <c r="HJ93" s="563">
        <v>0</v>
      </c>
      <c r="HK93" s="650">
        <v>5378.0780650318757</v>
      </c>
      <c r="HL93" s="563">
        <v>0</v>
      </c>
      <c r="HM93" s="563">
        <v>0</v>
      </c>
      <c r="HN93" s="563">
        <v>0</v>
      </c>
      <c r="HO93" s="650">
        <v>6502.2939833746268</v>
      </c>
      <c r="HP93" s="564">
        <v>4000</v>
      </c>
      <c r="HQ93" s="565">
        <v>222.38946577152245</v>
      </c>
      <c r="HR93" s="649">
        <v>23.024185684144811</v>
      </c>
      <c r="HS93" s="646">
        <v>137.906592101022</v>
      </c>
      <c r="HT93" s="646">
        <v>0</v>
      </c>
      <c r="HU93" s="646">
        <v>0</v>
      </c>
      <c r="HV93" s="646">
        <v>47.264492314809381</v>
      </c>
      <c r="HW93" s="646">
        <v>17.077494549484744</v>
      </c>
      <c r="HX93" s="646">
        <v>3000</v>
      </c>
      <c r="HY93" s="563" t="s">
        <v>68</v>
      </c>
      <c r="HZ93" s="563">
        <v>4</v>
      </c>
      <c r="IA93" s="563">
        <v>0</v>
      </c>
      <c r="IB93" s="563">
        <v>0</v>
      </c>
      <c r="IC93" s="563">
        <v>0</v>
      </c>
      <c r="ID93" s="650">
        <v>4743.019030521933</v>
      </c>
      <c r="IE93" s="563">
        <v>0</v>
      </c>
      <c r="IF93" s="563">
        <v>0</v>
      </c>
      <c r="IG93" s="563">
        <v>0</v>
      </c>
      <c r="IH93" s="650">
        <v>5734.4842771469393</v>
      </c>
      <c r="II93" s="564">
        <v>4000</v>
      </c>
      <c r="IJ93" s="565">
        <v>222.38946577152245</v>
      </c>
      <c r="IK93" s="649">
        <v>23.024185684144811</v>
      </c>
      <c r="IL93" s="646">
        <v>137.906592101022</v>
      </c>
      <c r="IM93" s="646">
        <v>0</v>
      </c>
      <c r="IN93" s="646">
        <v>0</v>
      </c>
      <c r="IO93" s="646">
        <v>47.264492314809381</v>
      </c>
      <c r="IP93" s="646">
        <v>17.077494549484744</v>
      </c>
      <c r="IQ93" s="646">
        <v>3600</v>
      </c>
      <c r="IR93" s="563" t="s">
        <v>68</v>
      </c>
      <c r="IS93" s="563">
        <v>4</v>
      </c>
      <c r="IT93" s="563">
        <v>0</v>
      </c>
      <c r="IU93" s="563">
        <v>0</v>
      </c>
      <c r="IV93" s="563">
        <v>0</v>
      </c>
      <c r="IW93" s="650">
        <v>4743.019030521933</v>
      </c>
      <c r="IX93" s="563">
        <v>0</v>
      </c>
      <c r="IY93" s="563">
        <v>0</v>
      </c>
      <c r="IZ93" s="563">
        <v>0</v>
      </c>
      <c r="JA93" s="650">
        <v>5734.4842771469393</v>
      </c>
      <c r="JB93" s="564">
        <v>4000</v>
      </c>
      <c r="JC93" s="565">
        <v>222.38946577152245</v>
      </c>
      <c r="JD93" s="649">
        <v>23.024185684144811</v>
      </c>
      <c r="JE93" s="646">
        <v>137.906592101022</v>
      </c>
      <c r="JF93" s="646">
        <v>0</v>
      </c>
      <c r="JG93" s="646">
        <v>0</v>
      </c>
      <c r="JH93" s="646">
        <v>47.264492314809381</v>
      </c>
      <c r="JI93" s="646">
        <v>17.077494549484744</v>
      </c>
      <c r="JJ93" s="646">
        <v>3000</v>
      </c>
      <c r="JK93" s="563" t="s">
        <v>67</v>
      </c>
      <c r="JL93" s="563">
        <v>4</v>
      </c>
      <c r="JM93" s="563">
        <v>0</v>
      </c>
      <c r="JN93" s="563">
        <v>0</v>
      </c>
      <c r="JO93" s="563">
        <v>0</v>
      </c>
      <c r="JP93" s="650">
        <v>6463.6454089735271</v>
      </c>
      <c r="JQ93" s="563">
        <v>0</v>
      </c>
      <c r="JR93" s="563">
        <v>0</v>
      </c>
      <c r="JS93" s="563">
        <v>0</v>
      </c>
      <c r="JT93" s="650">
        <v>7814.7847883994054</v>
      </c>
      <c r="JU93" s="564">
        <v>4000</v>
      </c>
      <c r="JV93" s="565">
        <v>222.38946577152245</v>
      </c>
      <c r="JW93" s="649">
        <v>23.024185684144811</v>
      </c>
      <c r="JX93" s="646">
        <v>137.906592101022</v>
      </c>
      <c r="JY93" s="646">
        <v>0</v>
      </c>
      <c r="JZ93" s="646">
        <v>0</v>
      </c>
      <c r="KA93" s="646">
        <v>47.264492314809381</v>
      </c>
      <c r="KB93" s="646">
        <v>17.077494549484744</v>
      </c>
      <c r="KC93" s="646">
        <v>3600</v>
      </c>
      <c r="KD93" s="563" t="s">
        <v>67</v>
      </c>
      <c r="KE93" s="563">
        <v>4</v>
      </c>
      <c r="KF93" s="563">
        <v>0</v>
      </c>
      <c r="KG93" s="563">
        <v>0</v>
      </c>
      <c r="KH93" s="563">
        <v>0</v>
      </c>
      <c r="KI93" s="650">
        <v>6463.6454089735271</v>
      </c>
      <c r="KJ93" s="563">
        <v>0</v>
      </c>
      <c r="KK93" s="563">
        <v>0</v>
      </c>
      <c r="KL93" s="563">
        <v>0</v>
      </c>
      <c r="KM93" s="650">
        <v>7814.7847883994054</v>
      </c>
      <c r="KN93" s="564">
        <v>4000</v>
      </c>
      <c r="KO93" s="566">
        <v>222.38946577152245</v>
      </c>
    </row>
    <row r="94" spans="1:301" s="768" customFormat="1" ht="13.5">
      <c r="A94" s="802" t="s">
        <v>1005</v>
      </c>
      <c r="B94" s="629" t="s">
        <v>383</v>
      </c>
      <c r="C94" s="629">
        <v>322.74183366372904</v>
      </c>
      <c r="D94" s="629">
        <v>503.8804688895604</v>
      </c>
      <c r="E94" s="629">
        <v>315</v>
      </c>
      <c r="F94" s="629">
        <v>271.18923832581487</v>
      </c>
      <c r="G94" s="629">
        <v>176.23971272588005</v>
      </c>
      <c r="H94" s="629">
        <v>149.4578273981962</v>
      </c>
      <c r="I94" s="629">
        <v>138.11759470018654</v>
      </c>
      <c r="J94" s="629">
        <v>23.054889496098394</v>
      </c>
      <c r="K94" s="629">
        <v>31.191043136840392</v>
      </c>
      <c r="L94" s="629">
        <v>8</v>
      </c>
      <c r="M94" s="629">
        <v>203.92752240328656</v>
      </c>
      <c r="N94" s="629">
        <v>4</v>
      </c>
      <c r="O94" s="623">
        <v>3.8144075603313148</v>
      </c>
      <c r="P94" s="629">
        <v>4</v>
      </c>
      <c r="Q94" s="623">
        <v>2.5577002444901278</v>
      </c>
      <c r="R94" s="629">
        <v>13.000000000000002</v>
      </c>
      <c r="S94" s="629">
        <v>387.53485360768764</v>
      </c>
      <c r="T94" s="645">
        <v>12.03717087495942</v>
      </c>
      <c r="U94" s="645">
        <v>58.130228041153146</v>
      </c>
      <c r="V94" s="645">
        <v>72.5</v>
      </c>
      <c r="W94" s="793">
        <v>1.1328250955640895</v>
      </c>
      <c r="X94" s="646">
        <v>0</v>
      </c>
      <c r="Y94" s="646">
        <v>0</v>
      </c>
      <c r="Z94" s="646">
        <v>0</v>
      </c>
      <c r="AA94" s="646">
        <v>0</v>
      </c>
      <c r="AB94" s="647">
        <v>4.1602166063982171</v>
      </c>
      <c r="AC94" s="784">
        <v>4000</v>
      </c>
      <c r="AD94" s="631">
        <v>0.79134594949925841</v>
      </c>
      <c r="AE94" s="631">
        <v>0.42560589073159993</v>
      </c>
      <c r="AF94" s="631">
        <v>-0.42949765791568628</v>
      </c>
      <c r="AG94" s="631">
        <v>0.89585050636525787</v>
      </c>
      <c r="AH94" s="629"/>
      <c r="AI94" s="648">
        <v>1.1031749244360751</v>
      </c>
      <c r="AJ94" s="649">
        <v>9.2071933032186006</v>
      </c>
      <c r="AK94" s="646">
        <v>28.749297078563551</v>
      </c>
      <c r="AL94" s="646">
        <v>0</v>
      </c>
      <c r="AM94" s="646">
        <v>0</v>
      </c>
      <c r="AN94" s="646">
        <v>48.090168523348225</v>
      </c>
      <c r="AO94" s="646">
        <v>0.93561839605251573</v>
      </c>
      <c r="AP94" s="801">
        <v>2930</v>
      </c>
      <c r="AQ94" s="563" t="s">
        <v>71</v>
      </c>
      <c r="AR94" s="563">
        <v>5</v>
      </c>
      <c r="AS94" s="563">
        <v>0</v>
      </c>
      <c r="AT94" s="563">
        <v>0</v>
      </c>
      <c r="AU94" s="563">
        <v>0</v>
      </c>
      <c r="AV94" s="650">
        <v>3615.4083139598611</v>
      </c>
      <c r="AW94" s="563">
        <v>0</v>
      </c>
      <c r="AX94" s="563">
        <v>0</v>
      </c>
      <c r="AY94" s="563">
        <v>0</v>
      </c>
      <c r="AZ94" s="650">
        <v>3313.5041309981339</v>
      </c>
      <c r="BA94" s="564">
        <v>3313.5041309981339</v>
      </c>
      <c r="BB94" s="565">
        <v>87.420575968267272</v>
      </c>
      <c r="BC94" s="649">
        <v>11.04863196386232</v>
      </c>
      <c r="BD94" s="646">
        <v>30.590735739207272</v>
      </c>
      <c r="BE94" s="646">
        <v>0</v>
      </c>
      <c r="BF94" s="646">
        <v>0</v>
      </c>
      <c r="BG94" s="646">
        <v>49.693713323834722</v>
      </c>
      <c r="BH94" s="646">
        <v>1.0180360846826524</v>
      </c>
      <c r="BI94" s="646">
        <v>3600</v>
      </c>
      <c r="BJ94" s="563" t="s">
        <v>71</v>
      </c>
      <c r="BK94" s="563">
        <v>6</v>
      </c>
      <c r="BL94" s="563">
        <v>0</v>
      </c>
      <c r="BM94" s="563">
        <v>0</v>
      </c>
      <c r="BN94" s="563">
        <v>0</v>
      </c>
      <c r="BO94" s="650">
        <v>4647.1527099636032</v>
      </c>
      <c r="BP94" s="563">
        <v>0</v>
      </c>
      <c r="BQ94" s="563">
        <v>0</v>
      </c>
      <c r="BR94" s="563">
        <v>0</v>
      </c>
      <c r="BS94" s="650">
        <v>4363.2641840482875</v>
      </c>
      <c r="BT94" s="564">
        <v>4000</v>
      </c>
      <c r="BU94" s="565">
        <v>105.53247862338822</v>
      </c>
      <c r="BV94" s="649">
        <v>9.2071933032186006</v>
      </c>
      <c r="BW94" s="646">
        <v>28.749297078563551</v>
      </c>
      <c r="BX94" s="646">
        <v>0</v>
      </c>
      <c r="BY94" s="646">
        <v>0</v>
      </c>
      <c r="BZ94" s="646">
        <v>48.090168523348225</v>
      </c>
      <c r="CA94" s="646">
        <v>0.93561839605251573</v>
      </c>
      <c r="CB94" s="646">
        <v>2930</v>
      </c>
      <c r="CC94" s="563" t="s">
        <v>1584</v>
      </c>
      <c r="CD94" s="563">
        <v>5</v>
      </c>
      <c r="CE94" s="563">
        <v>0</v>
      </c>
      <c r="CF94" s="563">
        <v>0</v>
      </c>
      <c r="CG94" s="563">
        <v>0</v>
      </c>
      <c r="CH94" s="650">
        <v>3542.3622324070816</v>
      </c>
      <c r="CI94" s="563">
        <v>0</v>
      </c>
      <c r="CJ94" s="563">
        <v>0</v>
      </c>
      <c r="CK94" s="563">
        <v>0</v>
      </c>
      <c r="CL94" s="650">
        <v>3246.5577526198467</v>
      </c>
      <c r="CM94" s="564">
        <v>3246.5577526198467</v>
      </c>
      <c r="CN94" s="565">
        <v>85.654321656987321</v>
      </c>
      <c r="CO94" s="649">
        <v>11.04863196386232</v>
      </c>
      <c r="CP94" s="646">
        <v>30.590735739207272</v>
      </c>
      <c r="CQ94" s="646">
        <v>0</v>
      </c>
      <c r="CR94" s="646">
        <v>0</v>
      </c>
      <c r="CS94" s="646">
        <v>49.693713323834722</v>
      </c>
      <c r="CT94" s="646">
        <v>1.0180360846826524</v>
      </c>
      <c r="CU94" s="646">
        <v>3600</v>
      </c>
      <c r="CV94" s="563" t="s">
        <v>1584</v>
      </c>
      <c r="CW94" s="563">
        <v>6</v>
      </c>
      <c r="CX94" s="563">
        <v>0</v>
      </c>
      <c r="CY94" s="563">
        <v>0</v>
      </c>
      <c r="CZ94" s="563">
        <v>0</v>
      </c>
      <c r="DA94" s="650">
        <v>4553.2611584811593</v>
      </c>
      <c r="DB94" s="563">
        <v>0</v>
      </c>
      <c r="DC94" s="563">
        <v>0</v>
      </c>
      <c r="DD94" s="563">
        <v>0</v>
      </c>
      <c r="DE94" s="650">
        <v>4275.1083455517974</v>
      </c>
      <c r="DF94" s="564">
        <v>4000</v>
      </c>
      <c r="DG94" s="565">
        <v>105.53247862338822</v>
      </c>
      <c r="DH94" s="649">
        <v>9.2071933032186006</v>
      </c>
      <c r="DI94" s="646">
        <v>28.749297078563551</v>
      </c>
      <c r="DJ94" s="646">
        <v>0</v>
      </c>
      <c r="DK94" s="646">
        <v>0</v>
      </c>
      <c r="DL94" s="646">
        <v>48.090168523348225</v>
      </c>
      <c r="DM94" s="646">
        <v>0.93561839605251573</v>
      </c>
      <c r="DN94" s="646">
        <v>2930</v>
      </c>
      <c r="DO94" s="563" t="s">
        <v>1588</v>
      </c>
      <c r="DP94" s="563">
        <v>5</v>
      </c>
      <c r="DQ94" s="563">
        <v>0</v>
      </c>
      <c r="DR94" s="563">
        <v>0</v>
      </c>
      <c r="DS94" s="563">
        <v>0</v>
      </c>
      <c r="DT94" s="650">
        <v>3687.0075084973851</v>
      </c>
      <c r="DU94" s="563">
        <v>0</v>
      </c>
      <c r="DV94" s="563">
        <v>0</v>
      </c>
      <c r="DW94" s="563">
        <v>0</v>
      </c>
      <c r="DX94" s="650">
        <v>3379.1244444659574</v>
      </c>
      <c r="DY94" s="564">
        <v>3379.1244444659574</v>
      </c>
      <c r="DZ94" s="565">
        <v>89.151844550343043</v>
      </c>
      <c r="EA94" s="649">
        <v>11.04863196386232</v>
      </c>
      <c r="EB94" s="646">
        <v>30.590735739207272</v>
      </c>
      <c r="EC94" s="646">
        <v>0</v>
      </c>
      <c r="ED94" s="646">
        <v>0</v>
      </c>
      <c r="EE94" s="646">
        <v>49.693713323834722</v>
      </c>
      <c r="EF94" s="646">
        <v>1.0180360846826524</v>
      </c>
      <c r="EG94" s="646">
        <v>3600</v>
      </c>
      <c r="EH94" s="563" t="s">
        <v>1588</v>
      </c>
      <c r="EI94" s="563">
        <v>6</v>
      </c>
      <c r="EJ94" s="563">
        <v>0</v>
      </c>
      <c r="EK94" s="563">
        <v>0</v>
      </c>
      <c r="EL94" s="563">
        <v>0</v>
      </c>
      <c r="EM94" s="650">
        <v>4739.1844701500031</v>
      </c>
      <c r="EN94" s="563">
        <v>0</v>
      </c>
      <c r="EO94" s="563">
        <v>0</v>
      </c>
      <c r="EP94" s="563">
        <v>0</v>
      </c>
      <c r="EQ94" s="650">
        <v>4449.6738434845438</v>
      </c>
      <c r="ER94" s="564">
        <v>4000</v>
      </c>
      <c r="ES94" s="565">
        <v>105.53247862338822</v>
      </c>
      <c r="ET94" s="649">
        <v>9.2071933032186006</v>
      </c>
      <c r="EU94" s="646">
        <v>28.749297078563551</v>
      </c>
      <c r="EV94" s="646">
        <v>0</v>
      </c>
      <c r="EW94" s="646">
        <v>0</v>
      </c>
      <c r="EX94" s="646">
        <v>48.090168523348225</v>
      </c>
      <c r="EY94" s="646">
        <v>0.93561839605251573</v>
      </c>
      <c r="EZ94" s="646">
        <v>2930</v>
      </c>
      <c r="FA94" s="563" t="s">
        <v>1589</v>
      </c>
      <c r="FB94" s="563">
        <v>5</v>
      </c>
      <c r="FC94" s="563">
        <v>0</v>
      </c>
      <c r="FD94" s="563">
        <v>0</v>
      </c>
      <c r="FE94" s="563">
        <v>0</v>
      </c>
      <c r="FF94" s="650">
        <v>3927.3386900606242</v>
      </c>
      <c r="FG94" s="563">
        <v>0</v>
      </c>
      <c r="FH94" s="563">
        <v>0</v>
      </c>
      <c r="FI94" s="563">
        <v>0</v>
      </c>
      <c r="FJ94" s="650">
        <v>3599.3868031717857</v>
      </c>
      <c r="FK94" s="564">
        <v>3599.3868031717857</v>
      </c>
      <c r="FL94" s="565">
        <v>94.963052715758039</v>
      </c>
      <c r="FM94" s="649">
        <v>11.04863196386232</v>
      </c>
      <c r="FN94" s="646">
        <v>30.590735739207272</v>
      </c>
      <c r="FO94" s="646">
        <v>0</v>
      </c>
      <c r="FP94" s="646">
        <v>0</v>
      </c>
      <c r="FQ94" s="646">
        <v>49.693713323834722</v>
      </c>
      <c r="FR94" s="646">
        <v>1.0180360846826524</v>
      </c>
      <c r="FS94" s="646">
        <v>3600</v>
      </c>
      <c r="FT94" s="563" t="s">
        <v>1589</v>
      </c>
      <c r="FU94" s="563">
        <v>6</v>
      </c>
      <c r="FV94" s="563">
        <v>0</v>
      </c>
      <c r="FW94" s="563">
        <v>0</v>
      </c>
      <c r="FX94" s="563">
        <v>0</v>
      </c>
      <c r="FY94" s="650">
        <v>5048.0999797420864</v>
      </c>
      <c r="FZ94" s="563">
        <v>0</v>
      </c>
      <c r="GA94" s="563">
        <v>0</v>
      </c>
      <c r="GB94" s="563">
        <v>0</v>
      </c>
      <c r="GC94" s="650">
        <v>4739.7181056432364</v>
      </c>
      <c r="GD94" s="564">
        <v>4000</v>
      </c>
      <c r="GE94" s="565">
        <v>105.53247862338822</v>
      </c>
      <c r="GF94" s="649">
        <v>7.3657546425748803</v>
      </c>
      <c r="GG94" s="646">
        <v>26.907858417919833</v>
      </c>
      <c r="GH94" s="646">
        <v>0</v>
      </c>
      <c r="GI94" s="646">
        <v>0</v>
      </c>
      <c r="GJ94" s="646">
        <v>46.267146621129726</v>
      </c>
      <c r="GK94" s="646">
        <v>0.85320070742237908</v>
      </c>
      <c r="GL94" s="646">
        <v>2930</v>
      </c>
      <c r="GM94" s="563" t="s">
        <v>1587</v>
      </c>
      <c r="GN94" s="563">
        <v>4</v>
      </c>
      <c r="GO94" s="563">
        <v>0</v>
      </c>
      <c r="GP94" s="563">
        <v>0</v>
      </c>
      <c r="GQ94" s="563">
        <v>0</v>
      </c>
      <c r="GR94" s="650">
        <v>4000.1819968916711</v>
      </c>
      <c r="GS94" s="563">
        <v>0</v>
      </c>
      <c r="GT94" s="563">
        <v>0</v>
      </c>
      <c r="GU94" s="563">
        <v>0</v>
      </c>
      <c r="GV94" s="650">
        <v>3632.3341542152948</v>
      </c>
      <c r="GW94" s="564">
        <v>3632.3341542152948</v>
      </c>
      <c r="GX94" s="565">
        <v>95.832306620682132</v>
      </c>
      <c r="GY94" s="649">
        <v>7.3657546425748803</v>
      </c>
      <c r="GZ94" s="646">
        <v>26.907858417919833</v>
      </c>
      <c r="HA94" s="646">
        <v>0</v>
      </c>
      <c r="HB94" s="646">
        <v>0</v>
      </c>
      <c r="HC94" s="646">
        <v>46.267146621129726</v>
      </c>
      <c r="HD94" s="646">
        <v>0.85320070742237908</v>
      </c>
      <c r="HE94" s="646">
        <v>3600</v>
      </c>
      <c r="HF94" s="563" t="s">
        <v>1587</v>
      </c>
      <c r="HG94" s="563">
        <v>4</v>
      </c>
      <c r="HH94" s="563">
        <v>0</v>
      </c>
      <c r="HI94" s="563">
        <v>0</v>
      </c>
      <c r="HJ94" s="563">
        <v>0</v>
      </c>
      <c r="HK94" s="650">
        <v>4000.1819968916711</v>
      </c>
      <c r="HL94" s="563">
        <v>0</v>
      </c>
      <c r="HM94" s="563">
        <v>0</v>
      </c>
      <c r="HN94" s="563">
        <v>0</v>
      </c>
      <c r="HO94" s="650">
        <v>3632.3341542152948</v>
      </c>
      <c r="HP94" s="564">
        <v>3632.3341542152948</v>
      </c>
      <c r="HQ94" s="565">
        <v>95.832306620682132</v>
      </c>
      <c r="HR94" s="649">
        <v>9.2071933032186006</v>
      </c>
      <c r="HS94" s="646">
        <v>28.749297078563551</v>
      </c>
      <c r="HT94" s="646">
        <v>0</v>
      </c>
      <c r="HU94" s="646">
        <v>0</v>
      </c>
      <c r="HV94" s="646">
        <v>48.090168523348225</v>
      </c>
      <c r="HW94" s="646">
        <v>0.93561839605251573</v>
      </c>
      <c r="HX94" s="646">
        <v>2930</v>
      </c>
      <c r="HY94" s="563" t="s">
        <v>68</v>
      </c>
      <c r="HZ94" s="563">
        <v>5</v>
      </c>
      <c r="IA94" s="563">
        <v>0</v>
      </c>
      <c r="IB94" s="563">
        <v>0</v>
      </c>
      <c r="IC94" s="563">
        <v>0</v>
      </c>
      <c r="ID94" s="650">
        <v>4277.8088067736408</v>
      </c>
      <c r="IE94" s="563">
        <v>0</v>
      </c>
      <c r="IF94" s="563">
        <v>0</v>
      </c>
      <c r="IG94" s="563">
        <v>0</v>
      </c>
      <c r="IH94" s="650">
        <v>3920.5909601230242</v>
      </c>
      <c r="II94" s="564">
        <v>3920.5909601230242</v>
      </c>
      <c r="IJ94" s="565">
        <v>103.43742042255803</v>
      </c>
      <c r="IK94" s="649">
        <v>9.2071933032186006</v>
      </c>
      <c r="IL94" s="646">
        <v>28.749297078563551</v>
      </c>
      <c r="IM94" s="646">
        <v>0</v>
      </c>
      <c r="IN94" s="646">
        <v>0</v>
      </c>
      <c r="IO94" s="646">
        <v>48.090168523348225</v>
      </c>
      <c r="IP94" s="646">
        <v>0.93561839605251573</v>
      </c>
      <c r="IQ94" s="646">
        <v>3600</v>
      </c>
      <c r="IR94" s="563" t="s">
        <v>68</v>
      </c>
      <c r="IS94" s="563">
        <v>5</v>
      </c>
      <c r="IT94" s="563">
        <v>0</v>
      </c>
      <c r="IU94" s="563">
        <v>0</v>
      </c>
      <c r="IV94" s="563">
        <v>0</v>
      </c>
      <c r="IW94" s="650">
        <v>4277.8088067736408</v>
      </c>
      <c r="IX94" s="563">
        <v>0</v>
      </c>
      <c r="IY94" s="563">
        <v>0</v>
      </c>
      <c r="IZ94" s="563">
        <v>0</v>
      </c>
      <c r="JA94" s="650">
        <v>3920.5909601230242</v>
      </c>
      <c r="JB94" s="564">
        <v>3920.5909601230242</v>
      </c>
      <c r="JC94" s="565">
        <v>103.43742042255803</v>
      </c>
      <c r="JD94" s="649">
        <v>5.52431598193116</v>
      </c>
      <c r="JE94" s="646">
        <v>25.066419757276112</v>
      </c>
      <c r="JF94" s="646">
        <v>0</v>
      </c>
      <c r="JG94" s="646">
        <v>0</v>
      </c>
      <c r="JH94" s="646">
        <v>44.176277691497518</v>
      </c>
      <c r="JI94" s="646">
        <v>0.77078301879224242</v>
      </c>
      <c r="JJ94" s="646">
        <v>2930</v>
      </c>
      <c r="JK94" s="563" t="s">
        <v>67</v>
      </c>
      <c r="JL94" s="563">
        <v>3</v>
      </c>
      <c r="JM94" s="563">
        <v>0</v>
      </c>
      <c r="JN94" s="563">
        <v>0</v>
      </c>
      <c r="JO94" s="563">
        <v>0</v>
      </c>
      <c r="JP94" s="650">
        <v>3975.3060658111503</v>
      </c>
      <c r="JQ94" s="563">
        <v>0</v>
      </c>
      <c r="JR94" s="563">
        <v>0</v>
      </c>
      <c r="JS94" s="563">
        <v>0</v>
      </c>
      <c r="JT94" s="650">
        <v>3593.307963197477</v>
      </c>
      <c r="JU94" s="564">
        <v>3593.307963197477</v>
      </c>
      <c r="JV94" s="565">
        <v>94.802673953347096</v>
      </c>
      <c r="JW94" s="649">
        <v>7.3657546425748803</v>
      </c>
      <c r="JX94" s="646">
        <v>26.907858417919833</v>
      </c>
      <c r="JY94" s="646">
        <v>0</v>
      </c>
      <c r="JZ94" s="646">
        <v>0</v>
      </c>
      <c r="KA94" s="646">
        <v>46.267146621129726</v>
      </c>
      <c r="KB94" s="646">
        <v>0.85320070742237908</v>
      </c>
      <c r="KC94" s="646">
        <v>3600</v>
      </c>
      <c r="KD94" s="563" t="s">
        <v>67</v>
      </c>
      <c r="KE94" s="563">
        <v>4</v>
      </c>
      <c r="KF94" s="563">
        <v>0</v>
      </c>
      <c r="KG94" s="563">
        <v>0</v>
      </c>
      <c r="KH94" s="563">
        <v>0</v>
      </c>
      <c r="KI94" s="650">
        <v>4807.620433660285</v>
      </c>
      <c r="KJ94" s="563">
        <v>0</v>
      </c>
      <c r="KK94" s="563">
        <v>0</v>
      </c>
      <c r="KL94" s="563">
        <v>0</v>
      </c>
      <c r="KM94" s="650">
        <v>4365.5223475474559</v>
      </c>
      <c r="KN94" s="564">
        <v>4000</v>
      </c>
      <c r="KO94" s="566">
        <v>105.53247862338822</v>
      </c>
    </row>
    <row r="95" spans="1:301" s="768" customFormat="1" ht="13.5">
      <c r="A95" s="802" t="s">
        <v>1006</v>
      </c>
      <c r="B95" s="629" t="s">
        <v>382</v>
      </c>
      <c r="C95" s="629">
        <v>140.43601051719867</v>
      </c>
      <c r="D95" s="629">
        <v>1029</v>
      </c>
      <c r="E95" s="629">
        <v>140</v>
      </c>
      <c r="F95" s="629">
        <v>118.62309666585847</v>
      </c>
      <c r="G95" s="629">
        <v>54.010818872094696</v>
      </c>
      <c r="H95" s="629">
        <v>43.040419767072187</v>
      </c>
      <c r="I95" s="629">
        <v>24.994341893716555</v>
      </c>
      <c r="J95" s="629">
        <v>59.257083744893812</v>
      </c>
      <c r="K95" s="629">
        <v>85</v>
      </c>
      <c r="L95" s="629">
        <v>13</v>
      </c>
      <c r="M95" s="629">
        <v>469.43714065462729</v>
      </c>
      <c r="N95" s="629">
        <v>6</v>
      </c>
      <c r="O95" s="623">
        <v>38.443866515457131</v>
      </c>
      <c r="P95" s="629">
        <v>6</v>
      </c>
      <c r="Q95" s="623">
        <v>26.988856654492821</v>
      </c>
      <c r="R95" s="629">
        <v>18.000000000000004</v>
      </c>
      <c r="S95" s="629">
        <v>573.81154833292908</v>
      </c>
      <c r="T95" s="645">
        <v>36.54017408845889</v>
      </c>
      <c r="U95" s="645">
        <v>86.071732249939359</v>
      </c>
      <c r="V95" s="645">
        <v>35</v>
      </c>
      <c r="W95" s="793">
        <v>1.1989744622775571</v>
      </c>
      <c r="X95" s="646">
        <v>0</v>
      </c>
      <c r="Y95" s="646">
        <v>0</v>
      </c>
      <c r="Z95" s="646">
        <v>0</v>
      </c>
      <c r="AA95" s="646">
        <v>0</v>
      </c>
      <c r="AB95" s="647">
        <v>8.1145758252459039</v>
      </c>
      <c r="AC95" s="784">
        <v>4000</v>
      </c>
      <c r="AD95" s="631">
        <v>1.9264817407379029</v>
      </c>
      <c r="AE95" s="631">
        <v>1.6813219130137229</v>
      </c>
      <c r="AF95" s="631">
        <v>-0.10166815135339984</v>
      </c>
      <c r="AG95" s="631">
        <v>0.78494903365768598</v>
      </c>
      <c r="AH95" s="629"/>
      <c r="AI95" s="648">
        <v>3.7106620045857817</v>
      </c>
      <c r="AJ95" s="649">
        <v>6.5185547761465026</v>
      </c>
      <c r="AK95" s="646">
        <v>109.6904264968329</v>
      </c>
      <c r="AL95" s="646">
        <v>0</v>
      </c>
      <c r="AM95" s="646">
        <v>0</v>
      </c>
      <c r="AN95" s="646">
        <v>20.291023384144605</v>
      </c>
      <c r="AO95" s="646">
        <v>12.248071593954849</v>
      </c>
      <c r="AP95" s="801">
        <v>3550</v>
      </c>
      <c r="AQ95" s="563" t="s">
        <v>71</v>
      </c>
      <c r="AR95" s="563">
        <v>4</v>
      </c>
      <c r="AS95" s="563">
        <v>0</v>
      </c>
      <c r="AT95" s="563">
        <v>0</v>
      </c>
      <c r="AU95" s="563">
        <v>0</v>
      </c>
      <c r="AV95" s="650">
        <v>28281.350594069736</v>
      </c>
      <c r="AW95" s="563">
        <v>0</v>
      </c>
      <c r="AX95" s="563">
        <v>0</v>
      </c>
      <c r="AY95" s="563">
        <v>0</v>
      </c>
      <c r="AZ95" s="650">
        <v>93599.971615875955</v>
      </c>
      <c r="BA95" s="564">
        <v>4000</v>
      </c>
      <c r="BB95" s="565">
        <v>215.5132560362598</v>
      </c>
      <c r="BC95" s="649">
        <v>6.5185547761465026</v>
      </c>
      <c r="BD95" s="646">
        <v>109.6904264968329</v>
      </c>
      <c r="BE95" s="646">
        <v>0</v>
      </c>
      <c r="BF95" s="646">
        <v>0</v>
      </c>
      <c r="BG95" s="646">
        <v>20.291023384144605</v>
      </c>
      <c r="BH95" s="646">
        <v>12.248071593954849</v>
      </c>
      <c r="BI95" s="646">
        <v>3600</v>
      </c>
      <c r="BJ95" s="563" t="s">
        <v>71</v>
      </c>
      <c r="BK95" s="563">
        <v>4</v>
      </c>
      <c r="BL95" s="563">
        <v>0</v>
      </c>
      <c r="BM95" s="563">
        <v>0</v>
      </c>
      <c r="BN95" s="563">
        <v>0</v>
      </c>
      <c r="BO95" s="650">
        <v>28281.350594069736</v>
      </c>
      <c r="BP95" s="563">
        <v>0</v>
      </c>
      <c r="BQ95" s="563">
        <v>0</v>
      </c>
      <c r="BR95" s="563">
        <v>0</v>
      </c>
      <c r="BS95" s="650">
        <v>93599.971615875955</v>
      </c>
      <c r="BT95" s="564">
        <v>4000</v>
      </c>
      <c r="BU95" s="565">
        <v>215.5132560362598</v>
      </c>
      <c r="BV95" s="649">
        <v>6.5185547761465026</v>
      </c>
      <c r="BW95" s="646">
        <v>109.6904264968329</v>
      </c>
      <c r="BX95" s="646">
        <v>0</v>
      </c>
      <c r="BY95" s="646">
        <v>0</v>
      </c>
      <c r="BZ95" s="646">
        <v>20.291023384144605</v>
      </c>
      <c r="CA95" s="646">
        <v>12.248071593954849</v>
      </c>
      <c r="CB95" s="646">
        <v>3550</v>
      </c>
      <c r="CC95" s="563" t="s">
        <v>1584</v>
      </c>
      <c r="CD95" s="563">
        <v>4</v>
      </c>
      <c r="CE95" s="563">
        <v>0</v>
      </c>
      <c r="CF95" s="563">
        <v>0</v>
      </c>
      <c r="CG95" s="563">
        <v>0</v>
      </c>
      <c r="CH95" s="650">
        <v>27709.951276891512</v>
      </c>
      <c r="CI95" s="563">
        <v>0</v>
      </c>
      <c r="CJ95" s="563">
        <v>0</v>
      </c>
      <c r="CK95" s="563">
        <v>0</v>
      </c>
      <c r="CL95" s="650">
        <v>91708.868159154052</v>
      </c>
      <c r="CM95" s="564">
        <v>4000</v>
      </c>
      <c r="CN95" s="565">
        <v>215.5132560362598</v>
      </c>
      <c r="CO95" s="649">
        <v>6.5185547761465026</v>
      </c>
      <c r="CP95" s="646">
        <v>109.6904264968329</v>
      </c>
      <c r="CQ95" s="646">
        <v>0</v>
      </c>
      <c r="CR95" s="646">
        <v>0</v>
      </c>
      <c r="CS95" s="646">
        <v>20.291023384144605</v>
      </c>
      <c r="CT95" s="646">
        <v>12.248071593954849</v>
      </c>
      <c r="CU95" s="646">
        <v>3600</v>
      </c>
      <c r="CV95" s="563" t="s">
        <v>1584</v>
      </c>
      <c r="CW95" s="563">
        <v>4</v>
      </c>
      <c r="CX95" s="563">
        <v>0</v>
      </c>
      <c r="CY95" s="563">
        <v>0</v>
      </c>
      <c r="CZ95" s="563">
        <v>0</v>
      </c>
      <c r="DA95" s="650">
        <v>27709.951276891512</v>
      </c>
      <c r="DB95" s="563">
        <v>0</v>
      </c>
      <c r="DC95" s="563">
        <v>0</v>
      </c>
      <c r="DD95" s="563">
        <v>0</v>
      </c>
      <c r="DE95" s="650">
        <v>91708.868159154052</v>
      </c>
      <c r="DF95" s="564">
        <v>4000</v>
      </c>
      <c r="DG95" s="565">
        <v>215.5132560362598</v>
      </c>
      <c r="DH95" s="649">
        <v>6.5185547761465026</v>
      </c>
      <c r="DI95" s="646">
        <v>109.6904264968329</v>
      </c>
      <c r="DJ95" s="646">
        <v>0</v>
      </c>
      <c r="DK95" s="646">
        <v>0</v>
      </c>
      <c r="DL95" s="646">
        <v>20.291023384144605</v>
      </c>
      <c r="DM95" s="646">
        <v>12.248071593954849</v>
      </c>
      <c r="DN95" s="646">
        <v>3550</v>
      </c>
      <c r="DO95" s="563" t="s">
        <v>1588</v>
      </c>
      <c r="DP95" s="563">
        <v>4</v>
      </c>
      <c r="DQ95" s="563">
        <v>0</v>
      </c>
      <c r="DR95" s="563">
        <v>0</v>
      </c>
      <c r="DS95" s="563">
        <v>0</v>
      </c>
      <c r="DT95" s="650">
        <v>28841.431709984103</v>
      </c>
      <c r="DU95" s="563">
        <v>0</v>
      </c>
      <c r="DV95" s="563">
        <v>0</v>
      </c>
      <c r="DW95" s="563">
        <v>0</v>
      </c>
      <c r="DX95" s="650">
        <v>95453.616348216572</v>
      </c>
      <c r="DY95" s="564">
        <v>4000</v>
      </c>
      <c r="DZ95" s="565">
        <v>215.5132560362598</v>
      </c>
      <c r="EA95" s="649">
        <v>6.5185547761465026</v>
      </c>
      <c r="EB95" s="646">
        <v>109.6904264968329</v>
      </c>
      <c r="EC95" s="646">
        <v>0</v>
      </c>
      <c r="ED95" s="646">
        <v>0</v>
      </c>
      <c r="EE95" s="646">
        <v>20.291023384144605</v>
      </c>
      <c r="EF95" s="646">
        <v>12.248071593954849</v>
      </c>
      <c r="EG95" s="646">
        <v>3600</v>
      </c>
      <c r="EH95" s="563" t="s">
        <v>1588</v>
      </c>
      <c r="EI95" s="563">
        <v>4</v>
      </c>
      <c r="EJ95" s="563">
        <v>0</v>
      </c>
      <c r="EK95" s="563">
        <v>0</v>
      </c>
      <c r="EL95" s="563">
        <v>0</v>
      </c>
      <c r="EM95" s="650">
        <v>28841.431709984103</v>
      </c>
      <c r="EN95" s="563">
        <v>0</v>
      </c>
      <c r="EO95" s="563">
        <v>0</v>
      </c>
      <c r="EP95" s="563">
        <v>0</v>
      </c>
      <c r="EQ95" s="650">
        <v>95453.616348216572</v>
      </c>
      <c r="ER95" s="564">
        <v>4000</v>
      </c>
      <c r="ES95" s="565">
        <v>215.5132560362598</v>
      </c>
      <c r="ET95" s="649">
        <v>6.5185547761465026</v>
      </c>
      <c r="EU95" s="646">
        <v>109.6904264968329</v>
      </c>
      <c r="EV95" s="646">
        <v>0</v>
      </c>
      <c r="EW95" s="646">
        <v>0</v>
      </c>
      <c r="EX95" s="646">
        <v>20.291023384144605</v>
      </c>
      <c r="EY95" s="646">
        <v>12.248071593954849</v>
      </c>
      <c r="EZ95" s="646">
        <v>3550</v>
      </c>
      <c r="FA95" s="563" t="s">
        <v>1589</v>
      </c>
      <c r="FB95" s="563">
        <v>4</v>
      </c>
      <c r="FC95" s="563">
        <v>0</v>
      </c>
      <c r="FD95" s="563">
        <v>0</v>
      </c>
      <c r="FE95" s="563">
        <v>0</v>
      </c>
      <c r="FF95" s="650">
        <v>30721.410349805439</v>
      </c>
      <c r="FG95" s="563">
        <v>0</v>
      </c>
      <c r="FH95" s="563">
        <v>0</v>
      </c>
      <c r="FI95" s="563">
        <v>0</v>
      </c>
      <c r="FJ95" s="650">
        <v>101675.59456458327</v>
      </c>
      <c r="FK95" s="564">
        <v>4000</v>
      </c>
      <c r="FL95" s="565">
        <v>215.5132560362598</v>
      </c>
      <c r="FM95" s="649">
        <v>6.5185547761465026</v>
      </c>
      <c r="FN95" s="646">
        <v>109.6904264968329</v>
      </c>
      <c r="FO95" s="646">
        <v>0</v>
      </c>
      <c r="FP95" s="646">
        <v>0</v>
      </c>
      <c r="FQ95" s="646">
        <v>20.291023384144605</v>
      </c>
      <c r="FR95" s="646">
        <v>12.248071593954849</v>
      </c>
      <c r="FS95" s="646">
        <v>3600</v>
      </c>
      <c r="FT95" s="563" t="s">
        <v>1589</v>
      </c>
      <c r="FU95" s="563">
        <v>4</v>
      </c>
      <c r="FV95" s="563">
        <v>0</v>
      </c>
      <c r="FW95" s="563">
        <v>0</v>
      </c>
      <c r="FX95" s="563">
        <v>0</v>
      </c>
      <c r="FY95" s="650">
        <v>30721.410349805439</v>
      </c>
      <c r="FZ95" s="563">
        <v>0</v>
      </c>
      <c r="GA95" s="563">
        <v>0</v>
      </c>
      <c r="GB95" s="563">
        <v>0</v>
      </c>
      <c r="GC95" s="650">
        <v>101675.59456458327</v>
      </c>
      <c r="GD95" s="564">
        <v>4000</v>
      </c>
      <c r="GE95" s="565">
        <v>215.5132560362598</v>
      </c>
      <c r="GF95" s="649">
        <v>6.5185547761465026</v>
      </c>
      <c r="GG95" s="646">
        <v>109.6904264968329</v>
      </c>
      <c r="GH95" s="646">
        <v>0</v>
      </c>
      <c r="GI95" s="646">
        <v>0</v>
      </c>
      <c r="GJ95" s="646">
        <v>20.291023384144605</v>
      </c>
      <c r="GK95" s="646">
        <v>12.248071593954849</v>
      </c>
      <c r="GL95" s="646">
        <v>3550</v>
      </c>
      <c r="GM95" s="563" t="s">
        <v>1587</v>
      </c>
      <c r="GN95" s="563">
        <v>4</v>
      </c>
      <c r="GO95" s="563">
        <v>0</v>
      </c>
      <c r="GP95" s="563">
        <v>0</v>
      </c>
      <c r="GQ95" s="563">
        <v>0</v>
      </c>
      <c r="GR95" s="650">
        <v>37943.413454306406</v>
      </c>
      <c r="GS95" s="563">
        <v>0</v>
      </c>
      <c r="GT95" s="563">
        <v>0</v>
      </c>
      <c r="GU95" s="563">
        <v>0</v>
      </c>
      <c r="GV95" s="650">
        <v>125577.53953508969</v>
      </c>
      <c r="GW95" s="564">
        <v>4000</v>
      </c>
      <c r="GX95" s="565">
        <v>215.5132560362598</v>
      </c>
      <c r="GY95" s="649">
        <v>6.5185547761465026</v>
      </c>
      <c r="GZ95" s="646">
        <v>109.6904264968329</v>
      </c>
      <c r="HA95" s="646">
        <v>0</v>
      </c>
      <c r="HB95" s="646">
        <v>0</v>
      </c>
      <c r="HC95" s="646">
        <v>20.291023384144605</v>
      </c>
      <c r="HD95" s="646">
        <v>12.248071593954849</v>
      </c>
      <c r="HE95" s="646">
        <v>3600</v>
      </c>
      <c r="HF95" s="563" t="s">
        <v>1587</v>
      </c>
      <c r="HG95" s="563">
        <v>4</v>
      </c>
      <c r="HH95" s="563">
        <v>0</v>
      </c>
      <c r="HI95" s="563">
        <v>0</v>
      </c>
      <c r="HJ95" s="563">
        <v>0</v>
      </c>
      <c r="HK95" s="650">
        <v>37943.413454306406</v>
      </c>
      <c r="HL95" s="563">
        <v>0</v>
      </c>
      <c r="HM95" s="563">
        <v>0</v>
      </c>
      <c r="HN95" s="563">
        <v>0</v>
      </c>
      <c r="HO95" s="650">
        <v>125577.53953508969</v>
      </c>
      <c r="HP95" s="564">
        <v>4000</v>
      </c>
      <c r="HQ95" s="565">
        <v>215.5132560362598</v>
      </c>
      <c r="HR95" s="649">
        <v>6.5185547761465026</v>
      </c>
      <c r="HS95" s="646">
        <v>109.6904264968329</v>
      </c>
      <c r="HT95" s="646">
        <v>0</v>
      </c>
      <c r="HU95" s="646">
        <v>0</v>
      </c>
      <c r="HV95" s="646">
        <v>20.291023384144605</v>
      </c>
      <c r="HW95" s="646">
        <v>12.248071593954849</v>
      </c>
      <c r="HX95" s="646">
        <v>3550</v>
      </c>
      <c r="HY95" s="563" t="s">
        <v>68</v>
      </c>
      <c r="HZ95" s="563">
        <v>4</v>
      </c>
      <c r="IA95" s="563">
        <v>0</v>
      </c>
      <c r="IB95" s="563">
        <v>0</v>
      </c>
      <c r="IC95" s="563">
        <v>0</v>
      </c>
      <c r="ID95" s="650">
        <v>33462.945297665668</v>
      </c>
      <c r="IE95" s="563">
        <v>0</v>
      </c>
      <c r="IF95" s="563">
        <v>0</v>
      </c>
      <c r="IG95" s="563">
        <v>0</v>
      </c>
      <c r="IH95" s="650">
        <v>110748.97995507649</v>
      </c>
      <c r="II95" s="564">
        <v>4000</v>
      </c>
      <c r="IJ95" s="565">
        <v>215.5132560362598</v>
      </c>
      <c r="IK95" s="649">
        <v>6.5185547761465026</v>
      </c>
      <c r="IL95" s="646">
        <v>109.6904264968329</v>
      </c>
      <c r="IM95" s="646">
        <v>0</v>
      </c>
      <c r="IN95" s="646">
        <v>0</v>
      </c>
      <c r="IO95" s="646">
        <v>20.291023384144605</v>
      </c>
      <c r="IP95" s="646">
        <v>12.248071593954849</v>
      </c>
      <c r="IQ95" s="646">
        <v>3600</v>
      </c>
      <c r="IR95" s="563" t="s">
        <v>68</v>
      </c>
      <c r="IS95" s="563">
        <v>4</v>
      </c>
      <c r="IT95" s="563">
        <v>0</v>
      </c>
      <c r="IU95" s="563">
        <v>0</v>
      </c>
      <c r="IV95" s="563">
        <v>0</v>
      </c>
      <c r="IW95" s="650">
        <v>33462.945297665668</v>
      </c>
      <c r="IX95" s="563">
        <v>0</v>
      </c>
      <c r="IY95" s="563">
        <v>0</v>
      </c>
      <c r="IZ95" s="563">
        <v>0</v>
      </c>
      <c r="JA95" s="650">
        <v>110748.97995507649</v>
      </c>
      <c r="JB95" s="564">
        <v>4000</v>
      </c>
      <c r="JC95" s="565">
        <v>215.5132560362598</v>
      </c>
      <c r="JD95" s="649">
        <v>6.5185547761465026</v>
      </c>
      <c r="JE95" s="646">
        <v>109.6904264968329</v>
      </c>
      <c r="JF95" s="646">
        <v>0</v>
      </c>
      <c r="JG95" s="646">
        <v>0</v>
      </c>
      <c r="JH95" s="646">
        <v>20.291023384144605</v>
      </c>
      <c r="JI95" s="646">
        <v>12.248071593954849</v>
      </c>
      <c r="JJ95" s="646">
        <v>3550</v>
      </c>
      <c r="JK95" s="563" t="s">
        <v>67</v>
      </c>
      <c r="JL95" s="563">
        <v>4</v>
      </c>
      <c r="JM95" s="563">
        <v>0</v>
      </c>
      <c r="JN95" s="563">
        <v>0</v>
      </c>
      <c r="JO95" s="563">
        <v>0</v>
      </c>
      <c r="JP95" s="650">
        <v>45602.307591877325</v>
      </c>
      <c r="JQ95" s="563">
        <v>0</v>
      </c>
      <c r="JR95" s="563">
        <v>0</v>
      </c>
      <c r="JS95" s="563">
        <v>0</v>
      </c>
      <c r="JT95" s="650">
        <v>150925.41928012436</v>
      </c>
      <c r="JU95" s="564">
        <v>4000</v>
      </c>
      <c r="JV95" s="565">
        <v>215.5132560362598</v>
      </c>
      <c r="JW95" s="649">
        <v>6.5185547761465026</v>
      </c>
      <c r="JX95" s="646">
        <v>109.6904264968329</v>
      </c>
      <c r="JY95" s="646">
        <v>0</v>
      </c>
      <c r="JZ95" s="646">
        <v>0</v>
      </c>
      <c r="KA95" s="646">
        <v>20.291023384144605</v>
      </c>
      <c r="KB95" s="646">
        <v>12.248071593954849</v>
      </c>
      <c r="KC95" s="646">
        <v>3600</v>
      </c>
      <c r="KD95" s="563" t="s">
        <v>67</v>
      </c>
      <c r="KE95" s="563">
        <v>4</v>
      </c>
      <c r="KF95" s="563">
        <v>0</v>
      </c>
      <c r="KG95" s="563">
        <v>0</v>
      </c>
      <c r="KH95" s="563">
        <v>0</v>
      </c>
      <c r="KI95" s="650">
        <v>45602.307591877325</v>
      </c>
      <c r="KJ95" s="563">
        <v>0</v>
      </c>
      <c r="KK95" s="563">
        <v>0</v>
      </c>
      <c r="KL95" s="563">
        <v>0</v>
      </c>
      <c r="KM95" s="650">
        <v>150925.41928012436</v>
      </c>
      <c r="KN95" s="564">
        <v>4000</v>
      </c>
      <c r="KO95" s="566">
        <v>215.5132560362598</v>
      </c>
    </row>
    <row r="96" spans="1:301" s="768" customFormat="1" ht="13.5">
      <c r="A96" s="802" t="s">
        <v>1007</v>
      </c>
      <c r="B96" s="629" t="s">
        <v>382</v>
      </c>
      <c r="C96" s="629">
        <v>247.26209328909496</v>
      </c>
      <c r="D96" s="629">
        <v>882.37318573221876</v>
      </c>
      <c r="E96" s="629">
        <v>250</v>
      </c>
      <c r="F96" s="629">
        <v>199.82419538701083</v>
      </c>
      <c r="G96" s="629">
        <v>100.2940914782051</v>
      </c>
      <c r="H96" s="629">
        <v>81.166915476089358</v>
      </c>
      <c r="I96" s="629">
        <v>31.363041939930287</v>
      </c>
      <c r="J96" s="629">
        <v>47.784077912037183</v>
      </c>
      <c r="K96" s="629">
        <v>74.30708263143228</v>
      </c>
      <c r="L96" s="629">
        <v>15</v>
      </c>
      <c r="M96" s="629">
        <v>367.47636718809349</v>
      </c>
      <c r="N96" s="629">
        <v>5</v>
      </c>
      <c r="O96" s="623">
        <v>22.074585919840199</v>
      </c>
      <c r="P96" s="629">
        <v>5</v>
      </c>
      <c r="Q96" s="623">
        <v>14.97553224239627</v>
      </c>
      <c r="R96" s="629">
        <v>18.000000000000004</v>
      </c>
      <c r="S96" s="629">
        <v>541.09869055961474</v>
      </c>
      <c r="T96" s="645">
        <v>32.492640769301872</v>
      </c>
      <c r="U96" s="645">
        <v>81.164803583942202</v>
      </c>
      <c r="V96" s="645">
        <v>60</v>
      </c>
      <c r="W96" s="793">
        <v>1.8277110432732293</v>
      </c>
      <c r="X96" s="646">
        <v>0</v>
      </c>
      <c r="Y96" s="646">
        <v>0</v>
      </c>
      <c r="Z96" s="646">
        <v>0</v>
      </c>
      <c r="AA96" s="646">
        <v>0</v>
      </c>
      <c r="AB96" s="647">
        <v>9.1424800063149529</v>
      </c>
      <c r="AC96" s="784">
        <v>4000</v>
      </c>
      <c r="AD96" s="631">
        <v>1.5693489228039728</v>
      </c>
      <c r="AE96" s="631">
        <v>1.1022306472979864</v>
      </c>
      <c r="AF96" s="631">
        <v>-0.20000887835004783</v>
      </c>
      <c r="AG96" s="631">
        <v>0.79481272376694223</v>
      </c>
      <c r="AH96" s="629"/>
      <c r="AI96" s="648">
        <v>2.9702341711050622</v>
      </c>
      <c r="AJ96" s="649">
        <v>7.3038146538576969</v>
      </c>
      <c r="AK96" s="646">
        <v>78.67428462866927</v>
      </c>
      <c r="AL96" s="646">
        <v>0</v>
      </c>
      <c r="AM96" s="646">
        <v>0</v>
      </c>
      <c r="AN96" s="646">
        <v>31.431414258878124</v>
      </c>
      <c r="AO96" s="646">
        <v>6.2821876252081337</v>
      </c>
      <c r="AP96" s="801">
        <v>3600</v>
      </c>
      <c r="AQ96" s="563" t="s">
        <v>71</v>
      </c>
      <c r="AR96" s="563">
        <v>3</v>
      </c>
      <c r="AS96" s="563">
        <v>0</v>
      </c>
      <c r="AT96" s="563">
        <v>0</v>
      </c>
      <c r="AU96" s="563">
        <v>0</v>
      </c>
      <c r="AV96" s="650">
        <v>6431.1676724613208</v>
      </c>
      <c r="AW96" s="563">
        <v>0</v>
      </c>
      <c r="AX96" s="563">
        <v>0</v>
      </c>
      <c r="AY96" s="563">
        <v>0</v>
      </c>
      <c r="AZ96" s="650">
        <v>18411.18825612203</v>
      </c>
      <c r="BA96" s="564">
        <v>4000</v>
      </c>
      <c r="BB96" s="565">
        <v>184.80380786806401</v>
      </c>
      <c r="BC96" s="649">
        <v>7.3038146538576969</v>
      </c>
      <c r="BD96" s="646">
        <v>78.67428462866927</v>
      </c>
      <c r="BE96" s="646">
        <v>0</v>
      </c>
      <c r="BF96" s="646">
        <v>0</v>
      </c>
      <c r="BG96" s="646">
        <v>31.431414258878124</v>
      </c>
      <c r="BH96" s="646">
        <v>6.2821876252081337</v>
      </c>
      <c r="BI96" s="646">
        <v>3600</v>
      </c>
      <c r="BJ96" s="563" t="s">
        <v>71</v>
      </c>
      <c r="BK96" s="563">
        <v>3</v>
      </c>
      <c r="BL96" s="563">
        <v>0</v>
      </c>
      <c r="BM96" s="563">
        <v>0</v>
      </c>
      <c r="BN96" s="563">
        <v>0</v>
      </c>
      <c r="BO96" s="650">
        <v>6431.1676724613208</v>
      </c>
      <c r="BP96" s="563">
        <v>0</v>
      </c>
      <c r="BQ96" s="563">
        <v>0</v>
      </c>
      <c r="BR96" s="563">
        <v>0</v>
      </c>
      <c r="BS96" s="650">
        <v>18411.18825612203</v>
      </c>
      <c r="BT96" s="564">
        <v>4000</v>
      </c>
      <c r="BU96" s="565">
        <v>184.80380786806401</v>
      </c>
      <c r="BV96" s="649">
        <v>7.3038146538576969</v>
      </c>
      <c r="BW96" s="646">
        <v>78.67428462866927</v>
      </c>
      <c r="BX96" s="646">
        <v>0</v>
      </c>
      <c r="BY96" s="646">
        <v>0</v>
      </c>
      <c r="BZ96" s="646">
        <v>31.431414258878124</v>
      </c>
      <c r="CA96" s="646">
        <v>6.2821876252081337</v>
      </c>
      <c r="CB96" s="646">
        <v>3600</v>
      </c>
      <c r="CC96" s="563" t="s">
        <v>1584</v>
      </c>
      <c r="CD96" s="563">
        <v>3</v>
      </c>
      <c r="CE96" s="563">
        <v>0</v>
      </c>
      <c r="CF96" s="563">
        <v>0</v>
      </c>
      <c r="CG96" s="563">
        <v>0</v>
      </c>
      <c r="CH96" s="650">
        <v>6301.2316991251091</v>
      </c>
      <c r="CI96" s="563">
        <v>0</v>
      </c>
      <c r="CJ96" s="563">
        <v>0</v>
      </c>
      <c r="CK96" s="563">
        <v>0</v>
      </c>
      <c r="CL96" s="650">
        <v>18039.206714328411</v>
      </c>
      <c r="CM96" s="564">
        <v>4000</v>
      </c>
      <c r="CN96" s="565">
        <v>184.80380786806401</v>
      </c>
      <c r="CO96" s="649">
        <v>7.3038146538576969</v>
      </c>
      <c r="CP96" s="646">
        <v>78.67428462866927</v>
      </c>
      <c r="CQ96" s="646">
        <v>0</v>
      </c>
      <c r="CR96" s="646">
        <v>0</v>
      </c>
      <c r="CS96" s="646">
        <v>31.431414258878124</v>
      </c>
      <c r="CT96" s="646">
        <v>6.2821876252081337</v>
      </c>
      <c r="CU96" s="646">
        <v>3600</v>
      </c>
      <c r="CV96" s="563" t="s">
        <v>1584</v>
      </c>
      <c r="CW96" s="563">
        <v>3</v>
      </c>
      <c r="CX96" s="563">
        <v>0</v>
      </c>
      <c r="CY96" s="563">
        <v>0</v>
      </c>
      <c r="CZ96" s="563">
        <v>0</v>
      </c>
      <c r="DA96" s="650">
        <v>6301.2316991251091</v>
      </c>
      <c r="DB96" s="563">
        <v>0</v>
      </c>
      <c r="DC96" s="563">
        <v>0</v>
      </c>
      <c r="DD96" s="563">
        <v>0</v>
      </c>
      <c r="DE96" s="650">
        <v>18039.206714328411</v>
      </c>
      <c r="DF96" s="564">
        <v>4000</v>
      </c>
      <c r="DG96" s="565">
        <v>184.80380786806401</v>
      </c>
      <c r="DH96" s="649">
        <v>7.3038146538576969</v>
      </c>
      <c r="DI96" s="646">
        <v>78.67428462866927</v>
      </c>
      <c r="DJ96" s="646">
        <v>0</v>
      </c>
      <c r="DK96" s="646">
        <v>0</v>
      </c>
      <c r="DL96" s="646">
        <v>31.431414258878124</v>
      </c>
      <c r="DM96" s="646">
        <v>6.2821876252081337</v>
      </c>
      <c r="DN96" s="646">
        <v>3600</v>
      </c>
      <c r="DO96" s="563" t="s">
        <v>1588</v>
      </c>
      <c r="DP96" s="563">
        <v>3</v>
      </c>
      <c r="DQ96" s="563">
        <v>0</v>
      </c>
      <c r="DR96" s="563">
        <v>0</v>
      </c>
      <c r="DS96" s="563">
        <v>0</v>
      </c>
      <c r="DT96" s="650">
        <v>6558.5298914134737</v>
      </c>
      <c r="DU96" s="563">
        <v>0</v>
      </c>
      <c r="DV96" s="563">
        <v>0</v>
      </c>
      <c r="DW96" s="563">
        <v>0</v>
      </c>
      <c r="DX96" s="650">
        <v>18775.80163727931</v>
      </c>
      <c r="DY96" s="564">
        <v>4000</v>
      </c>
      <c r="DZ96" s="565">
        <v>184.80380786806401</v>
      </c>
      <c r="EA96" s="649">
        <v>7.3038146538576969</v>
      </c>
      <c r="EB96" s="646">
        <v>78.67428462866927</v>
      </c>
      <c r="EC96" s="646">
        <v>0</v>
      </c>
      <c r="ED96" s="646">
        <v>0</v>
      </c>
      <c r="EE96" s="646">
        <v>31.431414258878124</v>
      </c>
      <c r="EF96" s="646">
        <v>6.2821876252081337</v>
      </c>
      <c r="EG96" s="646">
        <v>3600</v>
      </c>
      <c r="EH96" s="563" t="s">
        <v>1588</v>
      </c>
      <c r="EI96" s="563">
        <v>3</v>
      </c>
      <c r="EJ96" s="563">
        <v>0</v>
      </c>
      <c r="EK96" s="563">
        <v>0</v>
      </c>
      <c r="EL96" s="563">
        <v>0</v>
      </c>
      <c r="EM96" s="650">
        <v>6558.5298914134737</v>
      </c>
      <c r="EN96" s="563">
        <v>0</v>
      </c>
      <c r="EO96" s="563">
        <v>0</v>
      </c>
      <c r="EP96" s="563">
        <v>0</v>
      </c>
      <c r="EQ96" s="650">
        <v>18775.80163727931</v>
      </c>
      <c r="ER96" s="564">
        <v>4000</v>
      </c>
      <c r="ES96" s="565">
        <v>184.80380786806401</v>
      </c>
      <c r="ET96" s="649">
        <v>7.3038146538576969</v>
      </c>
      <c r="EU96" s="646">
        <v>78.67428462866927</v>
      </c>
      <c r="EV96" s="646">
        <v>0</v>
      </c>
      <c r="EW96" s="646">
        <v>0</v>
      </c>
      <c r="EX96" s="646">
        <v>31.431414258878124</v>
      </c>
      <c r="EY96" s="646">
        <v>6.2821876252081337</v>
      </c>
      <c r="EZ96" s="646">
        <v>3600</v>
      </c>
      <c r="FA96" s="563" t="s">
        <v>1589</v>
      </c>
      <c r="FB96" s="563">
        <v>3</v>
      </c>
      <c r="FC96" s="563">
        <v>0</v>
      </c>
      <c r="FD96" s="563">
        <v>0</v>
      </c>
      <c r="FE96" s="563">
        <v>0</v>
      </c>
      <c r="FF96" s="650">
        <v>6986.0362728050341</v>
      </c>
      <c r="FG96" s="563">
        <v>0</v>
      </c>
      <c r="FH96" s="563">
        <v>0</v>
      </c>
      <c r="FI96" s="563">
        <v>0</v>
      </c>
      <c r="FJ96" s="650">
        <v>19999.669660841693</v>
      </c>
      <c r="FK96" s="564">
        <v>4000</v>
      </c>
      <c r="FL96" s="565">
        <v>184.80380786806401</v>
      </c>
      <c r="FM96" s="649">
        <v>7.3038146538576969</v>
      </c>
      <c r="FN96" s="646">
        <v>78.67428462866927</v>
      </c>
      <c r="FO96" s="646">
        <v>0</v>
      </c>
      <c r="FP96" s="646">
        <v>0</v>
      </c>
      <c r="FQ96" s="646">
        <v>31.431414258878124</v>
      </c>
      <c r="FR96" s="646">
        <v>6.2821876252081337</v>
      </c>
      <c r="FS96" s="646">
        <v>3600</v>
      </c>
      <c r="FT96" s="563" t="s">
        <v>1589</v>
      </c>
      <c r="FU96" s="563">
        <v>3</v>
      </c>
      <c r="FV96" s="563">
        <v>0</v>
      </c>
      <c r="FW96" s="563">
        <v>0</v>
      </c>
      <c r="FX96" s="563">
        <v>0</v>
      </c>
      <c r="FY96" s="650">
        <v>6986.0362728050341</v>
      </c>
      <c r="FZ96" s="563">
        <v>0</v>
      </c>
      <c r="GA96" s="563">
        <v>0</v>
      </c>
      <c r="GB96" s="563">
        <v>0</v>
      </c>
      <c r="GC96" s="650">
        <v>19999.669660841693</v>
      </c>
      <c r="GD96" s="564">
        <v>4000</v>
      </c>
      <c r="GE96" s="565">
        <v>184.80380786806401</v>
      </c>
      <c r="GF96" s="649">
        <v>7.3038146538576969</v>
      </c>
      <c r="GG96" s="646">
        <v>78.67428462866927</v>
      </c>
      <c r="GH96" s="646">
        <v>0</v>
      </c>
      <c r="GI96" s="646">
        <v>0</v>
      </c>
      <c r="GJ96" s="646">
        <v>31.431414258878124</v>
      </c>
      <c r="GK96" s="646">
        <v>6.2821876252081337</v>
      </c>
      <c r="GL96" s="646">
        <v>3600</v>
      </c>
      <c r="GM96" s="563" t="s">
        <v>1587</v>
      </c>
      <c r="GN96" s="563">
        <v>3</v>
      </c>
      <c r="GO96" s="563">
        <v>0</v>
      </c>
      <c r="GP96" s="563">
        <v>0</v>
      </c>
      <c r="GQ96" s="563">
        <v>0</v>
      </c>
      <c r="GR96" s="650">
        <v>8628.3168541935702</v>
      </c>
      <c r="GS96" s="563">
        <v>0</v>
      </c>
      <c r="GT96" s="563">
        <v>0</v>
      </c>
      <c r="GU96" s="563">
        <v>0</v>
      </c>
      <c r="GV96" s="650">
        <v>24701.201092340805</v>
      </c>
      <c r="GW96" s="564">
        <v>4000</v>
      </c>
      <c r="GX96" s="565">
        <v>184.80380786806401</v>
      </c>
      <c r="GY96" s="649">
        <v>7.3038146538576969</v>
      </c>
      <c r="GZ96" s="646">
        <v>78.67428462866927</v>
      </c>
      <c r="HA96" s="646">
        <v>0</v>
      </c>
      <c r="HB96" s="646">
        <v>0</v>
      </c>
      <c r="HC96" s="646">
        <v>31.431414258878124</v>
      </c>
      <c r="HD96" s="646">
        <v>6.2821876252081337</v>
      </c>
      <c r="HE96" s="646">
        <v>3600</v>
      </c>
      <c r="HF96" s="563" t="s">
        <v>1587</v>
      </c>
      <c r="HG96" s="563">
        <v>3</v>
      </c>
      <c r="HH96" s="563">
        <v>0</v>
      </c>
      <c r="HI96" s="563">
        <v>0</v>
      </c>
      <c r="HJ96" s="563">
        <v>0</v>
      </c>
      <c r="HK96" s="650">
        <v>8628.3168541935702</v>
      </c>
      <c r="HL96" s="563">
        <v>0</v>
      </c>
      <c r="HM96" s="563">
        <v>0</v>
      </c>
      <c r="HN96" s="563">
        <v>0</v>
      </c>
      <c r="HO96" s="650">
        <v>24701.201092340805</v>
      </c>
      <c r="HP96" s="564">
        <v>4000</v>
      </c>
      <c r="HQ96" s="565">
        <v>184.80380786806401</v>
      </c>
      <c r="HR96" s="649">
        <v>7.3038146538576969</v>
      </c>
      <c r="HS96" s="646">
        <v>78.67428462866927</v>
      </c>
      <c r="HT96" s="646">
        <v>0</v>
      </c>
      <c r="HU96" s="646">
        <v>0</v>
      </c>
      <c r="HV96" s="646">
        <v>31.431414258878124</v>
      </c>
      <c r="HW96" s="646">
        <v>6.2821876252081337</v>
      </c>
      <c r="HX96" s="646">
        <v>3600</v>
      </c>
      <c r="HY96" s="563" t="s">
        <v>68</v>
      </c>
      <c r="HZ96" s="563">
        <v>3</v>
      </c>
      <c r="IA96" s="563">
        <v>0</v>
      </c>
      <c r="IB96" s="563">
        <v>0</v>
      </c>
      <c r="IC96" s="563">
        <v>0</v>
      </c>
      <c r="ID96" s="650">
        <v>7609.4602097544484</v>
      </c>
      <c r="IE96" s="563">
        <v>0</v>
      </c>
      <c r="IF96" s="563">
        <v>0</v>
      </c>
      <c r="IG96" s="563">
        <v>0</v>
      </c>
      <c r="IH96" s="650">
        <v>21784.411724976919</v>
      </c>
      <c r="II96" s="564">
        <v>4000</v>
      </c>
      <c r="IJ96" s="565">
        <v>184.80380786806401</v>
      </c>
      <c r="IK96" s="649">
        <v>7.3038146538576969</v>
      </c>
      <c r="IL96" s="646">
        <v>78.67428462866927</v>
      </c>
      <c r="IM96" s="646">
        <v>0</v>
      </c>
      <c r="IN96" s="646">
        <v>0</v>
      </c>
      <c r="IO96" s="646">
        <v>31.431414258878124</v>
      </c>
      <c r="IP96" s="646">
        <v>6.2821876252081337</v>
      </c>
      <c r="IQ96" s="646">
        <v>3600</v>
      </c>
      <c r="IR96" s="563" t="s">
        <v>68</v>
      </c>
      <c r="IS96" s="563">
        <v>3</v>
      </c>
      <c r="IT96" s="563">
        <v>0</v>
      </c>
      <c r="IU96" s="563">
        <v>0</v>
      </c>
      <c r="IV96" s="563">
        <v>0</v>
      </c>
      <c r="IW96" s="650">
        <v>7609.4602097544484</v>
      </c>
      <c r="IX96" s="563">
        <v>0</v>
      </c>
      <c r="IY96" s="563">
        <v>0</v>
      </c>
      <c r="IZ96" s="563">
        <v>0</v>
      </c>
      <c r="JA96" s="650">
        <v>21784.411724976919</v>
      </c>
      <c r="JB96" s="564">
        <v>4000</v>
      </c>
      <c r="JC96" s="565">
        <v>184.80380786806401</v>
      </c>
      <c r="JD96" s="649">
        <v>7.3038146538576969</v>
      </c>
      <c r="JE96" s="646">
        <v>78.67428462866927</v>
      </c>
      <c r="JF96" s="646">
        <v>0</v>
      </c>
      <c r="JG96" s="646">
        <v>0</v>
      </c>
      <c r="JH96" s="646">
        <v>31.431414258878124</v>
      </c>
      <c r="JI96" s="646">
        <v>6.2821876252081337</v>
      </c>
      <c r="JJ96" s="646">
        <v>3600</v>
      </c>
      <c r="JK96" s="563" t="s">
        <v>67</v>
      </c>
      <c r="JL96" s="563">
        <v>3</v>
      </c>
      <c r="JM96" s="563">
        <v>0</v>
      </c>
      <c r="JN96" s="563">
        <v>0</v>
      </c>
      <c r="JO96" s="563">
        <v>0</v>
      </c>
      <c r="JP96" s="650">
        <v>10369.946279581687</v>
      </c>
      <c r="JQ96" s="563">
        <v>0</v>
      </c>
      <c r="JR96" s="563">
        <v>0</v>
      </c>
      <c r="JS96" s="563">
        <v>0</v>
      </c>
      <c r="JT96" s="650">
        <v>29687.149034660615</v>
      </c>
      <c r="JU96" s="564">
        <v>4000</v>
      </c>
      <c r="JV96" s="565">
        <v>184.80380786806401</v>
      </c>
      <c r="JW96" s="649">
        <v>7.3038146538576969</v>
      </c>
      <c r="JX96" s="646">
        <v>78.67428462866927</v>
      </c>
      <c r="JY96" s="646">
        <v>0</v>
      </c>
      <c r="JZ96" s="646">
        <v>0</v>
      </c>
      <c r="KA96" s="646">
        <v>31.431414258878124</v>
      </c>
      <c r="KB96" s="646">
        <v>6.2821876252081337</v>
      </c>
      <c r="KC96" s="646">
        <v>3600</v>
      </c>
      <c r="KD96" s="563" t="s">
        <v>67</v>
      </c>
      <c r="KE96" s="563">
        <v>3</v>
      </c>
      <c r="KF96" s="563">
        <v>0</v>
      </c>
      <c r="KG96" s="563">
        <v>0</v>
      </c>
      <c r="KH96" s="563">
        <v>0</v>
      </c>
      <c r="KI96" s="650">
        <v>10369.946279581687</v>
      </c>
      <c r="KJ96" s="563">
        <v>0</v>
      </c>
      <c r="KK96" s="563">
        <v>0</v>
      </c>
      <c r="KL96" s="563">
        <v>0</v>
      </c>
      <c r="KM96" s="650">
        <v>29687.149034660615</v>
      </c>
      <c r="KN96" s="564">
        <v>4000</v>
      </c>
      <c r="KO96" s="566">
        <v>184.80380786806401</v>
      </c>
    </row>
    <row r="97" spans="1:301" s="768" customFormat="1" ht="13.5">
      <c r="A97" s="802" t="s">
        <v>1184</v>
      </c>
      <c r="B97" s="629" t="s">
        <v>382</v>
      </c>
      <c r="C97" s="629">
        <v>206.446632025154</v>
      </c>
      <c r="D97" s="629">
        <v>943.36942459380805</v>
      </c>
      <c r="E97" s="629">
        <v>205</v>
      </c>
      <c r="F97" s="629">
        <v>172.67485990007901</v>
      </c>
      <c r="G97" s="629">
        <v>88.218538485124711</v>
      </c>
      <c r="H97" s="629">
        <v>71.764635468240897</v>
      </c>
      <c r="I97" s="629">
        <v>44.06688916891823</v>
      </c>
      <c r="J97" s="629">
        <v>54.523177537074915</v>
      </c>
      <c r="K97" s="629">
        <v>84.276371281631995</v>
      </c>
      <c r="L97" s="629">
        <v>16</v>
      </c>
      <c r="M97" s="629">
        <v>395.68122389851823</v>
      </c>
      <c r="N97" s="629">
        <v>6</v>
      </c>
      <c r="O97" s="623">
        <v>31.366503814158662</v>
      </c>
      <c r="P97" s="629">
        <v>6</v>
      </c>
      <c r="Q97" s="623">
        <v>21.402133125418761</v>
      </c>
      <c r="R97" s="629">
        <v>18.000000000000004</v>
      </c>
      <c r="S97" s="629">
        <v>558.02214224694353</v>
      </c>
      <c r="T97" s="645">
        <v>34.556910425730393</v>
      </c>
      <c r="U97" s="645">
        <v>83.70332133704153</v>
      </c>
      <c r="V97" s="645">
        <v>47.5</v>
      </c>
      <c r="W97" s="793">
        <v>1.5388624173958065</v>
      </c>
      <c r="X97" s="646">
        <v>0</v>
      </c>
      <c r="Y97" s="646">
        <v>0</v>
      </c>
      <c r="Z97" s="646">
        <v>0</v>
      </c>
      <c r="AA97" s="646">
        <v>0</v>
      </c>
      <c r="AB97" s="647">
        <v>11.056137706816404</v>
      </c>
      <c r="AC97" s="784">
        <v>4000</v>
      </c>
      <c r="AD97" s="631">
        <v>2.482891663912226</v>
      </c>
      <c r="AE97" s="631">
        <v>1.4031485755844615</v>
      </c>
      <c r="AF97" s="631">
        <v>-0.13122873155020923</v>
      </c>
      <c r="AG97" s="631">
        <v>0.65548625245919778</v>
      </c>
      <c r="AH97" s="629"/>
      <c r="AI97" s="648">
        <v>3.4622174899297908</v>
      </c>
      <c r="AJ97" s="649">
        <v>11.51308868993698</v>
      </c>
      <c r="AK97" s="646">
        <v>100.3774984726406</v>
      </c>
      <c r="AL97" s="646">
        <v>0</v>
      </c>
      <c r="AM97" s="646">
        <v>0</v>
      </c>
      <c r="AN97" s="646">
        <v>30.64320829901008</v>
      </c>
      <c r="AO97" s="646">
        <v>9.5551422971170545</v>
      </c>
      <c r="AP97" s="801">
        <v>3500</v>
      </c>
      <c r="AQ97" s="563" t="s">
        <v>71</v>
      </c>
      <c r="AR97" s="563">
        <v>4</v>
      </c>
      <c r="AS97" s="563">
        <v>0</v>
      </c>
      <c r="AT97" s="563">
        <v>0</v>
      </c>
      <c r="AU97" s="563">
        <v>0</v>
      </c>
      <c r="AV97" s="650">
        <v>10764.799706804824</v>
      </c>
      <c r="AW97" s="563">
        <v>0</v>
      </c>
      <c r="AX97" s="563">
        <v>0</v>
      </c>
      <c r="AY97" s="563">
        <v>0</v>
      </c>
      <c r="AZ97" s="650">
        <v>23805.880313498023</v>
      </c>
      <c r="BA97" s="564">
        <v>4000</v>
      </c>
      <c r="BB97" s="565">
        <v>197.57883026167582</v>
      </c>
      <c r="BC97" s="649">
        <v>11.51308868993698</v>
      </c>
      <c r="BD97" s="646">
        <v>100.3774984726406</v>
      </c>
      <c r="BE97" s="646">
        <v>0</v>
      </c>
      <c r="BF97" s="646">
        <v>0</v>
      </c>
      <c r="BG97" s="646">
        <v>30.64320829901008</v>
      </c>
      <c r="BH97" s="646">
        <v>9.5551422971170545</v>
      </c>
      <c r="BI97" s="646">
        <v>3600</v>
      </c>
      <c r="BJ97" s="563" t="s">
        <v>71</v>
      </c>
      <c r="BK97" s="563">
        <v>4</v>
      </c>
      <c r="BL97" s="563">
        <v>0</v>
      </c>
      <c r="BM97" s="563">
        <v>0</v>
      </c>
      <c r="BN97" s="563">
        <v>0</v>
      </c>
      <c r="BO97" s="650">
        <v>10764.799706804824</v>
      </c>
      <c r="BP97" s="563">
        <v>0</v>
      </c>
      <c r="BQ97" s="563">
        <v>0</v>
      </c>
      <c r="BR97" s="563">
        <v>0</v>
      </c>
      <c r="BS97" s="650">
        <v>23805.880313498023</v>
      </c>
      <c r="BT97" s="564">
        <v>4000</v>
      </c>
      <c r="BU97" s="565">
        <v>197.57883026167582</v>
      </c>
      <c r="BV97" s="649">
        <v>11.51308868993698</v>
      </c>
      <c r="BW97" s="646">
        <v>100.3774984726406</v>
      </c>
      <c r="BX97" s="646">
        <v>0</v>
      </c>
      <c r="BY97" s="646">
        <v>0</v>
      </c>
      <c r="BZ97" s="646">
        <v>30.64320829901008</v>
      </c>
      <c r="CA97" s="646">
        <v>9.5551422971170545</v>
      </c>
      <c r="CB97" s="646">
        <v>3500</v>
      </c>
      <c r="CC97" s="563" t="s">
        <v>1584</v>
      </c>
      <c r="CD97" s="563">
        <v>4</v>
      </c>
      <c r="CE97" s="563">
        <v>0</v>
      </c>
      <c r="CF97" s="563">
        <v>0</v>
      </c>
      <c r="CG97" s="563">
        <v>0</v>
      </c>
      <c r="CH97" s="650">
        <v>10547.306585973514</v>
      </c>
      <c r="CI97" s="563">
        <v>0</v>
      </c>
      <c r="CJ97" s="563">
        <v>0</v>
      </c>
      <c r="CK97" s="563">
        <v>0</v>
      </c>
      <c r="CL97" s="650">
        <v>23324.903858334957</v>
      </c>
      <c r="CM97" s="564">
        <v>4000</v>
      </c>
      <c r="CN97" s="565">
        <v>197.57883026167582</v>
      </c>
      <c r="CO97" s="649">
        <v>11.51308868993698</v>
      </c>
      <c r="CP97" s="646">
        <v>100.3774984726406</v>
      </c>
      <c r="CQ97" s="646">
        <v>0</v>
      </c>
      <c r="CR97" s="646">
        <v>0</v>
      </c>
      <c r="CS97" s="646">
        <v>30.64320829901008</v>
      </c>
      <c r="CT97" s="646">
        <v>9.5551422971170545</v>
      </c>
      <c r="CU97" s="646">
        <v>3600</v>
      </c>
      <c r="CV97" s="563" t="s">
        <v>1584</v>
      </c>
      <c r="CW97" s="563">
        <v>4</v>
      </c>
      <c r="CX97" s="563">
        <v>0</v>
      </c>
      <c r="CY97" s="563">
        <v>0</v>
      </c>
      <c r="CZ97" s="563">
        <v>0</v>
      </c>
      <c r="DA97" s="650">
        <v>10547.306585973514</v>
      </c>
      <c r="DB97" s="563">
        <v>0</v>
      </c>
      <c r="DC97" s="563">
        <v>0</v>
      </c>
      <c r="DD97" s="563">
        <v>0</v>
      </c>
      <c r="DE97" s="650">
        <v>23324.903858334957</v>
      </c>
      <c r="DF97" s="564">
        <v>4000</v>
      </c>
      <c r="DG97" s="565">
        <v>197.57883026167582</v>
      </c>
      <c r="DH97" s="649">
        <v>11.51308868993698</v>
      </c>
      <c r="DI97" s="646">
        <v>100.3774984726406</v>
      </c>
      <c r="DJ97" s="646">
        <v>0</v>
      </c>
      <c r="DK97" s="646">
        <v>0</v>
      </c>
      <c r="DL97" s="646">
        <v>30.64320829901008</v>
      </c>
      <c r="DM97" s="646">
        <v>9.5551422971170545</v>
      </c>
      <c r="DN97" s="646">
        <v>3500</v>
      </c>
      <c r="DO97" s="563" t="s">
        <v>1588</v>
      </c>
      <c r="DP97" s="563">
        <v>4</v>
      </c>
      <c r="DQ97" s="563">
        <v>0</v>
      </c>
      <c r="DR97" s="563">
        <v>0</v>
      </c>
      <c r="DS97" s="563">
        <v>0</v>
      </c>
      <c r="DT97" s="650">
        <v>10977.984752983142</v>
      </c>
      <c r="DU97" s="563">
        <v>0</v>
      </c>
      <c r="DV97" s="563">
        <v>0</v>
      </c>
      <c r="DW97" s="563">
        <v>0</v>
      </c>
      <c r="DX97" s="650">
        <v>24277.32965135614</v>
      </c>
      <c r="DY97" s="564">
        <v>4000</v>
      </c>
      <c r="DZ97" s="565">
        <v>197.57883026167582</v>
      </c>
      <c r="EA97" s="649">
        <v>11.51308868993698</v>
      </c>
      <c r="EB97" s="646">
        <v>100.3774984726406</v>
      </c>
      <c r="EC97" s="646">
        <v>0</v>
      </c>
      <c r="ED97" s="646">
        <v>0</v>
      </c>
      <c r="EE97" s="646">
        <v>30.64320829901008</v>
      </c>
      <c r="EF97" s="646">
        <v>9.5551422971170545</v>
      </c>
      <c r="EG97" s="646">
        <v>3600</v>
      </c>
      <c r="EH97" s="563" t="s">
        <v>1588</v>
      </c>
      <c r="EI97" s="563">
        <v>4</v>
      </c>
      <c r="EJ97" s="563">
        <v>0</v>
      </c>
      <c r="EK97" s="563">
        <v>0</v>
      </c>
      <c r="EL97" s="563">
        <v>0</v>
      </c>
      <c r="EM97" s="650">
        <v>10977.984752983142</v>
      </c>
      <c r="EN97" s="563">
        <v>0</v>
      </c>
      <c r="EO97" s="563">
        <v>0</v>
      </c>
      <c r="EP97" s="563">
        <v>0</v>
      </c>
      <c r="EQ97" s="650">
        <v>24277.32965135614</v>
      </c>
      <c r="ER97" s="564">
        <v>4000</v>
      </c>
      <c r="ES97" s="565">
        <v>197.57883026167582</v>
      </c>
      <c r="ET97" s="649">
        <v>11.51308868993698</v>
      </c>
      <c r="EU97" s="646">
        <v>100.3774984726406</v>
      </c>
      <c r="EV97" s="646">
        <v>0</v>
      </c>
      <c r="EW97" s="646">
        <v>0</v>
      </c>
      <c r="EX97" s="646">
        <v>30.64320829901008</v>
      </c>
      <c r="EY97" s="646">
        <v>9.5551422971170545</v>
      </c>
      <c r="EZ97" s="646">
        <v>3500</v>
      </c>
      <c r="FA97" s="563" t="s">
        <v>1589</v>
      </c>
      <c r="FB97" s="563">
        <v>4</v>
      </c>
      <c r="FC97" s="563">
        <v>0</v>
      </c>
      <c r="FD97" s="563">
        <v>0</v>
      </c>
      <c r="FE97" s="563">
        <v>0</v>
      </c>
      <c r="FF97" s="650">
        <v>11693.56562467573</v>
      </c>
      <c r="FG97" s="563">
        <v>0</v>
      </c>
      <c r="FH97" s="563">
        <v>0</v>
      </c>
      <c r="FI97" s="563">
        <v>0</v>
      </c>
      <c r="FJ97" s="650">
        <v>25859.805224531356</v>
      </c>
      <c r="FK97" s="564">
        <v>4000</v>
      </c>
      <c r="FL97" s="565">
        <v>197.57883026167582</v>
      </c>
      <c r="FM97" s="649">
        <v>11.51308868993698</v>
      </c>
      <c r="FN97" s="646">
        <v>100.3774984726406</v>
      </c>
      <c r="FO97" s="646">
        <v>0</v>
      </c>
      <c r="FP97" s="646">
        <v>0</v>
      </c>
      <c r="FQ97" s="646">
        <v>30.64320829901008</v>
      </c>
      <c r="FR97" s="646">
        <v>9.5551422971170545</v>
      </c>
      <c r="FS97" s="646">
        <v>3600</v>
      </c>
      <c r="FT97" s="563" t="s">
        <v>1589</v>
      </c>
      <c r="FU97" s="563">
        <v>4</v>
      </c>
      <c r="FV97" s="563">
        <v>0</v>
      </c>
      <c r="FW97" s="563">
        <v>0</v>
      </c>
      <c r="FX97" s="563">
        <v>0</v>
      </c>
      <c r="FY97" s="650">
        <v>11693.56562467573</v>
      </c>
      <c r="FZ97" s="563">
        <v>0</v>
      </c>
      <c r="GA97" s="563">
        <v>0</v>
      </c>
      <c r="GB97" s="563">
        <v>0</v>
      </c>
      <c r="GC97" s="650">
        <v>25859.805224531356</v>
      </c>
      <c r="GD97" s="564">
        <v>4000</v>
      </c>
      <c r="GE97" s="565">
        <v>197.57883026167582</v>
      </c>
      <c r="GF97" s="649">
        <v>11.51308868993698</v>
      </c>
      <c r="GG97" s="646">
        <v>100.3774984726406</v>
      </c>
      <c r="GH97" s="646">
        <v>0</v>
      </c>
      <c r="GI97" s="646">
        <v>0</v>
      </c>
      <c r="GJ97" s="646">
        <v>30.64320829901008</v>
      </c>
      <c r="GK97" s="646">
        <v>9.5551422971170545</v>
      </c>
      <c r="GL97" s="646">
        <v>3500</v>
      </c>
      <c r="GM97" s="563" t="s">
        <v>1587</v>
      </c>
      <c r="GN97" s="563">
        <v>4</v>
      </c>
      <c r="GO97" s="563">
        <v>0</v>
      </c>
      <c r="GP97" s="563">
        <v>0</v>
      </c>
      <c r="GQ97" s="563">
        <v>0</v>
      </c>
      <c r="GR97" s="650">
        <v>14442.494345151237</v>
      </c>
      <c r="GS97" s="563">
        <v>0</v>
      </c>
      <c r="GT97" s="563">
        <v>0</v>
      </c>
      <c r="GU97" s="563">
        <v>0</v>
      </c>
      <c r="GV97" s="650">
        <v>31938.939987123347</v>
      </c>
      <c r="GW97" s="564">
        <v>4000</v>
      </c>
      <c r="GX97" s="565">
        <v>197.57883026167582</v>
      </c>
      <c r="GY97" s="649">
        <v>11.51308868993698</v>
      </c>
      <c r="GZ97" s="646">
        <v>100.3774984726406</v>
      </c>
      <c r="HA97" s="646">
        <v>0</v>
      </c>
      <c r="HB97" s="646">
        <v>0</v>
      </c>
      <c r="HC97" s="646">
        <v>30.64320829901008</v>
      </c>
      <c r="HD97" s="646">
        <v>9.5551422971170545</v>
      </c>
      <c r="HE97" s="646">
        <v>3600</v>
      </c>
      <c r="HF97" s="563" t="s">
        <v>1587</v>
      </c>
      <c r="HG97" s="563">
        <v>4</v>
      </c>
      <c r="HH97" s="563">
        <v>0</v>
      </c>
      <c r="HI97" s="563">
        <v>0</v>
      </c>
      <c r="HJ97" s="563">
        <v>0</v>
      </c>
      <c r="HK97" s="650">
        <v>14442.494345151237</v>
      </c>
      <c r="HL97" s="563">
        <v>0</v>
      </c>
      <c r="HM97" s="563">
        <v>0</v>
      </c>
      <c r="HN97" s="563">
        <v>0</v>
      </c>
      <c r="HO97" s="650">
        <v>31938.939987123347</v>
      </c>
      <c r="HP97" s="564">
        <v>4000</v>
      </c>
      <c r="HQ97" s="565">
        <v>197.57883026167582</v>
      </c>
      <c r="HR97" s="649">
        <v>11.51308868993698</v>
      </c>
      <c r="HS97" s="646">
        <v>100.3774984726406</v>
      </c>
      <c r="HT97" s="646">
        <v>0</v>
      </c>
      <c r="HU97" s="646">
        <v>0</v>
      </c>
      <c r="HV97" s="646">
        <v>30.64320829901008</v>
      </c>
      <c r="HW97" s="646">
        <v>9.5551422971170545</v>
      </c>
      <c r="HX97" s="646">
        <v>3500</v>
      </c>
      <c r="HY97" s="563" t="s">
        <v>68</v>
      </c>
      <c r="HZ97" s="563">
        <v>4</v>
      </c>
      <c r="IA97" s="563">
        <v>0</v>
      </c>
      <c r="IB97" s="563">
        <v>0</v>
      </c>
      <c r="IC97" s="563">
        <v>0</v>
      </c>
      <c r="ID97" s="650">
        <v>12737.082782908947</v>
      </c>
      <c r="IE97" s="563">
        <v>0</v>
      </c>
      <c r="IF97" s="563">
        <v>0</v>
      </c>
      <c r="IG97" s="563">
        <v>0</v>
      </c>
      <c r="IH97" s="650">
        <v>28167.497448314956</v>
      </c>
      <c r="II97" s="564">
        <v>4000</v>
      </c>
      <c r="IJ97" s="565">
        <v>197.57883026167582</v>
      </c>
      <c r="IK97" s="649">
        <v>11.51308868993698</v>
      </c>
      <c r="IL97" s="646">
        <v>100.3774984726406</v>
      </c>
      <c r="IM97" s="646">
        <v>0</v>
      </c>
      <c r="IN97" s="646">
        <v>0</v>
      </c>
      <c r="IO97" s="646">
        <v>30.64320829901008</v>
      </c>
      <c r="IP97" s="646">
        <v>9.5551422971170545</v>
      </c>
      <c r="IQ97" s="646">
        <v>3600</v>
      </c>
      <c r="IR97" s="563" t="s">
        <v>68</v>
      </c>
      <c r="IS97" s="563">
        <v>4</v>
      </c>
      <c r="IT97" s="563">
        <v>0</v>
      </c>
      <c r="IU97" s="563">
        <v>0</v>
      </c>
      <c r="IV97" s="563">
        <v>0</v>
      </c>
      <c r="IW97" s="650">
        <v>12737.082782908947</v>
      </c>
      <c r="IX97" s="563">
        <v>0</v>
      </c>
      <c r="IY97" s="563">
        <v>0</v>
      </c>
      <c r="IZ97" s="563">
        <v>0</v>
      </c>
      <c r="JA97" s="650">
        <v>28167.497448314956</v>
      </c>
      <c r="JB97" s="564">
        <v>4000</v>
      </c>
      <c r="JC97" s="565">
        <v>197.57883026167582</v>
      </c>
      <c r="JD97" s="649">
        <v>11.51308868993698</v>
      </c>
      <c r="JE97" s="646">
        <v>100.3774984726406</v>
      </c>
      <c r="JF97" s="646">
        <v>0</v>
      </c>
      <c r="JG97" s="646">
        <v>0</v>
      </c>
      <c r="JH97" s="646">
        <v>30.64320829901008</v>
      </c>
      <c r="JI97" s="646">
        <v>9.5551422971170545</v>
      </c>
      <c r="JJ97" s="646">
        <v>3500</v>
      </c>
      <c r="JK97" s="563" t="s">
        <v>67</v>
      </c>
      <c r="JL97" s="563">
        <v>4</v>
      </c>
      <c r="JM97" s="563">
        <v>0</v>
      </c>
      <c r="JN97" s="563">
        <v>0</v>
      </c>
      <c r="JO97" s="563">
        <v>0</v>
      </c>
      <c r="JP97" s="650">
        <v>17357.717969013836</v>
      </c>
      <c r="JQ97" s="563">
        <v>0</v>
      </c>
      <c r="JR97" s="563">
        <v>0</v>
      </c>
      <c r="JS97" s="563">
        <v>0</v>
      </c>
      <c r="JT97" s="650">
        <v>38385.828602513466</v>
      </c>
      <c r="JU97" s="564">
        <v>4000</v>
      </c>
      <c r="JV97" s="565">
        <v>197.57883026167582</v>
      </c>
      <c r="JW97" s="649">
        <v>11.51308868993698</v>
      </c>
      <c r="JX97" s="646">
        <v>100.3774984726406</v>
      </c>
      <c r="JY97" s="646">
        <v>0</v>
      </c>
      <c r="JZ97" s="646">
        <v>0</v>
      </c>
      <c r="KA97" s="646">
        <v>30.64320829901008</v>
      </c>
      <c r="KB97" s="646">
        <v>9.5551422971170545</v>
      </c>
      <c r="KC97" s="646">
        <v>3600</v>
      </c>
      <c r="KD97" s="563" t="s">
        <v>67</v>
      </c>
      <c r="KE97" s="563">
        <v>4</v>
      </c>
      <c r="KF97" s="563">
        <v>0</v>
      </c>
      <c r="KG97" s="563">
        <v>0</v>
      </c>
      <c r="KH97" s="563">
        <v>0</v>
      </c>
      <c r="KI97" s="650">
        <v>17357.717969013836</v>
      </c>
      <c r="KJ97" s="563">
        <v>0</v>
      </c>
      <c r="KK97" s="563">
        <v>0</v>
      </c>
      <c r="KL97" s="563">
        <v>0</v>
      </c>
      <c r="KM97" s="650">
        <v>38385.828602513466</v>
      </c>
      <c r="KN97" s="564">
        <v>4000</v>
      </c>
      <c r="KO97" s="566">
        <v>197.57883026167582</v>
      </c>
    </row>
    <row r="98" spans="1:301" s="768" customFormat="1" ht="13.5">
      <c r="A98" s="802" t="s">
        <v>1009</v>
      </c>
      <c r="B98" s="629" t="s">
        <v>384</v>
      </c>
      <c r="C98" s="629">
        <v>340.45340501926489</v>
      </c>
      <c r="D98" s="629">
        <v>1061.8314830731099</v>
      </c>
      <c r="E98" s="629">
        <v>355</v>
      </c>
      <c r="F98" s="629">
        <v>269.10638840793621</v>
      </c>
      <c r="G98" s="629">
        <v>147.13414971018003</v>
      </c>
      <c r="H98" s="629">
        <v>120.51485366722737</v>
      </c>
      <c r="I98" s="629">
        <v>80</v>
      </c>
      <c r="J98" s="629">
        <v>43.548274457934014</v>
      </c>
      <c r="K98" s="629">
        <v>68.085310417491641</v>
      </c>
      <c r="L98" s="629">
        <v>16</v>
      </c>
      <c r="M98" s="629">
        <v>443.76783061375869</v>
      </c>
      <c r="N98" s="629">
        <v>6</v>
      </c>
      <c r="O98" s="623">
        <v>37.046302820088783</v>
      </c>
      <c r="P98" s="629">
        <v>6</v>
      </c>
      <c r="Q98" s="623">
        <v>25.32627263360741</v>
      </c>
      <c r="R98" s="629">
        <v>18.000000000000004</v>
      </c>
      <c r="S98" s="629">
        <v>665.46893574052297</v>
      </c>
      <c r="T98" s="645">
        <v>49.145936799951812</v>
      </c>
      <c r="U98" s="645">
        <v>99.820340361078436</v>
      </c>
      <c r="V98" s="645">
        <v>72.5</v>
      </c>
      <c r="W98" s="793">
        <v>3.3403878918717238</v>
      </c>
      <c r="X98" s="646">
        <v>0</v>
      </c>
      <c r="Y98" s="646">
        <v>0</v>
      </c>
      <c r="Z98" s="646">
        <v>0</v>
      </c>
      <c r="AA98" s="646">
        <v>0</v>
      </c>
      <c r="AB98" s="647">
        <v>19.874971970158697</v>
      </c>
      <c r="AC98" s="784">
        <v>4000</v>
      </c>
      <c r="AD98" s="631">
        <v>1.0250387409279054</v>
      </c>
      <c r="AE98" s="631">
        <v>0.95056713978561325</v>
      </c>
      <c r="AF98" s="631">
        <v>-0.25729909202157303</v>
      </c>
      <c r="AG98" s="631">
        <v>0.86153382644976961</v>
      </c>
      <c r="AH98" s="629"/>
      <c r="AI98" s="648">
        <v>4.7837460307699535</v>
      </c>
      <c r="AJ98" s="649">
        <v>22.352288854376486</v>
      </c>
      <c r="AK98" s="646">
        <v>137.21118899989622</v>
      </c>
      <c r="AL98" s="646">
        <v>0</v>
      </c>
      <c r="AM98" s="646">
        <v>0</v>
      </c>
      <c r="AN98" s="646">
        <v>47.014405535592289</v>
      </c>
      <c r="AO98" s="646">
        <v>16.970703014162428</v>
      </c>
      <c r="AP98" s="801">
        <v>3000</v>
      </c>
      <c r="AQ98" s="563" t="s">
        <v>71</v>
      </c>
      <c r="AR98" s="563">
        <v>4</v>
      </c>
      <c r="AS98" s="563">
        <v>0</v>
      </c>
      <c r="AT98" s="563">
        <v>0</v>
      </c>
      <c r="AU98" s="563">
        <v>0</v>
      </c>
      <c r="AV98" s="650">
        <v>4058.9064622372389</v>
      </c>
      <c r="AW98" s="563">
        <v>0</v>
      </c>
      <c r="AX98" s="563">
        <v>0</v>
      </c>
      <c r="AY98" s="563">
        <v>0</v>
      </c>
      <c r="AZ98" s="650">
        <v>5174.7796573980495</v>
      </c>
      <c r="BA98" s="564">
        <v>4000</v>
      </c>
      <c r="BB98" s="565">
        <v>222.38946577152245</v>
      </c>
      <c r="BC98" s="649">
        <v>22.352288854376486</v>
      </c>
      <c r="BD98" s="646">
        <v>137.21118899989622</v>
      </c>
      <c r="BE98" s="646">
        <v>0</v>
      </c>
      <c r="BF98" s="646">
        <v>0</v>
      </c>
      <c r="BG98" s="646">
        <v>47.014405535592289</v>
      </c>
      <c r="BH98" s="646">
        <v>16.970703014162428</v>
      </c>
      <c r="BI98" s="646">
        <v>3600</v>
      </c>
      <c r="BJ98" s="563" t="s">
        <v>71</v>
      </c>
      <c r="BK98" s="563">
        <v>4</v>
      </c>
      <c r="BL98" s="563">
        <v>0</v>
      </c>
      <c r="BM98" s="563">
        <v>0</v>
      </c>
      <c r="BN98" s="563">
        <v>0</v>
      </c>
      <c r="BO98" s="650">
        <v>4058.9064622372389</v>
      </c>
      <c r="BP98" s="563">
        <v>0</v>
      </c>
      <c r="BQ98" s="563">
        <v>0</v>
      </c>
      <c r="BR98" s="563">
        <v>0</v>
      </c>
      <c r="BS98" s="650">
        <v>5174.7796573980495</v>
      </c>
      <c r="BT98" s="564">
        <v>4000</v>
      </c>
      <c r="BU98" s="565">
        <v>222.38946577152245</v>
      </c>
      <c r="BV98" s="649">
        <v>22.352288854376486</v>
      </c>
      <c r="BW98" s="646">
        <v>137.21118899989622</v>
      </c>
      <c r="BX98" s="646">
        <v>0</v>
      </c>
      <c r="BY98" s="646">
        <v>0</v>
      </c>
      <c r="BZ98" s="646">
        <v>47.014405535592289</v>
      </c>
      <c r="CA98" s="646">
        <v>16.970703014162428</v>
      </c>
      <c r="CB98" s="646">
        <v>3000</v>
      </c>
      <c r="CC98" s="563" t="s">
        <v>1584</v>
      </c>
      <c r="CD98" s="563">
        <v>4</v>
      </c>
      <c r="CE98" s="563">
        <v>0</v>
      </c>
      <c r="CF98" s="563">
        <v>0</v>
      </c>
      <c r="CG98" s="563">
        <v>0</v>
      </c>
      <c r="CH98" s="650">
        <v>3976.8998984665886</v>
      </c>
      <c r="CI98" s="563">
        <v>0</v>
      </c>
      <c r="CJ98" s="563">
        <v>0</v>
      </c>
      <c r="CK98" s="563">
        <v>0</v>
      </c>
      <c r="CL98" s="650">
        <v>5070.2278767838297</v>
      </c>
      <c r="CM98" s="564">
        <v>3976.8998984665886</v>
      </c>
      <c r="CN98" s="565">
        <v>221.10516096170164</v>
      </c>
      <c r="CO98" s="649">
        <v>22.352288854376486</v>
      </c>
      <c r="CP98" s="646">
        <v>137.21118899989622</v>
      </c>
      <c r="CQ98" s="646">
        <v>0</v>
      </c>
      <c r="CR98" s="646">
        <v>0</v>
      </c>
      <c r="CS98" s="646">
        <v>47.014405535592289</v>
      </c>
      <c r="CT98" s="646">
        <v>16.970703014162428</v>
      </c>
      <c r="CU98" s="646">
        <v>3600</v>
      </c>
      <c r="CV98" s="563" t="s">
        <v>1584</v>
      </c>
      <c r="CW98" s="563">
        <v>4</v>
      </c>
      <c r="CX98" s="563">
        <v>0</v>
      </c>
      <c r="CY98" s="563">
        <v>0</v>
      </c>
      <c r="CZ98" s="563">
        <v>0</v>
      </c>
      <c r="DA98" s="650">
        <v>3976.8998984665886</v>
      </c>
      <c r="DB98" s="563">
        <v>0</v>
      </c>
      <c r="DC98" s="563">
        <v>0</v>
      </c>
      <c r="DD98" s="563">
        <v>0</v>
      </c>
      <c r="DE98" s="650">
        <v>5070.2278767838297</v>
      </c>
      <c r="DF98" s="564">
        <v>3976.8998984665886</v>
      </c>
      <c r="DG98" s="565">
        <v>221.10516096170164</v>
      </c>
      <c r="DH98" s="649">
        <v>22.352288854376486</v>
      </c>
      <c r="DI98" s="646">
        <v>137.21118899989622</v>
      </c>
      <c r="DJ98" s="646">
        <v>0</v>
      </c>
      <c r="DK98" s="646">
        <v>0</v>
      </c>
      <c r="DL98" s="646">
        <v>47.014405535592289</v>
      </c>
      <c r="DM98" s="646">
        <v>16.970703014162428</v>
      </c>
      <c r="DN98" s="646">
        <v>3000</v>
      </c>
      <c r="DO98" s="563" t="s">
        <v>1588</v>
      </c>
      <c r="DP98" s="563">
        <v>4</v>
      </c>
      <c r="DQ98" s="563">
        <v>0</v>
      </c>
      <c r="DR98" s="563">
        <v>0</v>
      </c>
      <c r="DS98" s="563">
        <v>0</v>
      </c>
      <c r="DT98" s="650">
        <v>4139.2886509591071</v>
      </c>
      <c r="DU98" s="563">
        <v>0</v>
      </c>
      <c r="DV98" s="563">
        <v>0</v>
      </c>
      <c r="DW98" s="563">
        <v>0</v>
      </c>
      <c r="DX98" s="650">
        <v>5277.2604903231286</v>
      </c>
      <c r="DY98" s="564">
        <v>4000</v>
      </c>
      <c r="DZ98" s="565">
        <v>222.38946577152245</v>
      </c>
      <c r="EA98" s="649">
        <v>22.352288854376486</v>
      </c>
      <c r="EB98" s="646">
        <v>137.21118899989622</v>
      </c>
      <c r="EC98" s="646">
        <v>0</v>
      </c>
      <c r="ED98" s="646">
        <v>0</v>
      </c>
      <c r="EE98" s="646">
        <v>47.014405535592289</v>
      </c>
      <c r="EF98" s="646">
        <v>16.970703014162428</v>
      </c>
      <c r="EG98" s="646">
        <v>3600</v>
      </c>
      <c r="EH98" s="563" t="s">
        <v>1588</v>
      </c>
      <c r="EI98" s="563">
        <v>4</v>
      </c>
      <c r="EJ98" s="563">
        <v>0</v>
      </c>
      <c r="EK98" s="563">
        <v>0</v>
      </c>
      <c r="EL98" s="563">
        <v>0</v>
      </c>
      <c r="EM98" s="650">
        <v>4139.2886509591071</v>
      </c>
      <c r="EN98" s="563">
        <v>0</v>
      </c>
      <c r="EO98" s="563">
        <v>0</v>
      </c>
      <c r="EP98" s="563">
        <v>0</v>
      </c>
      <c r="EQ98" s="650">
        <v>5277.2604903231286</v>
      </c>
      <c r="ER98" s="564">
        <v>4000</v>
      </c>
      <c r="ES98" s="565">
        <v>222.38946577152245</v>
      </c>
      <c r="ET98" s="649">
        <v>22.352288854376486</v>
      </c>
      <c r="EU98" s="646">
        <v>137.21118899989622</v>
      </c>
      <c r="EV98" s="646">
        <v>0</v>
      </c>
      <c r="EW98" s="646">
        <v>0</v>
      </c>
      <c r="EX98" s="646">
        <v>47.014405535592289</v>
      </c>
      <c r="EY98" s="646">
        <v>16.970703014162428</v>
      </c>
      <c r="EZ98" s="646">
        <v>3000</v>
      </c>
      <c r="FA98" s="563" t="s">
        <v>1589</v>
      </c>
      <c r="FB98" s="563">
        <v>4</v>
      </c>
      <c r="FC98" s="563">
        <v>0</v>
      </c>
      <c r="FD98" s="563">
        <v>0</v>
      </c>
      <c r="FE98" s="563">
        <v>0</v>
      </c>
      <c r="FF98" s="650">
        <v>4409.1009933597152</v>
      </c>
      <c r="FG98" s="563">
        <v>0</v>
      </c>
      <c r="FH98" s="563">
        <v>0</v>
      </c>
      <c r="FI98" s="563">
        <v>0</v>
      </c>
      <c r="FJ98" s="650">
        <v>5621.2495508643278</v>
      </c>
      <c r="FK98" s="564">
        <v>4000</v>
      </c>
      <c r="FL98" s="565">
        <v>222.38946577152245</v>
      </c>
      <c r="FM98" s="649">
        <v>22.352288854376486</v>
      </c>
      <c r="FN98" s="646">
        <v>137.21118899989622</v>
      </c>
      <c r="FO98" s="646">
        <v>0</v>
      </c>
      <c r="FP98" s="646">
        <v>0</v>
      </c>
      <c r="FQ98" s="646">
        <v>47.014405535592289</v>
      </c>
      <c r="FR98" s="646">
        <v>16.970703014162428</v>
      </c>
      <c r="FS98" s="646">
        <v>3600</v>
      </c>
      <c r="FT98" s="563" t="s">
        <v>1589</v>
      </c>
      <c r="FU98" s="563">
        <v>4</v>
      </c>
      <c r="FV98" s="563">
        <v>0</v>
      </c>
      <c r="FW98" s="563">
        <v>0</v>
      </c>
      <c r="FX98" s="563">
        <v>0</v>
      </c>
      <c r="FY98" s="650">
        <v>4409.1009933597152</v>
      </c>
      <c r="FZ98" s="563">
        <v>0</v>
      </c>
      <c r="GA98" s="563">
        <v>0</v>
      </c>
      <c r="GB98" s="563">
        <v>0</v>
      </c>
      <c r="GC98" s="650">
        <v>5621.2495508643278</v>
      </c>
      <c r="GD98" s="564">
        <v>4000</v>
      </c>
      <c r="GE98" s="565">
        <v>222.38946577152245</v>
      </c>
      <c r="GF98" s="649">
        <v>22.352288854376486</v>
      </c>
      <c r="GG98" s="646">
        <v>137.21118899989622</v>
      </c>
      <c r="GH98" s="646">
        <v>0</v>
      </c>
      <c r="GI98" s="646">
        <v>0</v>
      </c>
      <c r="GJ98" s="646">
        <v>47.014405535592289</v>
      </c>
      <c r="GK98" s="646">
        <v>16.970703014162428</v>
      </c>
      <c r="GL98" s="646">
        <v>3000</v>
      </c>
      <c r="GM98" s="563" t="s">
        <v>1587</v>
      </c>
      <c r="GN98" s="563">
        <v>4</v>
      </c>
      <c r="GO98" s="563">
        <v>0</v>
      </c>
      <c r="GP98" s="563">
        <v>0</v>
      </c>
      <c r="GQ98" s="563">
        <v>0</v>
      </c>
      <c r="GR98" s="650">
        <v>5445.5944583253886</v>
      </c>
      <c r="GS98" s="563">
        <v>0</v>
      </c>
      <c r="GT98" s="563">
        <v>0</v>
      </c>
      <c r="GU98" s="563">
        <v>0</v>
      </c>
      <c r="GV98" s="650">
        <v>6942.6954495150676</v>
      </c>
      <c r="GW98" s="564">
        <v>4000</v>
      </c>
      <c r="GX98" s="565">
        <v>222.38946577152245</v>
      </c>
      <c r="GY98" s="649">
        <v>22.352288854376486</v>
      </c>
      <c r="GZ98" s="646">
        <v>137.21118899989622</v>
      </c>
      <c r="HA98" s="646">
        <v>0</v>
      </c>
      <c r="HB98" s="646">
        <v>0</v>
      </c>
      <c r="HC98" s="646">
        <v>47.014405535592289</v>
      </c>
      <c r="HD98" s="646">
        <v>16.970703014162428</v>
      </c>
      <c r="HE98" s="646">
        <v>3600</v>
      </c>
      <c r="HF98" s="563" t="s">
        <v>1587</v>
      </c>
      <c r="HG98" s="563">
        <v>4</v>
      </c>
      <c r="HH98" s="563">
        <v>0</v>
      </c>
      <c r="HI98" s="563">
        <v>0</v>
      </c>
      <c r="HJ98" s="563">
        <v>0</v>
      </c>
      <c r="HK98" s="650">
        <v>5445.5944583253886</v>
      </c>
      <c r="HL98" s="563">
        <v>0</v>
      </c>
      <c r="HM98" s="563">
        <v>0</v>
      </c>
      <c r="HN98" s="563">
        <v>0</v>
      </c>
      <c r="HO98" s="650">
        <v>6942.6954495150676</v>
      </c>
      <c r="HP98" s="564">
        <v>4000</v>
      </c>
      <c r="HQ98" s="565">
        <v>222.38946577152245</v>
      </c>
      <c r="HR98" s="649">
        <v>22.352288854376486</v>
      </c>
      <c r="HS98" s="646">
        <v>137.21118899989622</v>
      </c>
      <c r="HT98" s="646">
        <v>0</v>
      </c>
      <c r="HU98" s="646">
        <v>0</v>
      </c>
      <c r="HV98" s="646">
        <v>47.014405535592289</v>
      </c>
      <c r="HW98" s="646">
        <v>16.970703014162428</v>
      </c>
      <c r="HX98" s="646">
        <v>3000</v>
      </c>
      <c r="HY98" s="563" t="s">
        <v>68</v>
      </c>
      <c r="HZ98" s="563">
        <v>4</v>
      </c>
      <c r="IA98" s="563">
        <v>0</v>
      </c>
      <c r="IB98" s="563">
        <v>0</v>
      </c>
      <c r="IC98" s="563">
        <v>0</v>
      </c>
      <c r="ID98" s="650">
        <v>4802.5628925468218</v>
      </c>
      <c r="IE98" s="563">
        <v>0</v>
      </c>
      <c r="IF98" s="563">
        <v>0</v>
      </c>
      <c r="IG98" s="563">
        <v>0</v>
      </c>
      <c r="IH98" s="650">
        <v>6122.8818626255534</v>
      </c>
      <c r="II98" s="564">
        <v>4000</v>
      </c>
      <c r="IJ98" s="565">
        <v>222.38946577152245</v>
      </c>
      <c r="IK98" s="649">
        <v>22.352288854376486</v>
      </c>
      <c r="IL98" s="646">
        <v>137.21118899989622</v>
      </c>
      <c r="IM98" s="646">
        <v>0</v>
      </c>
      <c r="IN98" s="646">
        <v>0</v>
      </c>
      <c r="IO98" s="646">
        <v>47.014405535592289</v>
      </c>
      <c r="IP98" s="646">
        <v>16.970703014162428</v>
      </c>
      <c r="IQ98" s="646">
        <v>3600</v>
      </c>
      <c r="IR98" s="563" t="s">
        <v>68</v>
      </c>
      <c r="IS98" s="563">
        <v>4</v>
      </c>
      <c r="IT98" s="563">
        <v>0</v>
      </c>
      <c r="IU98" s="563">
        <v>0</v>
      </c>
      <c r="IV98" s="563">
        <v>0</v>
      </c>
      <c r="IW98" s="650">
        <v>4802.5628925468218</v>
      </c>
      <c r="IX98" s="563">
        <v>0</v>
      </c>
      <c r="IY98" s="563">
        <v>0</v>
      </c>
      <c r="IZ98" s="563">
        <v>0</v>
      </c>
      <c r="JA98" s="650">
        <v>6122.8818626255534</v>
      </c>
      <c r="JB98" s="564">
        <v>4000</v>
      </c>
      <c r="JC98" s="565">
        <v>222.38946577152245</v>
      </c>
      <c r="JD98" s="649">
        <v>22.352288854376486</v>
      </c>
      <c r="JE98" s="646">
        <v>137.21118899989622</v>
      </c>
      <c r="JF98" s="646">
        <v>0</v>
      </c>
      <c r="JG98" s="646">
        <v>0</v>
      </c>
      <c r="JH98" s="646">
        <v>47.014405535592289</v>
      </c>
      <c r="JI98" s="646">
        <v>16.970703014162428</v>
      </c>
      <c r="JJ98" s="646">
        <v>3000</v>
      </c>
      <c r="JK98" s="563" t="s">
        <v>67</v>
      </c>
      <c r="JL98" s="563">
        <v>4</v>
      </c>
      <c r="JM98" s="563">
        <v>0</v>
      </c>
      <c r="JN98" s="563">
        <v>0</v>
      </c>
      <c r="JO98" s="563">
        <v>0</v>
      </c>
      <c r="JP98" s="650">
        <v>6544.7900149582465</v>
      </c>
      <c r="JQ98" s="563">
        <v>0</v>
      </c>
      <c r="JR98" s="563">
        <v>0</v>
      </c>
      <c r="JS98" s="563">
        <v>0</v>
      </c>
      <c r="JT98" s="650">
        <v>8344.081477719028</v>
      </c>
      <c r="JU98" s="564">
        <v>4000</v>
      </c>
      <c r="JV98" s="565">
        <v>222.38946577152245</v>
      </c>
      <c r="JW98" s="649">
        <v>22.352288854376486</v>
      </c>
      <c r="JX98" s="646">
        <v>137.21118899989622</v>
      </c>
      <c r="JY98" s="646">
        <v>0</v>
      </c>
      <c r="JZ98" s="646">
        <v>0</v>
      </c>
      <c r="KA98" s="646">
        <v>47.014405535592289</v>
      </c>
      <c r="KB98" s="646">
        <v>16.970703014162428</v>
      </c>
      <c r="KC98" s="646">
        <v>3600</v>
      </c>
      <c r="KD98" s="563" t="s">
        <v>67</v>
      </c>
      <c r="KE98" s="563">
        <v>4</v>
      </c>
      <c r="KF98" s="563">
        <v>0</v>
      </c>
      <c r="KG98" s="563">
        <v>0</v>
      </c>
      <c r="KH98" s="563">
        <v>0</v>
      </c>
      <c r="KI98" s="650">
        <v>6544.7900149582465</v>
      </c>
      <c r="KJ98" s="563">
        <v>0</v>
      </c>
      <c r="KK98" s="563">
        <v>0</v>
      </c>
      <c r="KL98" s="563">
        <v>0</v>
      </c>
      <c r="KM98" s="650">
        <v>8344.081477719028</v>
      </c>
      <c r="KN98" s="564">
        <v>4000</v>
      </c>
      <c r="KO98" s="566">
        <v>222.38946577152245</v>
      </c>
    </row>
    <row r="99" spans="1:301" s="768" customFormat="1" ht="13.5">
      <c r="A99" s="802" t="s">
        <v>1010</v>
      </c>
      <c r="B99" s="629" t="s">
        <v>392</v>
      </c>
      <c r="C99" s="629">
        <v>959.9189122822313</v>
      </c>
      <c r="D99" s="629">
        <v>1313.3628033018342</v>
      </c>
      <c r="E99" s="629">
        <v>1000</v>
      </c>
      <c r="F99" s="629">
        <v>741.16534330391539</v>
      </c>
      <c r="G99" s="629">
        <v>530.64723842525768</v>
      </c>
      <c r="H99" s="629">
        <v>450.91358269404958</v>
      </c>
      <c r="I99" s="629">
        <v>427.21950678848214</v>
      </c>
      <c r="J99" s="629">
        <v>19.827370461139253</v>
      </c>
      <c r="K99" s="629">
        <v>28.289368330100821</v>
      </c>
      <c r="L99" s="629">
        <v>16</v>
      </c>
      <c r="M99" s="629">
        <v>472.27351731901649</v>
      </c>
      <c r="N99" s="629">
        <v>6</v>
      </c>
      <c r="O99" s="623">
        <v>26.816492954563206</v>
      </c>
      <c r="P99" s="629">
        <v>6</v>
      </c>
      <c r="Q99" s="623">
        <v>24.771876492218226</v>
      </c>
      <c r="R99" s="629">
        <v>20</v>
      </c>
      <c r="S99" s="629">
        <v>1027.2640733028747</v>
      </c>
      <c r="T99" s="645">
        <v>130.12289986121598</v>
      </c>
      <c r="U99" s="645">
        <v>154.0896109954312</v>
      </c>
      <c r="V99" s="645">
        <v>172.5</v>
      </c>
      <c r="W99" s="793">
        <v>18.938981440737919</v>
      </c>
      <c r="X99" s="646">
        <v>494.11022886927691</v>
      </c>
      <c r="Y99" s="646">
        <v>66.198218398739982</v>
      </c>
      <c r="Z99" s="646">
        <v>6</v>
      </c>
      <c r="AA99" s="646">
        <v>9.3500664965409754</v>
      </c>
      <c r="AB99" s="647">
        <v>97.392074109444891</v>
      </c>
      <c r="AC99" s="784">
        <v>2825.4211611910837</v>
      </c>
      <c r="AD99" s="631">
        <v>0.41071308156715203</v>
      </c>
      <c r="AE99" s="631">
        <v>0.36056186876835633</v>
      </c>
      <c r="AF99" s="631">
        <v>-0.81936882673936395</v>
      </c>
      <c r="AG99" s="631">
        <v>0.72377182222896475</v>
      </c>
      <c r="AH99" s="629"/>
      <c r="AI99" s="648">
        <v>10.607104516904439</v>
      </c>
      <c r="AJ99" s="649">
        <v>156.26612027166814</v>
      </c>
      <c r="AK99" s="646">
        <v>377.07455554086039</v>
      </c>
      <c r="AL99" s="646">
        <v>3.713062189560381</v>
      </c>
      <c r="AM99" s="646">
        <v>7.0950558343554819</v>
      </c>
      <c r="AN99" s="646">
        <v>140.54090118567012</v>
      </c>
      <c r="AO99" s="646">
        <v>90.624518586875212</v>
      </c>
      <c r="AP99" s="801">
        <v>1800</v>
      </c>
      <c r="AQ99" s="563" t="s">
        <v>67</v>
      </c>
      <c r="AR99" s="563">
        <v>6</v>
      </c>
      <c r="AS99" s="563">
        <v>1</v>
      </c>
      <c r="AT99" s="563">
        <v>8</v>
      </c>
      <c r="AU99" s="563">
        <v>40.047300079087904</v>
      </c>
      <c r="AV99" s="650">
        <v>2236.7317411267609</v>
      </c>
      <c r="AW99" s="563">
        <v>1</v>
      </c>
      <c r="AX99" s="563">
        <v>8</v>
      </c>
      <c r="AY99" s="563">
        <v>55.955535608363284</v>
      </c>
      <c r="AZ99" s="650">
        <v>2101.3721752968022</v>
      </c>
      <c r="BA99" s="564">
        <v>2101.3721752968022</v>
      </c>
      <c r="BB99" s="565">
        <v>144.50614378838094</v>
      </c>
      <c r="BC99" s="649">
        <v>208.35482702889087</v>
      </c>
      <c r="BD99" s="646">
        <v>477.46872486093912</v>
      </c>
      <c r="BE99" s="646">
        <v>12.995717663461335</v>
      </c>
      <c r="BF99" s="646">
        <v>46.117862923310632</v>
      </c>
      <c r="BG99" s="646">
        <v>157.42735920564931</v>
      </c>
      <c r="BH99" s="646">
        <v>125.63449376477419</v>
      </c>
      <c r="BI99" s="646">
        <v>2250</v>
      </c>
      <c r="BJ99" s="563" t="s">
        <v>71</v>
      </c>
      <c r="BK99" s="563">
        <v>8</v>
      </c>
      <c r="BL99" s="563">
        <v>2</v>
      </c>
      <c r="BM99" s="563">
        <v>14</v>
      </c>
      <c r="BN99" s="563">
        <v>40.047300079087904</v>
      </c>
      <c r="BO99" s="650">
        <v>2522.5809047705302</v>
      </c>
      <c r="BP99" s="563">
        <v>2</v>
      </c>
      <c r="BQ99" s="563">
        <v>26.000000000000004</v>
      </c>
      <c r="BR99" s="563">
        <v>55.955535608363284</v>
      </c>
      <c r="BS99" s="650">
        <v>2486.0459255594087</v>
      </c>
      <c r="BT99" s="564">
        <v>2486.0459255594087</v>
      </c>
      <c r="BU99" s="565">
        <v>170.959201899904</v>
      </c>
      <c r="BV99" s="649">
        <v>156.26612027166814</v>
      </c>
      <c r="BW99" s="646">
        <v>387.88267356477627</v>
      </c>
      <c r="BX99" s="646">
        <v>7.4261243791207621</v>
      </c>
      <c r="BY99" s="646">
        <v>14.190111668710964</v>
      </c>
      <c r="BZ99" s="646">
        <v>142.69032838116931</v>
      </c>
      <c r="CA99" s="646">
        <v>94.364214209612271</v>
      </c>
      <c r="CB99" s="646">
        <v>1800</v>
      </c>
      <c r="CC99" s="563" t="s">
        <v>1584</v>
      </c>
      <c r="CD99" s="563">
        <v>6</v>
      </c>
      <c r="CE99" s="563">
        <v>2</v>
      </c>
      <c r="CF99" s="563">
        <v>8</v>
      </c>
      <c r="CG99" s="563">
        <v>40.047300079087904</v>
      </c>
      <c r="CH99" s="650">
        <v>2185.1798314956282</v>
      </c>
      <c r="CI99" s="563">
        <v>2</v>
      </c>
      <c r="CJ99" s="563">
        <v>8</v>
      </c>
      <c r="CK99" s="563">
        <v>55.955535608363284</v>
      </c>
      <c r="CL99" s="650">
        <v>2063.395872582395</v>
      </c>
      <c r="CM99" s="564">
        <v>2063.395872582395</v>
      </c>
      <c r="CN99" s="565">
        <v>141.89460780008125</v>
      </c>
      <c r="CO99" s="649">
        <v>208.35482702889087</v>
      </c>
      <c r="CP99" s="646">
        <v>489.96783970725255</v>
      </c>
      <c r="CQ99" s="646">
        <v>14.852248758241524</v>
      </c>
      <c r="CR99" s="646">
        <v>56.760446674843855</v>
      </c>
      <c r="CS99" s="646">
        <v>158.90546558927883</v>
      </c>
      <c r="CT99" s="646">
        <v>130.31434563871645</v>
      </c>
      <c r="CU99" s="646">
        <v>2250</v>
      </c>
      <c r="CV99" s="563" t="s">
        <v>1584</v>
      </c>
      <c r="CW99" s="563">
        <v>8</v>
      </c>
      <c r="CX99" s="563">
        <v>2</v>
      </c>
      <c r="CY99" s="563">
        <v>16</v>
      </c>
      <c r="CZ99" s="563">
        <v>40.047300079087904</v>
      </c>
      <c r="DA99" s="650">
        <v>2551.8624844764731</v>
      </c>
      <c r="DB99" s="563">
        <v>2</v>
      </c>
      <c r="DC99" s="563">
        <v>32</v>
      </c>
      <c r="DD99" s="563">
        <v>55.955535608363284</v>
      </c>
      <c r="DE99" s="650">
        <v>2490.5916675165317</v>
      </c>
      <c r="DF99" s="564">
        <v>2490.5916675165317</v>
      </c>
      <c r="DG99" s="565">
        <v>171.27180128072911</v>
      </c>
      <c r="DH99" s="649">
        <v>156.26612027166814</v>
      </c>
      <c r="DI99" s="646">
        <v>387.88267356477627</v>
      </c>
      <c r="DJ99" s="646">
        <v>7.4261243791207621</v>
      </c>
      <c r="DK99" s="646">
        <v>14.190111668710964</v>
      </c>
      <c r="DL99" s="646">
        <v>142.69032838116931</v>
      </c>
      <c r="DM99" s="646">
        <v>94.364214209612271</v>
      </c>
      <c r="DN99" s="646">
        <v>1800</v>
      </c>
      <c r="DO99" s="563" t="s">
        <v>1588</v>
      </c>
      <c r="DP99" s="563">
        <v>6</v>
      </c>
      <c r="DQ99" s="563">
        <v>2</v>
      </c>
      <c r="DR99" s="563">
        <v>8</v>
      </c>
      <c r="DS99" s="563">
        <v>40.047300079087904</v>
      </c>
      <c r="DT99" s="650">
        <v>2274.4072789717916</v>
      </c>
      <c r="DU99" s="563">
        <v>2</v>
      </c>
      <c r="DV99" s="563">
        <v>8</v>
      </c>
      <c r="DW99" s="563">
        <v>55.955535608363284</v>
      </c>
      <c r="DX99" s="650">
        <v>2147.6505156967623</v>
      </c>
      <c r="DY99" s="564">
        <v>2147.6505156967623</v>
      </c>
      <c r="DZ99" s="565">
        <v>147.68859028250554</v>
      </c>
      <c r="EA99" s="649">
        <v>208.35482702889087</v>
      </c>
      <c r="EB99" s="646">
        <v>470.37366902658368</v>
      </c>
      <c r="EC99" s="646">
        <v>12.995717663461335</v>
      </c>
      <c r="ED99" s="646">
        <v>39.022807088955147</v>
      </c>
      <c r="EE99" s="646">
        <v>156.57991120861166</v>
      </c>
      <c r="EF99" s="646">
        <v>122.82448970220047</v>
      </c>
      <c r="EG99" s="646">
        <v>2250</v>
      </c>
      <c r="EH99" s="563" t="s">
        <v>1588</v>
      </c>
      <c r="EI99" s="563">
        <v>8</v>
      </c>
      <c r="EJ99" s="563">
        <v>2</v>
      </c>
      <c r="EK99" s="563">
        <v>14</v>
      </c>
      <c r="EL99" s="563">
        <v>40.047300079087904</v>
      </c>
      <c r="EM99" s="650">
        <v>2572.5378516082951</v>
      </c>
      <c r="EN99" s="563">
        <v>2</v>
      </c>
      <c r="EO99" s="563">
        <v>22</v>
      </c>
      <c r="EP99" s="563">
        <v>55.955535608363284</v>
      </c>
      <c r="EQ99" s="650">
        <v>2483.4409872859542</v>
      </c>
      <c r="ER99" s="564">
        <v>2483.4409872859542</v>
      </c>
      <c r="ES99" s="565">
        <v>170.78006676661877</v>
      </c>
      <c r="ET99" s="649">
        <v>208.35482702889087</v>
      </c>
      <c r="EU99" s="646">
        <v>431.865291804062</v>
      </c>
      <c r="EV99" s="646">
        <v>4.6413277369504762</v>
      </c>
      <c r="EW99" s="646">
        <v>8.8688197929443522</v>
      </c>
      <c r="EX99" s="646">
        <v>151.26551921204876</v>
      </c>
      <c r="EY99" s="646">
        <v>108.79016642589467</v>
      </c>
      <c r="EZ99" s="646">
        <v>1800</v>
      </c>
      <c r="FA99" s="563" t="s">
        <v>1587</v>
      </c>
      <c r="FB99" s="563">
        <v>8</v>
      </c>
      <c r="FC99" s="563">
        <v>1</v>
      </c>
      <c r="FD99" s="563">
        <v>10</v>
      </c>
      <c r="FE99" s="563">
        <v>40.047300079087904</v>
      </c>
      <c r="FF99" s="650">
        <v>2425.5627886721168</v>
      </c>
      <c r="FG99" s="563">
        <v>1</v>
      </c>
      <c r="FH99" s="563">
        <v>10</v>
      </c>
      <c r="FI99" s="563">
        <v>55.955535608363284</v>
      </c>
      <c r="FJ99" s="650">
        <v>2300.8945834352417</v>
      </c>
      <c r="FK99" s="564">
        <v>2300.8945834352417</v>
      </c>
      <c r="FL99" s="565">
        <v>158.22680409710756</v>
      </c>
      <c r="FM99" s="649">
        <v>208.35482702889087</v>
      </c>
      <c r="FN99" s="646">
        <v>456.01802308549003</v>
      </c>
      <c r="FO99" s="646">
        <v>9.2826554739009524</v>
      </c>
      <c r="FP99" s="646">
        <v>28.380223337421928</v>
      </c>
      <c r="FQ99" s="646">
        <v>154.68812411358195</v>
      </c>
      <c r="FR99" s="646">
        <v>117.67979204817657</v>
      </c>
      <c r="FS99" s="646">
        <v>2250</v>
      </c>
      <c r="FT99" s="563" t="s">
        <v>1589</v>
      </c>
      <c r="FU99" s="563">
        <v>8</v>
      </c>
      <c r="FV99" s="563">
        <v>2</v>
      </c>
      <c r="FW99" s="563">
        <v>10</v>
      </c>
      <c r="FX99" s="563">
        <v>40.047300079087904</v>
      </c>
      <c r="FY99" s="650">
        <v>2503.4585496355526</v>
      </c>
      <c r="FZ99" s="563">
        <v>2</v>
      </c>
      <c r="GA99" s="563">
        <v>16</v>
      </c>
      <c r="GB99" s="563">
        <v>55.955535608363284</v>
      </c>
      <c r="GC99" s="650">
        <v>2523.7521370209051</v>
      </c>
      <c r="GD99" s="564">
        <v>2503.4585496355526</v>
      </c>
      <c r="GE99" s="565">
        <v>172.15662479721865</v>
      </c>
      <c r="GF99" s="649">
        <v>208.35482702889087</v>
      </c>
      <c r="GG99" s="646">
        <v>431.865291804062</v>
      </c>
      <c r="GH99" s="646">
        <v>4.6413277369504762</v>
      </c>
      <c r="GI99" s="646">
        <v>8.8688197929443522</v>
      </c>
      <c r="GJ99" s="646">
        <v>151.26551921204876</v>
      </c>
      <c r="GK99" s="646">
        <v>108.79016642589467</v>
      </c>
      <c r="GL99" s="646">
        <v>1800</v>
      </c>
      <c r="GM99" s="563" t="s">
        <v>1587</v>
      </c>
      <c r="GN99" s="563">
        <v>8</v>
      </c>
      <c r="GO99" s="563">
        <v>1</v>
      </c>
      <c r="GP99" s="563">
        <v>10</v>
      </c>
      <c r="GQ99" s="563">
        <v>40.047300079087904</v>
      </c>
      <c r="GR99" s="650">
        <v>2425.5627886721168</v>
      </c>
      <c r="GS99" s="563">
        <v>1</v>
      </c>
      <c r="GT99" s="563">
        <v>10</v>
      </c>
      <c r="GU99" s="563">
        <v>55.955535608363284</v>
      </c>
      <c r="GV99" s="650">
        <v>2300.8945834352417</v>
      </c>
      <c r="GW99" s="564">
        <v>2300.8945834352417</v>
      </c>
      <c r="GX99" s="565">
        <v>158.22680409710756</v>
      </c>
      <c r="GY99" s="649">
        <v>156.26612027166814</v>
      </c>
      <c r="GZ99" s="646">
        <v>387.88267356477627</v>
      </c>
      <c r="HA99" s="646">
        <v>7.4261243791207621</v>
      </c>
      <c r="HB99" s="646">
        <v>14.190111668710964</v>
      </c>
      <c r="HC99" s="646">
        <v>142.69032838116931</v>
      </c>
      <c r="HD99" s="646">
        <v>94.364214209612271</v>
      </c>
      <c r="HE99" s="646">
        <v>2250</v>
      </c>
      <c r="HF99" s="563" t="s">
        <v>1587</v>
      </c>
      <c r="HG99" s="563">
        <v>6</v>
      </c>
      <c r="HH99" s="563">
        <v>2</v>
      </c>
      <c r="HI99" s="563">
        <v>8</v>
      </c>
      <c r="HJ99" s="563">
        <v>40.047300079087904</v>
      </c>
      <c r="HK99" s="650">
        <v>2992.1807147887334</v>
      </c>
      <c r="HL99" s="563">
        <v>2</v>
      </c>
      <c r="HM99" s="563">
        <v>8</v>
      </c>
      <c r="HN99" s="563">
        <v>55.955535608363284</v>
      </c>
      <c r="HO99" s="650">
        <v>2825.4211611910837</v>
      </c>
      <c r="HP99" s="564">
        <v>2825.4211611910837</v>
      </c>
      <c r="HQ99" s="565">
        <v>194.2971937011325</v>
      </c>
      <c r="HR99" s="649">
        <v>130.22176689305678</v>
      </c>
      <c r="HS99" s="646">
        <v>361.83832018616488</v>
      </c>
      <c r="HT99" s="646">
        <v>7.4261243791207621</v>
      </c>
      <c r="HU99" s="646">
        <v>14.190111668710964</v>
      </c>
      <c r="HV99" s="646">
        <v>136.73297425606879</v>
      </c>
      <c r="HW99" s="646">
        <v>85.748852242944679</v>
      </c>
      <c r="HX99" s="646">
        <v>1800</v>
      </c>
      <c r="HY99" s="563" t="s">
        <v>68</v>
      </c>
      <c r="HZ99" s="563">
        <v>5</v>
      </c>
      <c r="IA99" s="563">
        <v>2</v>
      </c>
      <c r="IB99" s="563">
        <v>8</v>
      </c>
      <c r="IC99" s="563">
        <v>40.047300079087904</v>
      </c>
      <c r="ID99" s="650">
        <v>2279.7437188840036</v>
      </c>
      <c r="IE99" s="563">
        <v>2</v>
      </c>
      <c r="IF99" s="563">
        <v>8</v>
      </c>
      <c r="IG99" s="563">
        <v>55.955535608363284</v>
      </c>
      <c r="IH99" s="650">
        <v>2143.7857307398076</v>
      </c>
      <c r="II99" s="564">
        <v>2143.7857307398076</v>
      </c>
      <c r="IJ99" s="565">
        <v>147.4228186227937</v>
      </c>
      <c r="IK99" s="649">
        <v>156.26612027166814</v>
      </c>
      <c r="IL99" s="646">
        <v>387.88267356477627</v>
      </c>
      <c r="IM99" s="646">
        <v>7.4261243791207621</v>
      </c>
      <c r="IN99" s="646">
        <v>14.190111668710964</v>
      </c>
      <c r="IO99" s="646">
        <v>142.69032838116931</v>
      </c>
      <c r="IP99" s="646">
        <v>94.364214209612271</v>
      </c>
      <c r="IQ99" s="646">
        <v>2250</v>
      </c>
      <c r="IR99" s="563" t="s">
        <v>68</v>
      </c>
      <c r="IS99" s="563">
        <v>6</v>
      </c>
      <c r="IT99" s="563">
        <v>2</v>
      </c>
      <c r="IU99" s="563">
        <v>8</v>
      </c>
      <c r="IV99" s="563">
        <v>40.047300079087904</v>
      </c>
      <c r="IW99" s="650">
        <v>2638.8553496981585</v>
      </c>
      <c r="IX99" s="563">
        <v>2</v>
      </c>
      <c r="IY99" s="563">
        <v>8</v>
      </c>
      <c r="IZ99" s="563">
        <v>55.955535608363284</v>
      </c>
      <c r="JA99" s="650">
        <v>2491.787247176982</v>
      </c>
      <c r="JB99" s="564">
        <v>2491.787247176982</v>
      </c>
      <c r="JC99" s="565">
        <v>171.35401832364732</v>
      </c>
      <c r="JD99" s="649">
        <v>156.26612027166814</v>
      </c>
      <c r="JE99" s="646">
        <v>377.07455554086039</v>
      </c>
      <c r="JF99" s="646">
        <v>3.713062189560381</v>
      </c>
      <c r="JG99" s="646">
        <v>7.0950558343554819</v>
      </c>
      <c r="JH99" s="646">
        <v>140.54090118567012</v>
      </c>
      <c r="JI99" s="646">
        <v>90.624518586875212</v>
      </c>
      <c r="JJ99" s="646">
        <v>1800</v>
      </c>
      <c r="JK99" s="563" t="s">
        <v>67</v>
      </c>
      <c r="JL99" s="563">
        <v>6</v>
      </c>
      <c r="JM99" s="563">
        <v>1</v>
      </c>
      <c r="JN99" s="563">
        <v>8</v>
      </c>
      <c r="JO99" s="563">
        <v>40.047300079087904</v>
      </c>
      <c r="JP99" s="650">
        <v>2236.7317411267609</v>
      </c>
      <c r="JQ99" s="563">
        <v>1</v>
      </c>
      <c r="JR99" s="563">
        <v>8</v>
      </c>
      <c r="JS99" s="563">
        <v>55.955535608363284</v>
      </c>
      <c r="JT99" s="650">
        <v>2101.3721752968022</v>
      </c>
      <c r="JU99" s="564">
        <v>2101.3721752968022</v>
      </c>
      <c r="JV99" s="565">
        <v>144.50614378838094</v>
      </c>
      <c r="JW99" s="649">
        <v>104.17741351444543</v>
      </c>
      <c r="JX99" s="646">
        <v>330.38990779559555</v>
      </c>
      <c r="JY99" s="646">
        <v>5.5695932843405718</v>
      </c>
      <c r="JZ99" s="646">
        <v>10.642583751533223</v>
      </c>
      <c r="KA99" s="646">
        <v>128.41493721551637</v>
      </c>
      <c r="KB99" s="646">
        <v>75.263642464908557</v>
      </c>
      <c r="KC99" s="646">
        <v>2250</v>
      </c>
      <c r="KD99" s="563" t="s">
        <v>67</v>
      </c>
      <c r="KE99" s="563">
        <v>4</v>
      </c>
      <c r="KF99" s="563">
        <v>2</v>
      </c>
      <c r="KG99" s="563">
        <v>6</v>
      </c>
      <c r="KH99" s="563">
        <v>40.047300079087904</v>
      </c>
      <c r="KI99" s="650">
        <v>2674.1176278214093</v>
      </c>
      <c r="KJ99" s="563">
        <v>2</v>
      </c>
      <c r="KK99" s="563">
        <v>6</v>
      </c>
      <c r="KL99" s="563">
        <v>55.955535608363284</v>
      </c>
      <c r="KM99" s="650">
        <v>2508.0979525267394</v>
      </c>
      <c r="KN99" s="564">
        <v>2508.0979525267394</v>
      </c>
      <c r="KO99" s="566">
        <v>172.47566500778552</v>
      </c>
    </row>
    <row r="100" spans="1:301" s="768" customFormat="1" ht="13.5">
      <c r="A100" s="802" t="s">
        <v>1011</v>
      </c>
      <c r="B100" s="629" t="s">
        <v>382</v>
      </c>
      <c r="C100" s="629">
        <v>1281.299585874696</v>
      </c>
      <c r="D100" s="629">
        <v>1597.3232237317586</v>
      </c>
      <c r="E100" s="629">
        <v>1190</v>
      </c>
      <c r="F100" s="629">
        <v>1060.688135815494</v>
      </c>
      <c r="G100" s="629">
        <v>755.858220132528</v>
      </c>
      <c r="H100" s="629">
        <v>640.91415085583014</v>
      </c>
      <c r="I100" s="629">
        <v>623</v>
      </c>
      <c r="J100" s="629">
        <v>15.395487590753447</v>
      </c>
      <c r="K100" s="629">
        <v>32.638452129455366</v>
      </c>
      <c r="L100" s="629">
        <v>15</v>
      </c>
      <c r="M100" s="629">
        <v>546.70748897986891</v>
      </c>
      <c r="N100" s="629">
        <v>6</v>
      </c>
      <c r="O100" s="623">
        <v>41.998839872392267</v>
      </c>
      <c r="P100" s="629">
        <v>6</v>
      </c>
      <c r="Q100" s="623">
        <v>29.045776773779693</v>
      </c>
      <c r="R100" s="629">
        <v>20</v>
      </c>
      <c r="S100" s="629">
        <v>1329.0056797736263</v>
      </c>
      <c r="T100" s="645">
        <v>217.79264424775414</v>
      </c>
      <c r="U100" s="645">
        <v>199.35085196604393</v>
      </c>
      <c r="V100" s="645">
        <v>247.5</v>
      </c>
      <c r="W100" s="793">
        <v>45.481229537050524</v>
      </c>
      <c r="X100" s="646">
        <v>707.12542387699591</v>
      </c>
      <c r="Y100" s="646">
        <v>94.736843137678193</v>
      </c>
      <c r="Z100" s="646">
        <v>6</v>
      </c>
      <c r="AA100" s="646">
        <v>19.149609161279685</v>
      </c>
      <c r="AB100" s="647">
        <v>233.34737030299516</v>
      </c>
      <c r="AC100" s="784">
        <v>2142.7015469706917</v>
      </c>
      <c r="AD100" s="631">
        <v>0.84077233048118694</v>
      </c>
      <c r="AE100" s="631">
        <v>0.27536116101008584</v>
      </c>
      <c r="AF100" s="631">
        <v>-1.0347051350214653</v>
      </c>
      <c r="AG100" s="631">
        <v>0.54004725612896221</v>
      </c>
      <c r="AH100" s="629"/>
      <c r="AI100" s="648">
        <v>15.801638488855918</v>
      </c>
      <c r="AJ100" s="649">
        <v>325.45691723094217</v>
      </c>
      <c r="AK100" s="646">
        <v>720.85690997413644</v>
      </c>
      <c r="AL100" s="646">
        <v>13.563922073864179</v>
      </c>
      <c r="AM100" s="646">
        <v>28.367971077073804</v>
      </c>
      <c r="AN100" s="646">
        <v>212.51978169998196</v>
      </c>
      <c r="AO100" s="646">
        <v>278.76708861504625</v>
      </c>
      <c r="AP100" s="801">
        <v>1492</v>
      </c>
      <c r="AQ100" s="563" t="s">
        <v>71</v>
      </c>
      <c r="AR100" s="563">
        <v>8</v>
      </c>
      <c r="AS100" s="563">
        <v>2</v>
      </c>
      <c r="AT100" s="563">
        <v>12</v>
      </c>
      <c r="AU100" s="563">
        <v>36.285001736307272</v>
      </c>
      <c r="AV100" s="650">
        <v>1659.0793441388194</v>
      </c>
      <c r="AW100" s="563">
        <v>2</v>
      </c>
      <c r="AX100" s="563">
        <v>10</v>
      </c>
      <c r="AY100" s="563">
        <v>73.714764011897358</v>
      </c>
      <c r="AZ100" s="650">
        <v>1651.297447554062</v>
      </c>
      <c r="BA100" s="564">
        <v>1651.297447554062</v>
      </c>
      <c r="BB100" s="565">
        <v>138.10733275728401</v>
      </c>
      <c r="BC100" s="649">
        <v>325.45691723094217</v>
      </c>
      <c r="BD100" s="646">
        <v>801.32971575754641</v>
      </c>
      <c r="BE100" s="646">
        <v>37.3007857031265</v>
      </c>
      <c r="BF100" s="646">
        <v>85.103913231221426</v>
      </c>
      <c r="BG100" s="646">
        <v>222.72510492810574</v>
      </c>
      <c r="BH100" s="646">
        <v>322.08040645820267</v>
      </c>
      <c r="BI100" s="646">
        <v>1865</v>
      </c>
      <c r="BJ100" s="563" t="s">
        <v>71</v>
      </c>
      <c r="BK100" s="563">
        <v>8</v>
      </c>
      <c r="BL100" s="563">
        <v>3</v>
      </c>
      <c r="BM100" s="563">
        <v>22</v>
      </c>
      <c r="BN100" s="563">
        <v>36.285001736307272</v>
      </c>
      <c r="BO100" s="650">
        <v>2073.8937191230393</v>
      </c>
      <c r="BP100" s="563">
        <v>3</v>
      </c>
      <c r="BQ100" s="563">
        <v>20</v>
      </c>
      <c r="BR100" s="563">
        <v>73.714764011897358</v>
      </c>
      <c r="BS100" s="650">
        <v>2054.8584363758732</v>
      </c>
      <c r="BT100" s="564">
        <v>2054.8584363758732</v>
      </c>
      <c r="BU100" s="565">
        <v>171.85941773363271</v>
      </c>
      <c r="BV100" s="649">
        <v>325.45691723094217</v>
      </c>
      <c r="BW100" s="646">
        <v>720.85690997413644</v>
      </c>
      <c r="BX100" s="646">
        <v>13.563922073864179</v>
      </c>
      <c r="BY100" s="646">
        <v>28.367971077073804</v>
      </c>
      <c r="BZ100" s="646">
        <v>212.51978169998196</v>
      </c>
      <c r="CA100" s="646">
        <v>278.76708861504625</v>
      </c>
      <c r="CB100" s="646">
        <v>1492</v>
      </c>
      <c r="CC100" s="563" t="s">
        <v>1588</v>
      </c>
      <c r="CD100" s="563">
        <v>8</v>
      </c>
      <c r="CE100" s="563">
        <v>2</v>
      </c>
      <c r="CF100" s="563">
        <v>12</v>
      </c>
      <c r="CG100" s="563">
        <v>36.285001736307272</v>
      </c>
      <c r="CH100" s="650">
        <v>1691.9355900725118</v>
      </c>
      <c r="CI100" s="563">
        <v>2</v>
      </c>
      <c r="CJ100" s="563">
        <v>10</v>
      </c>
      <c r="CK100" s="563">
        <v>73.714764011897358</v>
      </c>
      <c r="CL100" s="650">
        <v>1683.9995815648244</v>
      </c>
      <c r="CM100" s="564">
        <v>1683.9995815648244</v>
      </c>
      <c r="CN100" s="565">
        <v>140.84239693992868</v>
      </c>
      <c r="CO100" s="649">
        <v>325.45691723094217</v>
      </c>
      <c r="CP100" s="646">
        <v>821.74147892225665</v>
      </c>
      <c r="CQ100" s="646">
        <v>40.691766221592538</v>
      </c>
      <c r="CR100" s="646">
        <v>102.12469587746571</v>
      </c>
      <c r="CS100" s="646">
        <v>224.96720350620654</v>
      </c>
      <c r="CT100" s="646">
        <v>333.45429277625192</v>
      </c>
      <c r="CU100" s="646">
        <v>1865</v>
      </c>
      <c r="CV100" s="563" t="s">
        <v>1584</v>
      </c>
      <c r="CW100" s="563">
        <v>8</v>
      </c>
      <c r="CX100" s="563">
        <v>3</v>
      </c>
      <c r="CY100" s="563">
        <v>24</v>
      </c>
      <c r="CZ100" s="563">
        <v>36.285001736307272</v>
      </c>
      <c r="DA100" s="650">
        <v>2066.0304381911365</v>
      </c>
      <c r="DB100" s="563">
        <v>3</v>
      </c>
      <c r="DC100" s="563">
        <v>24</v>
      </c>
      <c r="DD100" s="563">
        <v>73.714764011897358</v>
      </c>
      <c r="DE100" s="650">
        <v>2054.1234740605896</v>
      </c>
      <c r="DF100" s="564">
        <v>2054.1234740605896</v>
      </c>
      <c r="DG100" s="565">
        <v>171.79794868383115</v>
      </c>
      <c r="DH100" s="649">
        <v>325.45691723094217</v>
      </c>
      <c r="DI100" s="646">
        <v>720.85690997413644</v>
      </c>
      <c r="DJ100" s="646">
        <v>13.563922073864179</v>
      </c>
      <c r="DK100" s="646">
        <v>28.367971077073804</v>
      </c>
      <c r="DL100" s="646">
        <v>212.51978169998196</v>
      </c>
      <c r="DM100" s="646">
        <v>278.76708861504625</v>
      </c>
      <c r="DN100" s="646">
        <v>1492</v>
      </c>
      <c r="DO100" s="563" t="s">
        <v>1588</v>
      </c>
      <c r="DP100" s="563">
        <v>8</v>
      </c>
      <c r="DQ100" s="563">
        <v>2</v>
      </c>
      <c r="DR100" s="563">
        <v>12</v>
      </c>
      <c r="DS100" s="563">
        <v>36.285001736307272</v>
      </c>
      <c r="DT100" s="650">
        <v>1691.9355900725118</v>
      </c>
      <c r="DU100" s="563">
        <v>2</v>
      </c>
      <c r="DV100" s="563">
        <v>10</v>
      </c>
      <c r="DW100" s="563">
        <v>73.714764011897358</v>
      </c>
      <c r="DX100" s="650">
        <v>1683.9995815648244</v>
      </c>
      <c r="DY100" s="564">
        <v>1683.9995815648244</v>
      </c>
      <c r="DZ100" s="565">
        <v>140.84239693992868</v>
      </c>
      <c r="EA100" s="649">
        <v>325.45691723094217</v>
      </c>
      <c r="EB100" s="646">
        <v>789.42834391595818</v>
      </c>
      <c r="EC100" s="646">
        <v>33.909805184660449</v>
      </c>
      <c r="ED100" s="646">
        <v>76.593521908099291</v>
      </c>
      <c r="EE100" s="646">
        <v>221.34826520211439</v>
      </c>
      <c r="EF100" s="646">
        <v>315.65705010149725</v>
      </c>
      <c r="EG100" s="646">
        <v>1865</v>
      </c>
      <c r="EH100" s="563" t="s">
        <v>1588</v>
      </c>
      <c r="EI100" s="563">
        <v>8</v>
      </c>
      <c r="EJ100" s="563">
        <v>3</v>
      </c>
      <c r="EK100" s="563">
        <v>20</v>
      </c>
      <c r="EL100" s="563">
        <v>36.285001736307272</v>
      </c>
      <c r="EM100" s="650">
        <v>2074.6775335792222</v>
      </c>
      <c r="EN100" s="563">
        <v>3</v>
      </c>
      <c r="EO100" s="563">
        <v>18.000000000000004</v>
      </c>
      <c r="EP100" s="563">
        <v>73.714764011897358</v>
      </c>
      <c r="EQ100" s="650">
        <v>2068.6201555698053</v>
      </c>
      <c r="ER100" s="564">
        <v>2068.6201555698053</v>
      </c>
      <c r="ES100" s="565">
        <v>173.0103880417646</v>
      </c>
      <c r="ET100" s="649">
        <v>325.45691723094217</v>
      </c>
      <c r="EU100" s="646">
        <v>718.59625629515904</v>
      </c>
      <c r="EV100" s="646">
        <v>11.303268394886818</v>
      </c>
      <c r="EW100" s="646">
        <v>28.367971077073804</v>
      </c>
      <c r="EX100" s="646">
        <v>212.18021850573027</v>
      </c>
      <c r="EY100" s="646">
        <v>277.78520435147198</v>
      </c>
      <c r="EZ100" s="646">
        <v>1492</v>
      </c>
      <c r="FA100" s="563" t="s">
        <v>1589</v>
      </c>
      <c r="FB100" s="563">
        <v>8</v>
      </c>
      <c r="FC100" s="563">
        <v>2</v>
      </c>
      <c r="FD100" s="563">
        <v>10</v>
      </c>
      <c r="FE100" s="563">
        <v>36.285001736307272</v>
      </c>
      <c r="FF100" s="650">
        <v>1734.8679912765863</v>
      </c>
      <c r="FG100" s="563">
        <v>2</v>
      </c>
      <c r="FH100" s="563">
        <v>10</v>
      </c>
      <c r="FI100" s="563">
        <v>73.714764011897358</v>
      </c>
      <c r="FJ100" s="650">
        <v>1793.7681698458978</v>
      </c>
      <c r="FK100" s="564">
        <v>1734.8679912765863</v>
      </c>
      <c r="FL100" s="565">
        <v>145.09680937016779</v>
      </c>
      <c r="FM100" s="649">
        <v>325.45691723094217</v>
      </c>
      <c r="FN100" s="646">
        <v>718.59625629515904</v>
      </c>
      <c r="FO100" s="646">
        <v>11.303268394886818</v>
      </c>
      <c r="FP100" s="646">
        <v>28.367971077073804</v>
      </c>
      <c r="FQ100" s="646">
        <v>212.18021850573027</v>
      </c>
      <c r="FR100" s="646">
        <v>277.78520435147198</v>
      </c>
      <c r="FS100" s="646">
        <v>1865</v>
      </c>
      <c r="FT100" s="563" t="s">
        <v>1587</v>
      </c>
      <c r="FU100" s="563">
        <v>8</v>
      </c>
      <c r="FV100" s="563">
        <v>2</v>
      </c>
      <c r="FW100" s="563">
        <v>10</v>
      </c>
      <c r="FX100" s="563">
        <v>36.285001736307272</v>
      </c>
      <c r="FY100" s="650">
        <v>2142.7015469706917</v>
      </c>
      <c r="FZ100" s="563">
        <v>2</v>
      </c>
      <c r="GA100" s="563">
        <v>10</v>
      </c>
      <c r="GB100" s="563">
        <v>73.714764011897358</v>
      </c>
      <c r="GC100" s="650">
        <v>2215.448006281666</v>
      </c>
      <c r="GD100" s="564">
        <v>2142.7015469706917</v>
      </c>
      <c r="GE100" s="565">
        <v>179.20623324729041</v>
      </c>
      <c r="GF100" s="649">
        <v>244.09268792320663</v>
      </c>
      <c r="GG100" s="646">
        <v>629.29777909303152</v>
      </c>
      <c r="GH100" s="646">
        <v>9.042614715909453</v>
      </c>
      <c r="GI100" s="646">
        <v>22.694376861659045</v>
      </c>
      <c r="GJ100" s="646">
        <v>196.89629418946944</v>
      </c>
      <c r="GK100" s="646">
        <v>230.85620998746043</v>
      </c>
      <c r="GL100" s="646">
        <v>1492</v>
      </c>
      <c r="GM100" s="563" t="s">
        <v>1587</v>
      </c>
      <c r="GN100" s="563">
        <v>6</v>
      </c>
      <c r="GO100" s="563">
        <v>2</v>
      </c>
      <c r="GP100" s="563">
        <v>8</v>
      </c>
      <c r="GQ100" s="563">
        <v>36.285001736307272</v>
      </c>
      <c r="GR100" s="650">
        <v>1691.4924545774686</v>
      </c>
      <c r="GS100" s="563">
        <v>2</v>
      </c>
      <c r="GT100" s="563">
        <v>8</v>
      </c>
      <c r="GU100" s="563">
        <v>73.714764011897358</v>
      </c>
      <c r="GV100" s="650">
        <v>1674.3596475058455</v>
      </c>
      <c r="GW100" s="564">
        <v>1674.3596475058455</v>
      </c>
      <c r="GX100" s="565">
        <v>140.03615480419856</v>
      </c>
      <c r="GY100" s="649">
        <v>325.45691723094217</v>
      </c>
      <c r="GZ100" s="646">
        <v>718.59625629515904</v>
      </c>
      <c r="HA100" s="646">
        <v>11.303268394886818</v>
      </c>
      <c r="HB100" s="646">
        <v>28.367971077073804</v>
      </c>
      <c r="HC100" s="646">
        <v>212.18021850573027</v>
      </c>
      <c r="HD100" s="646">
        <v>277.78520435147198</v>
      </c>
      <c r="HE100" s="646">
        <v>1865</v>
      </c>
      <c r="HF100" s="563" t="s">
        <v>1587</v>
      </c>
      <c r="HG100" s="563">
        <v>8</v>
      </c>
      <c r="HH100" s="563">
        <v>2</v>
      </c>
      <c r="HI100" s="563">
        <v>10</v>
      </c>
      <c r="HJ100" s="563">
        <v>36.285001736307272</v>
      </c>
      <c r="HK100" s="650">
        <v>2142.7015469706917</v>
      </c>
      <c r="HL100" s="563">
        <v>2</v>
      </c>
      <c r="HM100" s="563">
        <v>10</v>
      </c>
      <c r="HN100" s="563">
        <v>73.714764011897358</v>
      </c>
      <c r="HO100" s="650">
        <v>2215.448006281666</v>
      </c>
      <c r="HP100" s="564">
        <v>2142.7015469706917</v>
      </c>
      <c r="HQ100" s="565">
        <v>179.20623324729041</v>
      </c>
      <c r="HR100" s="649">
        <v>203.41057326933884</v>
      </c>
      <c r="HS100" s="646">
        <v>604.48416022794788</v>
      </c>
      <c r="HT100" s="646">
        <v>13.56392207386418</v>
      </c>
      <c r="HU100" s="646">
        <v>34.041565292488571</v>
      </c>
      <c r="HV100" s="646">
        <v>191.65607788041353</v>
      </c>
      <c r="HW100" s="646">
        <v>218.09730673329693</v>
      </c>
      <c r="HX100" s="646">
        <v>1492</v>
      </c>
      <c r="HY100" s="563" t="s">
        <v>68</v>
      </c>
      <c r="HZ100" s="563">
        <v>5</v>
      </c>
      <c r="IA100" s="563">
        <v>3</v>
      </c>
      <c r="IB100" s="563">
        <v>8</v>
      </c>
      <c r="IC100" s="563">
        <v>36.285001736307272</v>
      </c>
      <c r="ID100" s="650">
        <v>1811.8970333954067</v>
      </c>
      <c r="IE100" s="563">
        <v>3</v>
      </c>
      <c r="IF100" s="563">
        <v>8</v>
      </c>
      <c r="IG100" s="563">
        <v>73.714764011897358</v>
      </c>
      <c r="IH100" s="650">
        <v>1793.3672119505313</v>
      </c>
      <c r="II100" s="564">
        <v>1793.3672119505313</v>
      </c>
      <c r="IJ100" s="565">
        <v>149.9894296231848</v>
      </c>
      <c r="IK100" s="649">
        <v>244.09268792320663</v>
      </c>
      <c r="IL100" s="646">
        <v>645.16627488181575</v>
      </c>
      <c r="IM100" s="646">
        <v>13.56392207386418</v>
      </c>
      <c r="IN100" s="646">
        <v>34.041565292488571</v>
      </c>
      <c r="IO100" s="646">
        <v>199.77785540314574</v>
      </c>
      <c r="IP100" s="646">
        <v>239.42068512973427</v>
      </c>
      <c r="IQ100" s="646">
        <v>1865</v>
      </c>
      <c r="IR100" s="563" t="s">
        <v>68</v>
      </c>
      <c r="IS100" s="563">
        <v>6</v>
      </c>
      <c r="IT100" s="563">
        <v>3</v>
      </c>
      <c r="IU100" s="563">
        <v>8</v>
      </c>
      <c r="IV100" s="563">
        <v>36.285001736307272</v>
      </c>
      <c r="IW100" s="650">
        <v>2061.668789816626</v>
      </c>
      <c r="IX100" s="563">
        <v>3</v>
      </c>
      <c r="IY100" s="563">
        <v>8</v>
      </c>
      <c r="IZ100" s="563">
        <v>73.714764011897358</v>
      </c>
      <c r="JA100" s="650">
        <v>2070.6075378251699</v>
      </c>
      <c r="JB100" s="564">
        <v>2061.668789816626</v>
      </c>
      <c r="JC100" s="565">
        <v>172.42900605960631</v>
      </c>
      <c r="JD100" s="649">
        <v>203.41057326933884</v>
      </c>
      <c r="JE100" s="646">
        <v>588.61566443916365</v>
      </c>
      <c r="JF100" s="646">
        <v>9.042614715909453</v>
      </c>
      <c r="JG100" s="646">
        <v>22.694376861659045</v>
      </c>
      <c r="JH100" s="646">
        <v>188.35640275818483</v>
      </c>
      <c r="JI100" s="646">
        <v>209.5328315910231</v>
      </c>
      <c r="JJ100" s="646">
        <v>1492</v>
      </c>
      <c r="JK100" s="563" t="s">
        <v>67</v>
      </c>
      <c r="JL100" s="563">
        <v>5</v>
      </c>
      <c r="JM100" s="563">
        <v>2</v>
      </c>
      <c r="JN100" s="563">
        <v>8</v>
      </c>
      <c r="JO100" s="563">
        <v>36.285001736307272</v>
      </c>
      <c r="JP100" s="650">
        <v>1791.3835072170448</v>
      </c>
      <c r="JQ100" s="563">
        <v>2</v>
      </c>
      <c r="JR100" s="563">
        <v>8</v>
      </c>
      <c r="JS100" s="563">
        <v>73.714764011897358</v>
      </c>
      <c r="JT100" s="650">
        <v>1771.0456054659903</v>
      </c>
      <c r="JU100" s="564">
        <v>1771.0456054659903</v>
      </c>
      <c r="JV100" s="565">
        <v>148.1225475911173</v>
      </c>
      <c r="JW100" s="649">
        <v>162.72845861547108</v>
      </c>
      <c r="JX100" s="646">
        <v>551.9006737324919</v>
      </c>
      <c r="JY100" s="646">
        <v>10.172941555398134</v>
      </c>
      <c r="JZ100" s="646">
        <v>25.531173969366428</v>
      </c>
      <c r="KA100" s="646">
        <v>179.52241394982036</v>
      </c>
      <c r="KB100" s="646">
        <v>190.35057198015426</v>
      </c>
      <c r="KC100" s="646">
        <v>1865</v>
      </c>
      <c r="KD100" s="563" t="s">
        <v>67</v>
      </c>
      <c r="KE100" s="563">
        <v>4</v>
      </c>
      <c r="KF100" s="563">
        <v>3</v>
      </c>
      <c r="KG100" s="563">
        <v>6</v>
      </c>
      <c r="KH100" s="563">
        <v>36.285001736307272</v>
      </c>
      <c r="KI100" s="650">
        <v>2131.378505750552</v>
      </c>
      <c r="KJ100" s="563">
        <v>3</v>
      </c>
      <c r="KK100" s="563">
        <v>6</v>
      </c>
      <c r="KL100" s="563">
        <v>73.714764011897358</v>
      </c>
      <c r="KM100" s="650">
        <v>2106.9945840329428</v>
      </c>
      <c r="KN100" s="564">
        <v>2106.9945840329428</v>
      </c>
      <c r="KO100" s="566">
        <v>176.21985824895185</v>
      </c>
    </row>
    <row r="101" spans="1:301" s="768" customFormat="1" ht="13.5">
      <c r="A101" s="802" t="s">
        <v>1162</v>
      </c>
      <c r="B101" s="629" t="s">
        <v>393</v>
      </c>
      <c r="C101" s="629">
        <v>1115.9031347936052</v>
      </c>
      <c r="D101" s="629">
        <v>1455.4976241292961</v>
      </c>
      <c r="E101" s="629">
        <v>1120</v>
      </c>
      <c r="F101" s="629">
        <v>903.85735866933885</v>
      </c>
      <c r="G101" s="629">
        <v>648.81472596764172</v>
      </c>
      <c r="H101" s="629">
        <v>555.08260425150206</v>
      </c>
      <c r="I101" s="629">
        <v>537.11138472675384</v>
      </c>
      <c r="J101" s="629">
        <v>17.849920852480309</v>
      </c>
      <c r="K101" s="629">
        <v>28.895364003328858</v>
      </c>
      <c r="L101" s="629">
        <v>14</v>
      </c>
      <c r="M101" s="629">
        <v>492.70374472371321</v>
      </c>
      <c r="N101" s="629">
        <v>6</v>
      </c>
      <c r="O101" s="623">
        <v>31.964019804783138</v>
      </c>
      <c r="P101" s="629">
        <v>6</v>
      </c>
      <c r="Q101" s="623">
        <v>26.887240529691788</v>
      </c>
      <c r="R101" s="629">
        <v>20</v>
      </c>
      <c r="S101" s="629">
        <v>1179.6774913993177</v>
      </c>
      <c r="T101" s="645">
        <v>171.59954020166202</v>
      </c>
      <c r="U101" s="645">
        <v>176.95162370989763</v>
      </c>
      <c r="V101" s="645">
        <v>210</v>
      </c>
      <c r="W101" s="793">
        <v>30.405293529481987</v>
      </c>
      <c r="X101" s="646">
        <v>602.5715724462259</v>
      </c>
      <c r="Y101" s="646">
        <v>80.72928310945899</v>
      </c>
      <c r="Z101" s="646">
        <v>6</v>
      </c>
      <c r="AA101" s="646">
        <v>13.905425690042906</v>
      </c>
      <c r="AB101" s="647">
        <v>148.18957922728339</v>
      </c>
      <c r="AC101" s="784">
        <v>2583.7041774593426</v>
      </c>
      <c r="AD101" s="631">
        <v>0.53708322392200936</v>
      </c>
      <c r="AE101" s="631">
        <v>0.3220262421283856</v>
      </c>
      <c r="AF101" s="631">
        <v>-0.79502526412746499</v>
      </c>
      <c r="AG101" s="631">
        <v>0.64295733038064973</v>
      </c>
      <c r="AH101" s="629"/>
      <c r="AI101" s="648">
        <v>12.233155105492955</v>
      </c>
      <c r="AJ101" s="649">
        <v>236.56109883976563</v>
      </c>
      <c r="AK101" s="646">
        <v>542.46510064946176</v>
      </c>
      <c r="AL101" s="646">
        <v>10.214743155466149</v>
      </c>
      <c r="AM101" s="646">
        <v>20.927738898568069</v>
      </c>
      <c r="AN101" s="646">
        <v>179.55795430315342</v>
      </c>
      <c r="AO101" s="646">
        <v>168.83733756791395</v>
      </c>
      <c r="AP101" s="801">
        <v>1490</v>
      </c>
      <c r="AQ101" s="563" t="s">
        <v>71</v>
      </c>
      <c r="AR101" s="563">
        <v>8</v>
      </c>
      <c r="AS101" s="563">
        <v>2</v>
      </c>
      <c r="AT101" s="563">
        <v>10</v>
      </c>
      <c r="AU101" s="563">
        <v>37.756474670975393</v>
      </c>
      <c r="AV101" s="650">
        <v>1962.1804011981487</v>
      </c>
      <c r="AW101" s="563">
        <v>2</v>
      </c>
      <c r="AX101" s="563">
        <v>10</v>
      </c>
      <c r="AY101" s="563">
        <v>59.520034411110828</v>
      </c>
      <c r="AZ101" s="650">
        <v>1925.7793915164232</v>
      </c>
      <c r="BA101" s="564">
        <v>1925.7793915164232</v>
      </c>
      <c r="BB101" s="565">
        <v>146.76302614798956</v>
      </c>
      <c r="BC101" s="649">
        <v>236.56109883976563</v>
      </c>
      <c r="BD101" s="646">
        <v>552.87914483998225</v>
      </c>
      <c r="BE101" s="646">
        <v>12.257691786559379</v>
      </c>
      <c r="BF101" s="646">
        <v>29.298834457995298</v>
      </c>
      <c r="BG101" s="646">
        <v>181.26752053476207</v>
      </c>
      <c r="BH101" s="646">
        <v>173.60353553906484</v>
      </c>
      <c r="BI101" s="646">
        <v>1862.5</v>
      </c>
      <c r="BJ101" s="563" t="s">
        <v>71</v>
      </c>
      <c r="BK101" s="563">
        <v>8</v>
      </c>
      <c r="BL101" s="563">
        <v>2</v>
      </c>
      <c r="BM101" s="563">
        <v>12</v>
      </c>
      <c r="BN101" s="563">
        <v>37.756474670975393</v>
      </c>
      <c r="BO101" s="650">
        <v>2065.8876172167979</v>
      </c>
      <c r="BP101" s="563">
        <v>2</v>
      </c>
      <c r="BQ101" s="563">
        <v>14</v>
      </c>
      <c r="BR101" s="563">
        <v>59.520034411110828</v>
      </c>
      <c r="BS101" s="650">
        <v>2056.1513494886349</v>
      </c>
      <c r="BT101" s="564">
        <v>2056.1513494886349</v>
      </c>
      <c r="BU101" s="565">
        <v>156.69863100549804</v>
      </c>
      <c r="BV101" s="649">
        <v>236.56109883976563</v>
      </c>
      <c r="BW101" s="646">
        <v>542.46510064946176</v>
      </c>
      <c r="BX101" s="646">
        <v>10.214743155466149</v>
      </c>
      <c r="BY101" s="646">
        <v>20.927738898568069</v>
      </c>
      <c r="BZ101" s="646">
        <v>179.55795430315342</v>
      </c>
      <c r="CA101" s="646">
        <v>168.83733756791395</v>
      </c>
      <c r="CB101" s="646">
        <v>1490</v>
      </c>
      <c r="CC101" s="563" t="s">
        <v>1584</v>
      </c>
      <c r="CD101" s="563">
        <v>8</v>
      </c>
      <c r="CE101" s="563">
        <v>2</v>
      </c>
      <c r="CF101" s="563">
        <v>10</v>
      </c>
      <c r="CG101" s="563">
        <v>37.756474670975393</v>
      </c>
      <c r="CH101" s="650">
        <v>1922.5363064900189</v>
      </c>
      <c r="CI101" s="563">
        <v>2</v>
      </c>
      <c r="CJ101" s="563">
        <v>10</v>
      </c>
      <c r="CK101" s="563">
        <v>59.520034411110828</v>
      </c>
      <c r="CL101" s="650">
        <v>1886.8707465530838</v>
      </c>
      <c r="CM101" s="564">
        <v>1886.8707465530838</v>
      </c>
      <c r="CN101" s="565">
        <v>143.79781086772795</v>
      </c>
      <c r="CO101" s="649">
        <v>236.56109883976563</v>
      </c>
      <c r="CP101" s="646">
        <v>552.87914483998225</v>
      </c>
      <c r="CQ101" s="646">
        <v>12.257691786559379</v>
      </c>
      <c r="CR101" s="646">
        <v>29.298834457995298</v>
      </c>
      <c r="CS101" s="646">
        <v>181.26752053476207</v>
      </c>
      <c r="CT101" s="646">
        <v>173.60353553906484</v>
      </c>
      <c r="CU101" s="646">
        <v>1862.5</v>
      </c>
      <c r="CV101" s="563" t="s">
        <v>1588</v>
      </c>
      <c r="CW101" s="563">
        <v>8</v>
      </c>
      <c r="CX101" s="563">
        <v>2</v>
      </c>
      <c r="CY101" s="563">
        <v>12</v>
      </c>
      <c r="CZ101" s="563">
        <v>37.756474670975393</v>
      </c>
      <c r="DA101" s="650">
        <v>2106.8002546156313</v>
      </c>
      <c r="DB101" s="563">
        <v>2</v>
      </c>
      <c r="DC101" s="563">
        <v>14</v>
      </c>
      <c r="DD101" s="563">
        <v>59.520034411110828</v>
      </c>
      <c r="DE101" s="650">
        <v>2096.8711707885373</v>
      </c>
      <c r="DF101" s="564">
        <v>2096.8711707885373</v>
      </c>
      <c r="DG101" s="565">
        <v>159.80187545006194</v>
      </c>
      <c r="DH101" s="649">
        <v>236.56109883976563</v>
      </c>
      <c r="DI101" s="646">
        <v>542.46510064946176</v>
      </c>
      <c r="DJ101" s="646">
        <v>10.214743155466149</v>
      </c>
      <c r="DK101" s="646">
        <v>20.927738898568069</v>
      </c>
      <c r="DL101" s="646">
        <v>179.55795430315342</v>
      </c>
      <c r="DM101" s="646">
        <v>168.83733756791395</v>
      </c>
      <c r="DN101" s="646">
        <v>1490</v>
      </c>
      <c r="DO101" s="563" t="s">
        <v>1588</v>
      </c>
      <c r="DP101" s="563">
        <v>8</v>
      </c>
      <c r="DQ101" s="563">
        <v>2</v>
      </c>
      <c r="DR101" s="563">
        <v>10</v>
      </c>
      <c r="DS101" s="563">
        <v>37.756474670975393</v>
      </c>
      <c r="DT101" s="650">
        <v>2001.0392309797362</v>
      </c>
      <c r="DU101" s="563">
        <v>2</v>
      </c>
      <c r="DV101" s="563">
        <v>10</v>
      </c>
      <c r="DW101" s="563">
        <v>59.520034411110828</v>
      </c>
      <c r="DX101" s="650">
        <v>1963.9173392434166</v>
      </c>
      <c r="DY101" s="564">
        <v>1963.9173392434166</v>
      </c>
      <c r="DZ101" s="565">
        <v>149.66950684050542</v>
      </c>
      <c r="EA101" s="649">
        <v>236.56109883976563</v>
      </c>
      <c r="EB101" s="646">
        <v>552.87914483998225</v>
      </c>
      <c r="EC101" s="646">
        <v>12.257691786559379</v>
      </c>
      <c r="ED101" s="646">
        <v>29.298834457995298</v>
      </c>
      <c r="EE101" s="646">
        <v>181.26752053476207</v>
      </c>
      <c r="EF101" s="646">
        <v>173.60353553906484</v>
      </c>
      <c r="EG101" s="646">
        <v>1862.5</v>
      </c>
      <c r="EH101" s="563" t="s">
        <v>1588</v>
      </c>
      <c r="EI101" s="563">
        <v>8</v>
      </c>
      <c r="EJ101" s="563">
        <v>2</v>
      </c>
      <c r="EK101" s="563">
        <v>12</v>
      </c>
      <c r="EL101" s="563">
        <v>37.756474670975393</v>
      </c>
      <c r="EM101" s="650">
        <v>2106.8002546156313</v>
      </c>
      <c r="EN101" s="563">
        <v>2</v>
      </c>
      <c r="EO101" s="563">
        <v>14</v>
      </c>
      <c r="EP101" s="563">
        <v>59.520034411110828</v>
      </c>
      <c r="EQ101" s="650">
        <v>2096.8711707885373</v>
      </c>
      <c r="ER101" s="564">
        <v>2096.8711707885373</v>
      </c>
      <c r="ES101" s="565">
        <v>159.80187545006194</v>
      </c>
      <c r="ET101" s="649">
        <v>236.56109883976563</v>
      </c>
      <c r="EU101" s="646">
        <v>537.35772907172873</v>
      </c>
      <c r="EV101" s="646">
        <v>5.1073715777330744</v>
      </c>
      <c r="EW101" s="646">
        <v>20.927738898568069</v>
      </c>
      <c r="EX101" s="646">
        <v>178.62666153729936</v>
      </c>
      <c r="EY101" s="646">
        <v>167.13612821786467</v>
      </c>
      <c r="EZ101" s="646">
        <v>1490</v>
      </c>
      <c r="FA101" s="563" t="s">
        <v>1587</v>
      </c>
      <c r="FB101" s="563">
        <v>8</v>
      </c>
      <c r="FC101" s="563">
        <v>1</v>
      </c>
      <c r="FD101" s="563">
        <v>10</v>
      </c>
      <c r="FE101" s="563">
        <v>37.756474670975393</v>
      </c>
      <c r="FF101" s="650">
        <v>1721.7155426888401</v>
      </c>
      <c r="FG101" s="563">
        <v>2</v>
      </c>
      <c r="FH101" s="563">
        <v>10</v>
      </c>
      <c r="FI101" s="563">
        <v>59.520034411110828</v>
      </c>
      <c r="FJ101" s="650">
        <v>2583.7041774593426</v>
      </c>
      <c r="FK101" s="564">
        <v>1721.7155426888401</v>
      </c>
      <c r="FL101" s="565">
        <v>131.21138606227908</v>
      </c>
      <c r="FM101" s="649">
        <v>236.56109883976563</v>
      </c>
      <c r="FN101" s="646">
        <v>542.46510064946176</v>
      </c>
      <c r="FO101" s="646">
        <v>10.214743155466149</v>
      </c>
      <c r="FP101" s="646">
        <v>20.927738898568069</v>
      </c>
      <c r="FQ101" s="646">
        <v>179.55795430315342</v>
      </c>
      <c r="FR101" s="646">
        <v>168.83733756791395</v>
      </c>
      <c r="FS101" s="646">
        <v>1862.5</v>
      </c>
      <c r="FT101" s="563" t="s">
        <v>1589</v>
      </c>
      <c r="FU101" s="563">
        <v>8</v>
      </c>
      <c r="FV101" s="563">
        <v>2</v>
      </c>
      <c r="FW101" s="563">
        <v>10</v>
      </c>
      <c r="FX101" s="563">
        <v>37.756474670975393</v>
      </c>
      <c r="FY101" s="650">
        <v>2131.4734982350665</v>
      </c>
      <c r="FZ101" s="563">
        <v>2</v>
      </c>
      <c r="GA101" s="563">
        <v>10</v>
      </c>
      <c r="GB101" s="563">
        <v>59.520034411110828</v>
      </c>
      <c r="GC101" s="650">
        <v>2091.9318804520026</v>
      </c>
      <c r="GD101" s="564">
        <v>2091.9318804520026</v>
      </c>
      <c r="GE101" s="565">
        <v>159.42545372698885</v>
      </c>
      <c r="GF101" s="649">
        <v>236.56109883976563</v>
      </c>
      <c r="GG101" s="646">
        <v>537.35772907172873</v>
      </c>
      <c r="GH101" s="646">
        <v>5.1073715777330744</v>
      </c>
      <c r="GI101" s="646">
        <v>20.927738898568069</v>
      </c>
      <c r="GJ101" s="646">
        <v>178.62666153729936</v>
      </c>
      <c r="GK101" s="646">
        <v>167.13612821786467</v>
      </c>
      <c r="GL101" s="646">
        <v>1490</v>
      </c>
      <c r="GM101" s="563" t="s">
        <v>1587</v>
      </c>
      <c r="GN101" s="563">
        <v>8</v>
      </c>
      <c r="GO101" s="563">
        <v>1</v>
      </c>
      <c r="GP101" s="563">
        <v>10</v>
      </c>
      <c r="GQ101" s="563">
        <v>37.756474670975393</v>
      </c>
      <c r="GR101" s="650">
        <v>1721.7155426888401</v>
      </c>
      <c r="GS101" s="563">
        <v>2</v>
      </c>
      <c r="GT101" s="563">
        <v>10</v>
      </c>
      <c r="GU101" s="563">
        <v>59.520034411110828</v>
      </c>
      <c r="GV101" s="650">
        <v>2583.7041774593426</v>
      </c>
      <c r="GW101" s="564">
        <v>1721.7155426888401</v>
      </c>
      <c r="GX101" s="565">
        <v>131.21138606227908</v>
      </c>
      <c r="GY101" s="649">
        <v>236.56109883976563</v>
      </c>
      <c r="GZ101" s="646">
        <v>542.46510064946176</v>
      </c>
      <c r="HA101" s="646">
        <v>10.214743155466149</v>
      </c>
      <c r="HB101" s="646">
        <v>20.927738898568069</v>
      </c>
      <c r="HC101" s="646">
        <v>179.55795430315342</v>
      </c>
      <c r="HD101" s="646">
        <v>168.83733756791395</v>
      </c>
      <c r="HE101" s="646">
        <v>1862.5</v>
      </c>
      <c r="HF101" s="563" t="s">
        <v>1587</v>
      </c>
      <c r="HG101" s="563">
        <v>8</v>
      </c>
      <c r="HH101" s="563">
        <v>2</v>
      </c>
      <c r="HI101" s="563">
        <v>10</v>
      </c>
      <c r="HJ101" s="563">
        <v>37.756474670975393</v>
      </c>
      <c r="HK101" s="650">
        <v>2632.5412567181224</v>
      </c>
      <c r="HL101" s="563">
        <v>2</v>
      </c>
      <c r="HM101" s="563">
        <v>10</v>
      </c>
      <c r="HN101" s="563">
        <v>59.520034411110828</v>
      </c>
      <c r="HO101" s="650">
        <v>2583.7041774593426</v>
      </c>
      <c r="HP101" s="564">
        <v>2583.7041774593426</v>
      </c>
      <c r="HQ101" s="565">
        <v>196.90326183029029</v>
      </c>
      <c r="HR101" s="649">
        <v>177.42082412982421</v>
      </c>
      <c r="HS101" s="646">
        <v>477.09632952871345</v>
      </c>
      <c r="HT101" s="646">
        <v>8.1717945243729186</v>
      </c>
      <c r="HU101" s="646">
        <v>16.742191118854457</v>
      </c>
      <c r="HV101" s="646">
        <v>166.21171593498218</v>
      </c>
      <c r="HW101" s="646">
        <v>141.24763181854649</v>
      </c>
      <c r="HX101" s="646">
        <v>1490</v>
      </c>
      <c r="HY101" s="563" t="s">
        <v>68</v>
      </c>
      <c r="HZ101" s="563">
        <v>6</v>
      </c>
      <c r="IA101" s="563">
        <v>2</v>
      </c>
      <c r="IB101" s="563">
        <v>8</v>
      </c>
      <c r="IC101" s="563">
        <v>37.756474670975393</v>
      </c>
      <c r="ID101" s="650">
        <v>1898.884910336039</v>
      </c>
      <c r="IE101" s="563">
        <v>2</v>
      </c>
      <c r="IF101" s="563">
        <v>8</v>
      </c>
      <c r="IG101" s="563">
        <v>59.520034411110828</v>
      </c>
      <c r="IH101" s="650">
        <v>1801.7942060868043</v>
      </c>
      <c r="II101" s="564">
        <v>1801.7942060868043</v>
      </c>
      <c r="IJ101" s="565">
        <v>137.3141551655028</v>
      </c>
      <c r="IK101" s="649">
        <v>147.85068677485353</v>
      </c>
      <c r="IL101" s="646">
        <v>459.98318499535651</v>
      </c>
      <c r="IM101" s="646">
        <v>12.257691786559379</v>
      </c>
      <c r="IN101" s="646">
        <v>25.113286678281685</v>
      </c>
      <c r="IO101" s="646">
        <v>161.90630051567291</v>
      </c>
      <c r="IP101" s="646">
        <v>134.26113108282607</v>
      </c>
      <c r="IQ101" s="646">
        <v>1862.5</v>
      </c>
      <c r="IR101" s="563" t="s">
        <v>68</v>
      </c>
      <c r="IS101" s="563">
        <v>5</v>
      </c>
      <c r="IT101" s="563">
        <v>3</v>
      </c>
      <c r="IU101" s="563">
        <v>8</v>
      </c>
      <c r="IV101" s="563">
        <v>37.756474670975393</v>
      </c>
      <c r="IW101" s="650">
        <v>2305.0944315163142</v>
      </c>
      <c r="IX101" s="563">
        <v>3</v>
      </c>
      <c r="IY101" s="563">
        <v>8</v>
      </c>
      <c r="IZ101" s="563">
        <v>59.520034411110828</v>
      </c>
      <c r="JA101" s="650">
        <v>2186.8957463980064</v>
      </c>
      <c r="JB101" s="564">
        <v>2186.8957463980064</v>
      </c>
      <c r="JC101" s="565">
        <v>166.66261931425421</v>
      </c>
      <c r="JD101" s="649">
        <v>118.28054941988282</v>
      </c>
      <c r="JE101" s="646">
        <v>411.72755840796526</v>
      </c>
      <c r="JF101" s="646">
        <v>6.1288458932796894</v>
      </c>
      <c r="JG101" s="646">
        <v>12.556643339140843</v>
      </c>
      <c r="JH101" s="646">
        <v>148.62759169594355</v>
      </c>
      <c r="JI101" s="646">
        <v>113.65792606917908</v>
      </c>
      <c r="JJ101" s="646">
        <v>1490</v>
      </c>
      <c r="JK101" s="563" t="s">
        <v>67</v>
      </c>
      <c r="JL101" s="563">
        <v>4</v>
      </c>
      <c r="JM101" s="563">
        <v>2</v>
      </c>
      <c r="JN101" s="563">
        <v>6</v>
      </c>
      <c r="JO101" s="563">
        <v>37.756474670975393</v>
      </c>
      <c r="JP101" s="650">
        <v>1965.7605626883064</v>
      </c>
      <c r="JQ101" s="563">
        <v>2</v>
      </c>
      <c r="JR101" s="563">
        <v>6</v>
      </c>
      <c r="JS101" s="563">
        <v>59.520034411110828</v>
      </c>
      <c r="JT101" s="650">
        <v>1859.7450110435352</v>
      </c>
      <c r="JU101" s="564">
        <v>1859.7450110435352</v>
      </c>
      <c r="JV101" s="565">
        <v>141.73056731563213</v>
      </c>
      <c r="JW101" s="649">
        <v>147.85068677485353</v>
      </c>
      <c r="JX101" s="646">
        <v>447.5261921737428</v>
      </c>
      <c r="JY101" s="646">
        <v>8.1717945243729186</v>
      </c>
      <c r="JZ101" s="646">
        <v>16.742191118854457</v>
      </c>
      <c r="KA101" s="646">
        <v>158.85565228350541</v>
      </c>
      <c r="KB101" s="646">
        <v>128.81444937165546</v>
      </c>
      <c r="KC101" s="646">
        <v>1862.5</v>
      </c>
      <c r="KD101" s="563" t="s">
        <v>67</v>
      </c>
      <c r="KE101" s="563">
        <v>5</v>
      </c>
      <c r="KF101" s="563">
        <v>2</v>
      </c>
      <c r="KG101" s="563">
        <v>8</v>
      </c>
      <c r="KH101" s="563">
        <v>37.756474670975393</v>
      </c>
      <c r="KI101" s="650">
        <v>2264.7442104922734</v>
      </c>
      <c r="KJ101" s="563">
        <v>2</v>
      </c>
      <c r="KK101" s="563">
        <v>8</v>
      </c>
      <c r="KL101" s="563">
        <v>59.520034411110828</v>
      </c>
      <c r="KM101" s="650">
        <v>2145.1214263570855</v>
      </c>
      <c r="KN101" s="564">
        <v>2145.1214263570855</v>
      </c>
      <c r="KO101" s="566">
        <v>163.47901186083118</v>
      </c>
    </row>
    <row r="102" spans="1:301" s="768" customFormat="1" ht="13.5">
      <c r="A102" s="802" t="s">
        <v>1186</v>
      </c>
      <c r="B102" s="629" t="s">
        <v>382</v>
      </c>
      <c r="C102" s="629">
        <v>150</v>
      </c>
      <c r="D102" s="629">
        <v>744.25813931036839</v>
      </c>
      <c r="E102" s="629">
        <v>150</v>
      </c>
      <c r="F102" s="629">
        <v>124.12821371849967</v>
      </c>
      <c r="G102" s="629">
        <v>64.208696767228815</v>
      </c>
      <c r="H102" s="629">
        <v>52.295545174568041</v>
      </c>
      <c r="I102" s="629">
        <v>29.542676662794939</v>
      </c>
      <c r="J102" s="629">
        <v>52.228277459146454</v>
      </c>
      <c r="K102" s="629">
        <v>81.279201136315208</v>
      </c>
      <c r="L102" s="629">
        <v>10</v>
      </c>
      <c r="M102" s="629">
        <v>326.40196195918071</v>
      </c>
      <c r="N102" s="629">
        <v>5</v>
      </c>
      <c r="O102" s="623">
        <v>16.382024945730493</v>
      </c>
      <c r="P102" s="629">
        <v>5</v>
      </c>
      <c r="Q102" s="623">
        <v>11.264032167141096</v>
      </c>
      <c r="R102" s="629">
        <v>13.000000000000002</v>
      </c>
      <c r="S102" s="629">
        <v>434.19317651443407</v>
      </c>
      <c r="T102" s="645">
        <v>15.110153582263392</v>
      </c>
      <c r="U102" s="645">
        <v>65.128976477165111</v>
      </c>
      <c r="V102" s="645">
        <v>35</v>
      </c>
      <c r="W102" s="793">
        <v>0.68649495842494723</v>
      </c>
      <c r="X102" s="646">
        <v>0</v>
      </c>
      <c r="Y102" s="646">
        <v>0</v>
      </c>
      <c r="Z102" s="646">
        <v>0</v>
      </c>
      <c r="AA102" s="646">
        <v>0</v>
      </c>
      <c r="AB102" s="647">
        <v>3.9167074518179379</v>
      </c>
      <c r="AC102" s="784">
        <v>4000</v>
      </c>
      <c r="AD102" s="631">
        <v>2.3110728646275538</v>
      </c>
      <c r="AE102" s="631">
        <v>1.2905068660880776</v>
      </c>
      <c r="AF102" s="631">
        <v>-0.15018135641928579</v>
      </c>
      <c r="AG102" s="631">
        <v>0.81011413500687901</v>
      </c>
      <c r="AH102" s="629"/>
      <c r="AI102" s="648">
        <v>1.9719702060159707</v>
      </c>
      <c r="AJ102" s="649">
        <v>3.1453563891312406</v>
      </c>
      <c r="AK102" s="646">
        <v>46.588062042691163</v>
      </c>
      <c r="AL102" s="646">
        <v>0</v>
      </c>
      <c r="AM102" s="646">
        <v>0</v>
      </c>
      <c r="AN102" s="646">
        <v>23.12482387992636</v>
      </c>
      <c r="AO102" s="646">
        <v>2.8084388488747942</v>
      </c>
      <c r="AP102" s="801">
        <v>3540</v>
      </c>
      <c r="AQ102" s="563" t="s">
        <v>71</v>
      </c>
      <c r="AR102" s="563">
        <v>3</v>
      </c>
      <c r="AS102" s="563">
        <v>0</v>
      </c>
      <c r="AT102" s="563">
        <v>0</v>
      </c>
      <c r="AU102" s="563">
        <v>0</v>
      </c>
      <c r="AV102" s="650">
        <v>14610.340577730187</v>
      </c>
      <c r="AW102" s="563">
        <v>0</v>
      </c>
      <c r="AX102" s="563">
        <v>0</v>
      </c>
      <c r="AY102" s="563">
        <v>0</v>
      </c>
      <c r="AZ102" s="650">
        <v>29489.725257823979</v>
      </c>
      <c r="BA102" s="564">
        <v>4000</v>
      </c>
      <c r="BB102" s="565">
        <v>155.87706018879081</v>
      </c>
      <c r="BC102" s="649">
        <v>3.1453563891312406</v>
      </c>
      <c r="BD102" s="646">
        <v>46.588062042691163</v>
      </c>
      <c r="BE102" s="646">
        <v>0</v>
      </c>
      <c r="BF102" s="646">
        <v>0</v>
      </c>
      <c r="BG102" s="646">
        <v>23.12482387992636</v>
      </c>
      <c r="BH102" s="646">
        <v>2.8084388488747942</v>
      </c>
      <c r="BI102" s="646">
        <v>3600</v>
      </c>
      <c r="BJ102" s="563" t="s">
        <v>71</v>
      </c>
      <c r="BK102" s="563">
        <v>3</v>
      </c>
      <c r="BL102" s="563">
        <v>0</v>
      </c>
      <c r="BM102" s="563">
        <v>0</v>
      </c>
      <c r="BN102" s="563">
        <v>0</v>
      </c>
      <c r="BO102" s="650">
        <v>14610.340577730187</v>
      </c>
      <c r="BP102" s="563">
        <v>0</v>
      </c>
      <c r="BQ102" s="563">
        <v>0</v>
      </c>
      <c r="BR102" s="563">
        <v>0</v>
      </c>
      <c r="BS102" s="650">
        <v>29489.725257823979</v>
      </c>
      <c r="BT102" s="564">
        <v>4000</v>
      </c>
      <c r="BU102" s="565">
        <v>155.87706018879081</v>
      </c>
      <c r="BV102" s="649">
        <v>3.1453563891312406</v>
      </c>
      <c r="BW102" s="646">
        <v>46.588062042691163</v>
      </c>
      <c r="BX102" s="646">
        <v>0</v>
      </c>
      <c r="BY102" s="646">
        <v>0</v>
      </c>
      <c r="BZ102" s="646">
        <v>23.12482387992636</v>
      </c>
      <c r="CA102" s="646">
        <v>2.8084388488747942</v>
      </c>
      <c r="CB102" s="646">
        <v>3540</v>
      </c>
      <c r="CC102" s="563" t="s">
        <v>1584</v>
      </c>
      <c r="CD102" s="563">
        <v>3</v>
      </c>
      <c r="CE102" s="563">
        <v>0</v>
      </c>
      <c r="CF102" s="563">
        <v>0</v>
      </c>
      <c r="CG102" s="563">
        <v>0</v>
      </c>
      <c r="CH102" s="650">
        <v>14315.151753487578</v>
      </c>
      <c r="CI102" s="563">
        <v>0</v>
      </c>
      <c r="CJ102" s="563">
        <v>0</v>
      </c>
      <c r="CK102" s="563">
        <v>0</v>
      </c>
      <c r="CL102" s="650">
        <v>28893.911814613537</v>
      </c>
      <c r="CM102" s="564">
        <v>4000</v>
      </c>
      <c r="CN102" s="565">
        <v>155.87706018879081</v>
      </c>
      <c r="CO102" s="649">
        <v>3.1453563891312406</v>
      </c>
      <c r="CP102" s="646">
        <v>46.588062042691163</v>
      </c>
      <c r="CQ102" s="646">
        <v>0</v>
      </c>
      <c r="CR102" s="646">
        <v>0</v>
      </c>
      <c r="CS102" s="646">
        <v>23.12482387992636</v>
      </c>
      <c r="CT102" s="646">
        <v>2.8084388488747942</v>
      </c>
      <c r="CU102" s="646">
        <v>3600</v>
      </c>
      <c r="CV102" s="563" t="s">
        <v>1584</v>
      </c>
      <c r="CW102" s="563">
        <v>3</v>
      </c>
      <c r="CX102" s="563">
        <v>0</v>
      </c>
      <c r="CY102" s="563">
        <v>0</v>
      </c>
      <c r="CZ102" s="563">
        <v>0</v>
      </c>
      <c r="DA102" s="650">
        <v>14315.151753487578</v>
      </c>
      <c r="DB102" s="563">
        <v>0</v>
      </c>
      <c r="DC102" s="563">
        <v>0</v>
      </c>
      <c r="DD102" s="563">
        <v>0</v>
      </c>
      <c r="DE102" s="650">
        <v>28893.911814613537</v>
      </c>
      <c r="DF102" s="564">
        <v>4000</v>
      </c>
      <c r="DG102" s="565">
        <v>155.87706018879081</v>
      </c>
      <c r="DH102" s="649">
        <v>3.1453563891312406</v>
      </c>
      <c r="DI102" s="646">
        <v>46.588062042691163</v>
      </c>
      <c r="DJ102" s="646">
        <v>0</v>
      </c>
      <c r="DK102" s="646">
        <v>0</v>
      </c>
      <c r="DL102" s="646">
        <v>23.12482387992636</v>
      </c>
      <c r="DM102" s="646">
        <v>2.8084388488747942</v>
      </c>
      <c r="DN102" s="646">
        <v>3540</v>
      </c>
      <c r="DO102" s="563" t="s">
        <v>1588</v>
      </c>
      <c r="DP102" s="563">
        <v>3</v>
      </c>
      <c r="DQ102" s="563">
        <v>0</v>
      </c>
      <c r="DR102" s="563">
        <v>0</v>
      </c>
      <c r="DS102" s="563">
        <v>0</v>
      </c>
      <c r="DT102" s="650">
        <v>14899.682341216543</v>
      </c>
      <c r="DU102" s="563">
        <v>0</v>
      </c>
      <c r="DV102" s="563">
        <v>0</v>
      </c>
      <c r="DW102" s="563">
        <v>0</v>
      </c>
      <c r="DX102" s="650">
        <v>30073.736908026905</v>
      </c>
      <c r="DY102" s="564">
        <v>4000</v>
      </c>
      <c r="DZ102" s="565">
        <v>155.87706018879081</v>
      </c>
      <c r="EA102" s="649">
        <v>3.1453563891312406</v>
      </c>
      <c r="EB102" s="646">
        <v>46.588062042691163</v>
      </c>
      <c r="EC102" s="646">
        <v>0</v>
      </c>
      <c r="ED102" s="646">
        <v>0</v>
      </c>
      <c r="EE102" s="646">
        <v>23.12482387992636</v>
      </c>
      <c r="EF102" s="646">
        <v>2.8084388488747942</v>
      </c>
      <c r="EG102" s="646">
        <v>3600</v>
      </c>
      <c r="EH102" s="563" t="s">
        <v>1588</v>
      </c>
      <c r="EI102" s="563">
        <v>3</v>
      </c>
      <c r="EJ102" s="563">
        <v>0</v>
      </c>
      <c r="EK102" s="563">
        <v>0</v>
      </c>
      <c r="EL102" s="563">
        <v>0</v>
      </c>
      <c r="EM102" s="650">
        <v>14899.682341216543</v>
      </c>
      <c r="EN102" s="563">
        <v>0</v>
      </c>
      <c r="EO102" s="563">
        <v>0</v>
      </c>
      <c r="EP102" s="563">
        <v>0</v>
      </c>
      <c r="EQ102" s="650">
        <v>30073.736908026905</v>
      </c>
      <c r="ER102" s="564">
        <v>4000</v>
      </c>
      <c r="ES102" s="565">
        <v>155.87706018879081</v>
      </c>
      <c r="ET102" s="649">
        <v>3.1453563891312406</v>
      </c>
      <c r="EU102" s="646">
        <v>46.588062042691163</v>
      </c>
      <c r="EV102" s="646">
        <v>0</v>
      </c>
      <c r="EW102" s="646">
        <v>0</v>
      </c>
      <c r="EX102" s="646">
        <v>23.12482387992636</v>
      </c>
      <c r="EY102" s="646">
        <v>2.8084388488747942</v>
      </c>
      <c r="EZ102" s="646">
        <v>3540</v>
      </c>
      <c r="FA102" s="563" t="s">
        <v>1589</v>
      </c>
      <c r="FB102" s="563">
        <v>3</v>
      </c>
      <c r="FC102" s="563">
        <v>0</v>
      </c>
      <c r="FD102" s="563">
        <v>0</v>
      </c>
      <c r="FE102" s="563">
        <v>0</v>
      </c>
      <c r="FF102" s="650">
        <v>15870.892259755838</v>
      </c>
      <c r="FG102" s="563">
        <v>0</v>
      </c>
      <c r="FH102" s="563">
        <v>0</v>
      </c>
      <c r="FI102" s="563">
        <v>0</v>
      </c>
      <c r="FJ102" s="650">
        <v>32034.041222154465</v>
      </c>
      <c r="FK102" s="564">
        <v>4000</v>
      </c>
      <c r="FL102" s="565">
        <v>155.87706018879081</v>
      </c>
      <c r="FM102" s="649">
        <v>3.1453563891312406</v>
      </c>
      <c r="FN102" s="646">
        <v>46.588062042691163</v>
      </c>
      <c r="FO102" s="646">
        <v>0</v>
      </c>
      <c r="FP102" s="646">
        <v>0</v>
      </c>
      <c r="FQ102" s="646">
        <v>23.12482387992636</v>
      </c>
      <c r="FR102" s="646">
        <v>2.8084388488747942</v>
      </c>
      <c r="FS102" s="646">
        <v>3600</v>
      </c>
      <c r="FT102" s="563" t="s">
        <v>1589</v>
      </c>
      <c r="FU102" s="563">
        <v>3</v>
      </c>
      <c r="FV102" s="563">
        <v>0</v>
      </c>
      <c r="FW102" s="563">
        <v>0</v>
      </c>
      <c r="FX102" s="563">
        <v>0</v>
      </c>
      <c r="FY102" s="650">
        <v>15870.892259755838</v>
      </c>
      <c r="FZ102" s="563">
        <v>0</v>
      </c>
      <c r="GA102" s="563">
        <v>0</v>
      </c>
      <c r="GB102" s="563">
        <v>0</v>
      </c>
      <c r="GC102" s="650">
        <v>32034.041222154465</v>
      </c>
      <c r="GD102" s="564">
        <v>4000</v>
      </c>
      <c r="GE102" s="565">
        <v>155.87706018879081</v>
      </c>
      <c r="GF102" s="649">
        <v>3.1453563891312406</v>
      </c>
      <c r="GG102" s="646">
        <v>46.588062042691163</v>
      </c>
      <c r="GH102" s="646">
        <v>0</v>
      </c>
      <c r="GI102" s="646">
        <v>0</v>
      </c>
      <c r="GJ102" s="646">
        <v>23.12482387992636</v>
      </c>
      <c r="GK102" s="646">
        <v>2.8084388488747942</v>
      </c>
      <c r="GL102" s="646">
        <v>3540</v>
      </c>
      <c r="GM102" s="563" t="s">
        <v>1587</v>
      </c>
      <c r="GN102" s="563">
        <v>3</v>
      </c>
      <c r="GO102" s="563">
        <v>0</v>
      </c>
      <c r="GP102" s="563">
        <v>0</v>
      </c>
      <c r="GQ102" s="563">
        <v>0</v>
      </c>
      <c r="GR102" s="650">
        <v>19601.828823736952</v>
      </c>
      <c r="GS102" s="563">
        <v>0</v>
      </c>
      <c r="GT102" s="563">
        <v>0</v>
      </c>
      <c r="GU102" s="563">
        <v>0</v>
      </c>
      <c r="GV102" s="650">
        <v>39564.618188572153</v>
      </c>
      <c r="GW102" s="564">
        <v>4000</v>
      </c>
      <c r="GX102" s="565">
        <v>155.87706018879081</v>
      </c>
      <c r="GY102" s="649">
        <v>3.1453563891312406</v>
      </c>
      <c r="GZ102" s="646">
        <v>46.588062042691163</v>
      </c>
      <c r="HA102" s="646">
        <v>0</v>
      </c>
      <c r="HB102" s="646">
        <v>0</v>
      </c>
      <c r="HC102" s="646">
        <v>23.12482387992636</v>
      </c>
      <c r="HD102" s="646">
        <v>2.8084388488747942</v>
      </c>
      <c r="HE102" s="646">
        <v>3600</v>
      </c>
      <c r="HF102" s="563" t="s">
        <v>1587</v>
      </c>
      <c r="HG102" s="563">
        <v>3</v>
      </c>
      <c r="HH102" s="563">
        <v>0</v>
      </c>
      <c r="HI102" s="563">
        <v>0</v>
      </c>
      <c r="HJ102" s="563">
        <v>0</v>
      </c>
      <c r="HK102" s="650">
        <v>19601.828823736952</v>
      </c>
      <c r="HL102" s="563">
        <v>0</v>
      </c>
      <c r="HM102" s="563">
        <v>0</v>
      </c>
      <c r="HN102" s="563">
        <v>0</v>
      </c>
      <c r="HO102" s="650">
        <v>39564.618188572153</v>
      </c>
      <c r="HP102" s="564">
        <v>4000</v>
      </c>
      <c r="HQ102" s="565">
        <v>155.87706018879081</v>
      </c>
      <c r="HR102" s="649">
        <v>3.1453563891312406</v>
      </c>
      <c r="HS102" s="646">
        <v>46.588062042691163</v>
      </c>
      <c r="HT102" s="646">
        <v>0</v>
      </c>
      <c r="HU102" s="646">
        <v>0</v>
      </c>
      <c r="HV102" s="646">
        <v>23.12482387992636</v>
      </c>
      <c r="HW102" s="646">
        <v>2.8084388488747942</v>
      </c>
      <c r="HX102" s="646">
        <v>3540</v>
      </c>
      <c r="HY102" s="563" t="s">
        <v>68</v>
      </c>
      <c r="HZ102" s="563">
        <v>3</v>
      </c>
      <c r="IA102" s="563">
        <v>0</v>
      </c>
      <c r="IB102" s="563">
        <v>0</v>
      </c>
      <c r="IC102" s="563">
        <v>0</v>
      </c>
      <c r="ID102" s="650">
        <v>17287.188103221906</v>
      </c>
      <c r="IE102" s="563">
        <v>0</v>
      </c>
      <c r="IF102" s="563">
        <v>0</v>
      </c>
      <c r="IG102" s="563">
        <v>0</v>
      </c>
      <c r="IH102" s="650">
        <v>34892.713481394923</v>
      </c>
      <c r="II102" s="564">
        <v>4000</v>
      </c>
      <c r="IJ102" s="565">
        <v>155.87706018879081</v>
      </c>
      <c r="IK102" s="649">
        <v>3.1453563891312406</v>
      </c>
      <c r="IL102" s="646">
        <v>46.588062042691163</v>
      </c>
      <c r="IM102" s="646">
        <v>0</v>
      </c>
      <c r="IN102" s="646">
        <v>0</v>
      </c>
      <c r="IO102" s="646">
        <v>23.12482387992636</v>
      </c>
      <c r="IP102" s="646">
        <v>2.8084388488747942</v>
      </c>
      <c r="IQ102" s="646">
        <v>3600</v>
      </c>
      <c r="IR102" s="563" t="s">
        <v>68</v>
      </c>
      <c r="IS102" s="563">
        <v>3</v>
      </c>
      <c r="IT102" s="563">
        <v>0</v>
      </c>
      <c r="IU102" s="563">
        <v>0</v>
      </c>
      <c r="IV102" s="563">
        <v>0</v>
      </c>
      <c r="IW102" s="650">
        <v>17287.188103221906</v>
      </c>
      <c r="IX102" s="563">
        <v>0</v>
      </c>
      <c r="IY102" s="563">
        <v>0</v>
      </c>
      <c r="IZ102" s="563">
        <v>0</v>
      </c>
      <c r="JA102" s="650">
        <v>34892.713481394923</v>
      </c>
      <c r="JB102" s="564">
        <v>4000</v>
      </c>
      <c r="JC102" s="565">
        <v>155.87706018879081</v>
      </c>
      <c r="JD102" s="649">
        <v>3.1453563891312406</v>
      </c>
      <c r="JE102" s="646">
        <v>46.588062042691163</v>
      </c>
      <c r="JF102" s="646">
        <v>0</v>
      </c>
      <c r="JG102" s="646">
        <v>0</v>
      </c>
      <c r="JH102" s="646">
        <v>23.12482387992636</v>
      </c>
      <c r="JI102" s="646">
        <v>2.8084388488747942</v>
      </c>
      <c r="JJ102" s="646">
        <v>3540</v>
      </c>
      <c r="JK102" s="563" t="s">
        <v>67</v>
      </c>
      <c r="JL102" s="563">
        <v>3</v>
      </c>
      <c r="JM102" s="563">
        <v>0</v>
      </c>
      <c r="JN102" s="563">
        <v>0</v>
      </c>
      <c r="JO102" s="563">
        <v>0</v>
      </c>
      <c r="JP102" s="650">
        <v>23558.466305617188</v>
      </c>
      <c r="JQ102" s="563">
        <v>0</v>
      </c>
      <c r="JR102" s="563">
        <v>0</v>
      </c>
      <c r="JS102" s="563">
        <v>0</v>
      </c>
      <c r="JT102" s="650">
        <v>47550.753191017364</v>
      </c>
      <c r="JU102" s="564">
        <v>4000</v>
      </c>
      <c r="JV102" s="565">
        <v>155.87706018879081</v>
      </c>
      <c r="JW102" s="649">
        <v>3.1453563891312406</v>
      </c>
      <c r="JX102" s="646">
        <v>46.588062042691163</v>
      </c>
      <c r="JY102" s="646">
        <v>0</v>
      </c>
      <c r="JZ102" s="646">
        <v>0</v>
      </c>
      <c r="KA102" s="646">
        <v>23.12482387992636</v>
      </c>
      <c r="KB102" s="646">
        <v>2.8084388488747942</v>
      </c>
      <c r="KC102" s="646">
        <v>3600</v>
      </c>
      <c r="KD102" s="563" t="s">
        <v>67</v>
      </c>
      <c r="KE102" s="563">
        <v>3</v>
      </c>
      <c r="KF102" s="563">
        <v>0</v>
      </c>
      <c r="KG102" s="563">
        <v>0</v>
      </c>
      <c r="KH102" s="563">
        <v>0</v>
      </c>
      <c r="KI102" s="650">
        <v>23558.466305617188</v>
      </c>
      <c r="KJ102" s="563">
        <v>0</v>
      </c>
      <c r="KK102" s="563">
        <v>0</v>
      </c>
      <c r="KL102" s="563">
        <v>0</v>
      </c>
      <c r="KM102" s="650">
        <v>47550.753191017364</v>
      </c>
      <c r="KN102" s="564">
        <v>4000</v>
      </c>
      <c r="KO102" s="566">
        <v>155.87706018879081</v>
      </c>
    </row>
    <row r="103" spans="1:301" s="768" customFormat="1" ht="13.5">
      <c r="A103" s="802" t="s">
        <v>1193</v>
      </c>
      <c r="B103" s="629" t="s">
        <v>382</v>
      </c>
      <c r="C103" s="629">
        <v>181.97800738851205</v>
      </c>
      <c r="D103" s="629">
        <v>960</v>
      </c>
      <c r="E103" s="629">
        <v>175.00000000000003</v>
      </c>
      <c r="F103" s="629">
        <v>157.43907609383865</v>
      </c>
      <c r="G103" s="629">
        <v>73.975257856293922</v>
      </c>
      <c r="H103" s="629">
        <v>59.499709317121834</v>
      </c>
      <c r="I103" s="629">
        <v>31.828764656351218</v>
      </c>
      <c r="J103" s="629">
        <v>50</v>
      </c>
      <c r="K103" s="629">
        <v>60</v>
      </c>
      <c r="L103" s="629">
        <v>16</v>
      </c>
      <c r="M103" s="629">
        <v>478.00487731423198</v>
      </c>
      <c r="N103" s="629">
        <v>6</v>
      </c>
      <c r="O103" s="623">
        <v>32.959173058616258</v>
      </c>
      <c r="P103" s="629">
        <v>6</v>
      </c>
      <c r="Q103" s="623">
        <v>22.544280707656604</v>
      </c>
      <c r="R103" s="629">
        <v>18.000000000000004</v>
      </c>
      <c r="S103" s="629">
        <v>558.7195380469193</v>
      </c>
      <c r="T103" s="645">
        <v>34.643340342825773</v>
      </c>
      <c r="U103" s="645">
        <v>83.807930707037897</v>
      </c>
      <c r="V103" s="645">
        <v>47.5</v>
      </c>
      <c r="W103" s="793">
        <v>1.5427112496414603</v>
      </c>
      <c r="X103" s="646">
        <v>0</v>
      </c>
      <c r="Y103" s="646">
        <v>0</v>
      </c>
      <c r="Z103" s="646">
        <v>0</v>
      </c>
      <c r="AA103" s="646">
        <v>0</v>
      </c>
      <c r="AB103" s="647">
        <v>9.9947616661416809</v>
      </c>
      <c r="AC103" s="784">
        <v>4000</v>
      </c>
      <c r="AD103" s="631">
        <v>0.3801987994215823</v>
      </c>
      <c r="AE103" s="631">
        <v>1.19175359259421</v>
      </c>
      <c r="AF103" s="631">
        <v>-0.12201891011004899</v>
      </c>
      <c r="AG103" s="631">
        <v>1.2413996970762275</v>
      </c>
      <c r="AH103" s="629"/>
      <c r="AI103" s="648">
        <v>3.5417606019240768</v>
      </c>
      <c r="AJ103" s="649">
        <v>10.966250546442888</v>
      </c>
      <c r="AK103" s="646">
        <v>102.65575590518299</v>
      </c>
      <c r="AL103" s="646">
        <v>0</v>
      </c>
      <c r="AM103" s="646">
        <v>0</v>
      </c>
      <c r="AN103" s="646">
        <v>26.334303905089815</v>
      </c>
      <c r="AO103" s="646">
        <v>10.060391304157294</v>
      </c>
      <c r="AP103" s="801">
        <v>3600</v>
      </c>
      <c r="AQ103" s="563" t="s">
        <v>71</v>
      </c>
      <c r="AR103" s="563">
        <v>4</v>
      </c>
      <c r="AS103" s="563">
        <v>0</v>
      </c>
      <c r="AT103" s="563">
        <v>0</v>
      </c>
      <c r="AU103" s="563">
        <v>0</v>
      </c>
      <c r="AV103" s="650">
        <v>13881.990520124988</v>
      </c>
      <c r="AW103" s="563">
        <v>0</v>
      </c>
      <c r="AX103" s="563">
        <v>0</v>
      </c>
      <c r="AY103" s="563">
        <v>0</v>
      </c>
      <c r="AZ103" s="650">
        <v>19055.647289539495</v>
      </c>
      <c r="BA103" s="564">
        <v>4000</v>
      </c>
      <c r="BB103" s="565">
        <v>201.06192982974673</v>
      </c>
      <c r="BC103" s="649">
        <v>10.966250546442888</v>
      </c>
      <c r="BD103" s="646">
        <v>102.65575590518299</v>
      </c>
      <c r="BE103" s="646">
        <v>0</v>
      </c>
      <c r="BF103" s="646">
        <v>0</v>
      </c>
      <c r="BG103" s="646">
        <v>26.334303905089815</v>
      </c>
      <c r="BH103" s="646">
        <v>10.060391304157294</v>
      </c>
      <c r="BI103" s="646">
        <v>3600</v>
      </c>
      <c r="BJ103" s="563" t="s">
        <v>71</v>
      </c>
      <c r="BK103" s="563">
        <v>4</v>
      </c>
      <c r="BL103" s="563">
        <v>0</v>
      </c>
      <c r="BM103" s="563">
        <v>0</v>
      </c>
      <c r="BN103" s="563">
        <v>0</v>
      </c>
      <c r="BO103" s="650">
        <v>13881.990520124988</v>
      </c>
      <c r="BP103" s="563">
        <v>0</v>
      </c>
      <c r="BQ103" s="563">
        <v>0</v>
      </c>
      <c r="BR103" s="563">
        <v>0</v>
      </c>
      <c r="BS103" s="650">
        <v>19055.647289539495</v>
      </c>
      <c r="BT103" s="564">
        <v>4000</v>
      </c>
      <c r="BU103" s="565">
        <v>201.06192982974673</v>
      </c>
      <c r="BV103" s="649">
        <v>10.966250546442888</v>
      </c>
      <c r="BW103" s="646">
        <v>102.65575590518299</v>
      </c>
      <c r="BX103" s="646">
        <v>0</v>
      </c>
      <c r="BY103" s="646">
        <v>0</v>
      </c>
      <c r="BZ103" s="646">
        <v>26.334303905089815</v>
      </c>
      <c r="CA103" s="646">
        <v>10.060391304157294</v>
      </c>
      <c r="CB103" s="646">
        <v>3600</v>
      </c>
      <c r="CC103" s="563" t="s">
        <v>1584</v>
      </c>
      <c r="CD103" s="563">
        <v>4</v>
      </c>
      <c r="CE103" s="563">
        <v>0</v>
      </c>
      <c r="CF103" s="563">
        <v>0</v>
      </c>
      <c r="CG103" s="563">
        <v>0</v>
      </c>
      <c r="CH103" s="650">
        <v>13601.517355383785</v>
      </c>
      <c r="CI103" s="563">
        <v>0</v>
      </c>
      <c r="CJ103" s="563">
        <v>0</v>
      </c>
      <c r="CK103" s="563">
        <v>0</v>
      </c>
      <c r="CL103" s="650">
        <v>18670.645031128421</v>
      </c>
      <c r="CM103" s="564">
        <v>4000</v>
      </c>
      <c r="CN103" s="565">
        <v>201.06192982974673</v>
      </c>
      <c r="CO103" s="649">
        <v>10.966250546442888</v>
      </c>
      <c r="CP103" s="646">
        <v>102.65575590518299</v>
      </c>
      <c r="CQ103" s="646">
        <v>0</v>
      </c>
      <c r="CR103" s="646">
        <v>0</v>
      </c>
      <c r="CS103" s="646">
        <v>26.334303905089815</v>
      </c>
      <c r="CT103" s="646">
        <v>10.060391304157294</v>
      </c>
      <c r="CU103" s="646">
        <v>3600</v>
      </c>
      <c r="CV103" s="563" t="s">
        <v>1584</v>
      </c>
      <c r="CW103" s="563">
        <v>4</v>
      </c>
      <c r="CX103" s="563">
        <v>0</v>
      </c>
      <c r="CY103" s="563">
        <v>0</v>
      </c>
      <c r="CZ103" s="563">
        <v>0</v>
      </c>
      <c r="DA103" s="650">
        <v>13601.517355383785</v>
      </c>
      <c r="DB103" s="563">
        <v>0</v>
      </c>
      <c r="DC103" s="563">
        <v>0</v>
      </c>
      <c r="DD103" s="563">
        <v>0</v>
      </c>
      <c r="DE103" s="650">
        <v>18670.645031128421</v>
      </c>
      <c r="DF103" s="564">
        <v>4000</v>
      </c>
      <c r="DG103" s="565">
        <v>201.06192982974673</v>
      </c>
      <c r="DH103" s="649">
        <v>10.966250546442888</v>
      </c>
      <c r="DI103" s="646">
        <v>102.65575590518299</v>
      </c>
      <c r="DJ103" s="646">
        <v>0</v>
      </c>
      <c r="DK103" s="646">
        <v>0</v>
      </c>
      <c r="DL103" s="646">
        <v>26.334303905089815</v>
      </c>
      <c r="DM103" s="646">
        <v>10.060391304157294</v>
      </c>
      <c r="DN103" s="646">
        <v>3600</v>
      </c>
      <c r="DO103" s="563" t="s">
        <v>1588</v>
      </c>
      <c r="DP103" s="563">
        <v>4</v>
      </c>
      <c r="DQ103" s="563">
        <v>0</v>
      </c>
      <c r="DR103" s="563">
        <v>0</v>
      </c>
      <c r="DS103" s="563">
        <v>0</v>
      </c>
      <c r="DT103" s="650">
        <v>14156.908109925469</v>
      </c>
      <c r="DU103" s="563">
        <v>0</v>
      </c>
      <c r="DV103" s="563">
        <v>0</v>
      </c>
      <c r="DW103" s="563">
        <v>0</v>
      </c>
      <c r="DX103" s="650">
        <v>19433.023474700665</v>
      </c>
      <c r="DY103" s="564">
        <v>4000</v>
      </c>
      <c r="DZ103" s="565">
        <v>201.06192982974673</v>
      </c>
      <c r="EA103" s="649">
        <v>10.966250546442888</v>
      </c>
      <c r="EB103" s="646">
        <v>102.65575590518299</v>
      </c>
      <c r="EC103" s="646">
        <v>0</v>
      </c>
      <c r="ED103" s="646">
        <v>0</v>
      </c>
      <c r="EE103" s="646">
        <v>26.334303905089815</v>
      </c>
      <c r="EF103" s="646">
        <v>10.060391304157294</v>
      </c>
      <c r="EG103" s="646">
        <v>3600</v>
      </c>
      <c r="EH103" s="563" t="s">
        <v>1588</v>
      </c>
      <c r="EI103" s="563">
        <v>4</v>
      </c>
      <c r="EJ103" s="563">
        <v>0</v>
      </c>
      <c r="EK103" s="563">
        <v>0</v>
      </c>
      <c r="EL103" s="563">
        <v>0</v>
      </c>
      <c r="EM103" s="650">
        <v>14156.908109925469</v>
      </c>
      <c r="EN103" s="563">
        <v>0</v>
      </c>
      <c r="EO103" s="563">
        <v>0</v>
      </c>
      <c r="EP103" s="563">
        <v>0</v>
      </c>
      <c r="EQ103" s="650">
        <v>19433.023474700665</v>
      </c>
      <c r="ER103" s="564">
        <v>4000</v>
      </c>
      <c r="ES103" s="565">
        <v>201.06192982974673</v>
      </c>
      <c r="ET103" s="649">
        <v>10.966250546442888</v>
      </c>
      <c r="EU103" s="646">
        <v>102.65575590518299</v>
      </c>
      <c r="EV103" s="646">
        <v>0</v>
      </c>
      <c r="EW103" s="646">
        <v>0</v>
      </c>
      <c r="EX103" s="646">
        <v>26.334303905089815</v>
      </c>
      <c r="EY103" s="646">
        <v>10.060391304157294</v>
      </c>
      <c r="EZ103" s="646">
        <v>3600</v>
      </c>
      <c r="FA103" s="563" t="s">
        <v>1589</v>
      </c>
      <c r="FB103" s="563">
        <v>4</v>
      </c>
      <c r="FC103" s="563">
        <v>0</v>
      </c>
      <c r="FD103" s="563">
        <v>0</v>
      </c>
      <c r="FE103" s="563">
        <v>0</v>
      </c>
      <c r="FF103" s="650">
        <v>15079.701580104003</v>
      </c>
      <c r="FG103" s="563">
        <v>0</v>
      </c>
      <c r="FH103" s="563">
        <v>0</v>
      </c>
      <c r="FI103" s="563">
        <v>0</v>
      </c>
      <c r="FJ103" s="650">
        <v>20699.731362400176</v>
      </c>
      <c r="FK103" s="564">
        <v>4000</v>
      </c>
      <c r="FL103" s="565">
        <v>201.06192982974673</v>
      </c>
      <c r="FM103" s="649">
        <v>10.966250546442888</v>
      </c>
      <c r="FN103" s="646">
        <v>102.65575590518299</v>
      </c>
      <c r="FO103" s="646">
        <v>0</v>
      </c>
      <c r="FP103" s="646">
        <v>0</v>
      </c>
      <c r="FQ103" s="646">
        <v>26.334303905089815</v>
      </c>
      <c r="FR103" s="646">
        <v>10.060391304157294</v>
      </c>
      <c r="FS103" s="646">
        <v>3600</v>
      </c>
      <c r="FT103" s="563" t="s">
        <v>1589</v>
      </c>
      <c r="FU103" s="563">
        <v>4</v>
      </c>
      <c r="FV103" s="563">
        <v>0</v>
      </c>
      <c r="FW103" s="563">
        <v>0</v>
      </c>
      <c r="FX103" s="563">
        <v>0</v>
      </c>
      <c r="FY103" s="650">
        <v>15079.701580104003</v>
      </c>
      <c r="FZ103" s="563">
        <v>0</v>
      </c>
      <c r="GA103" s="563">
        <v>0</v>
      </c>
      <c r="GB103" s="563">
        <v>0</v>
      </c>
      <c r="GC103" s="650">
        <v>20699.731362400176</v>
      </c>
      <c r="GD103" s="564">
        <v>4000</v>
      </c>
      <c r="GE103" s="565">
        <v>201.06192982974673</v>
      </c>
      <c r="GF103" s="649">
        <v>10.966250546442888</v>
      </c>
      <c r="GG103" s="646">
        <v>102.65575590518299</v>
      </c>
      <c r="GH103" s="646">
        <v>0</v>
      </c>
      <c r="GI103" s="646">
        <v>0</v>
      </c>
      <c r="GJ103" s="646">
        <v>26.334303905089815</v>
      </c>
      <c r="GK103" s="646">
        <v>10.060391304157294</v>
      </c>
      <c r="GL103" s="646">
        <v>3600</v>
      </c>
      <c r="GM103" s="563" t="s">
        <v>1587</v>
      </c>
      <c r="GN103" s="563">
        <v>4</v>
      </c>
      <c r="GO103" s="563">
        <v>0</v>
      </c>
      <c r="GP103" s="563">
        <v>0</v>
      </c>
      <c r="GQ103" s="563">
        <v>0</v>
      </c>
      <c r="GR103" s="650">
        <v>18624.644679604276</v>
      </c>
      <c r="GS103" s="563">
        <v>0</v>
      </c>
      <c r="GT103" s="563">
        <v>0</v>
      </c>
      <c r="GU103" s="563">
        <v>0</v>
      </c>
      <c r="GV103" s="650">
        <v>25565.833616801945</v>
      </c>
      <c r="GW103" s="564">
        <v>4000</v>
      </c>
      <c r="GX103" s="565">
        <v>201.06192982974673</v>
      </c>
      <c r="GY103" s="649">
        <v>10.966250546442888</v>
      </c>
      <c r="GZ103" s="646">
        <v>102.65575590518299</v>
      </c>
      <c r="HA103" s="646">
        <v>0</v>
      </c>
      <c r="HB103" s="646">
        <v>0</v>
      </c>
      <c r="HC103" s="646">
        <v>26.334303905089815</v>
      </c>
      <c r="HD103" s="646">
        <v>10.060391304157294</v>
      </c>
      <c r="HE103" s="646">
        <v>3600</v>
      </c>
      <c r="HF103" s="563" t="s">
        <v>1587</v>
      </c>
      <c r="HG103" s="563">
        <v>4</v>
      </c>
      <c r="HH103" s="563">
        <v>0</v>
      </c>
      <c r="HI103" s="563">
        <v>0</v>
      </c>
      <c r="HJ103" s="563">
        <v>0</v>
      </c>
      <c r="HK103" s="650">
        <v>18624.644679604276</v>
      </c>
      <c r="HL103" s="563">
        <v>0</v>
      </c>
      <c r="HM103" s="563">
        <v>0</v>
      </c>
      <c r="HN103" s="563">
        <v>0</v>
      </c>
      <c r="HO103" s="650">
        <v>25565.833616801945</v>
      </c>
      <c r="HP103" s="564">
        <v>4000</v>
      </c>
      <c r="HQ103" s="565">
        <v>201.06192982974673</v>
      </c>
      <c r="HR103" s="649">
        <v>10.966250546442888</v>
      </c>
      <c r="HS103" s="646">
        <v>102.65575590518299</v>
      </c>
      <c r="HT103" s="646">
        <v>0</v>
      </c>
      <c r="HU103" s="646">
        <v>0</v>
      </c>
      <c r="HV103" s="646">
        <v>26.334303905089815</v>
      </c>
      <c r="HW103" s="646">
        <v>10.060391304157294</v>
      </c>
      <c r="HX103" s="646">
        <v>3600</v>
      </c>
      <c r="HY103" s="563" t="s">
        <v>68</v>
      </c>
      <c r="HZ103" s="563">
        <v>4</v>
      </c>
      <c r="IA103" s="563">
        <v>0</v>
      </c>
      <c r="IB103" s="563">
        <v>0</v>
      </c>
      <c r="IC103" s="563">
        <v>0</v>
      </c>
      <c r="ID103" s="650">
        <v>16425.392693058391</v>
      </c>
      <c r="IE103" s="563">
        <v>0</v>
      </c>
      <c r="IF103" s="563">
        <v>0</v>
      </c>
      <c r="IG103" s="563">
        <v>0</v>
      </c>
      <c r="IH103" s="650">
        <v>22546.945936704313</v>
      </c>
      <c r="II103" s="564">
        <v>4000</v>
      </c>
      <c r="IJ103" s="565">
        <v>201.06192982974673</v>
      </c>
      <c r="IK103" s="649">
        <v>10.966250546442888</v>
      </c>
      <c r="IL103" s="646">
        <v>102.65575590518299</v>
      </c>
      <c r="IM103" s="646">
        <v>0</v>
      </c>
      <c r="IN103" s="646">
        <v>0</v>
      </c>
      <c r="IO103" s="646">
        <v>26.334303905089815</v>
      </c>
      <c r="IP103" s="646">
        <v>10.060391304157294</v>
      </c>
      <c r="IQ103" s="646">
        <v>3600</v>
      </c>
      <c r="IR103" s="563" t="s">
        <v>68</v>
      </c>
      <c r="IS103" s="563">
        <v>4</v>
      </c>
      <c r="IT103" s="563">
        <v>0</v>
      </c>
      <c r="IU103" s="563">
        <v>0</v>
      </c>
      <c r="IV103" s="563">
        <v>0</v>
      </c>
      <c r="IW103" s="650">
        <v>16425.392693058391</v>
      </c>
      <c r="IX103" s="563">
        <v>0</v>
      </c>
      <c r="IY103" s="563">
        <v>0</v>
      </c>
      <c r="IZ103" s="563">
        <v>0</v>
      </c>
      <c r="JA103" s="650">
        <v>22546.945936704313</v>
      </c>
      <c r="JB103" s="564">
        <v>4000</v>
      </c>
      <c r="JC103" s="565">
        <v>201.06192982974673</v>
      </c>
      <c r="JD103" s="649">
        <v>10.966250546442888</v>
      </c>
      <c r="JE103" s="646">
        <v>102.65575590518299</v>
      </c>
      <c r="JF103" s="646">
        <v>0</v>
      </c>
      <c r="JG103" s="646">
        <v>0</v>
      </c>
      <c r="JH103" s="646">
        <v>26.334303905089815</v>
      </c>
      <c r="JI103" s="646">
        <v>10.060391304157294</v>
      </c>
      <c r="JJ103" s="646">
        <v>3600</v>
      </c>
      <c r="JK103" s="563" t="s">
        <v>67</v>
      </c>
      <c r="JL103" s="563">
        <v>4</v>
      </c>
      <c r="JM103" s="563">
        <v>0</v>
      </c>
      <c r="JN103" s="563">
        <v>0</v>
      </c>
      <c r="JO103" s="563">
        <v>0</v>
      </c>
      <c r="JP103" s="650">
        <v>22384.037126536943</v>
      </c>
      <c r="JQ103" s="563">
        <v>0</v>
      </c>
      <c r="JR103" s="563">
        <v>0</v>
      </c>
      <c r="JS103" s="563">
        <v>0</v>
      </c>
      <c r="JT103" s="650">
        <v>30726.308001786801</v>
      </c>
      <c r="JU103" s="564">
        <v>4000</v>
      </c>
      <c r="JV103" s="565">
        <v>201.06192982974673</v>
      </c>
      <c r="JW103" s="649">
        <v>10.966250546442888</v>
      </c>
      <c r="JX103" s="646">
        <v>102.65575590518299</v>
      </c>
      <c r="JY103" s="646">
        <v>0</v>
      </c>
      <c r="JZ103" s="646">
        <v>0</v>
      </c>
      <c r="KA103" s="646">
        <v>26.334303905089815</v>
      </c>
      <c r="KB103" s="646">
        <v>10.060391304157294</v>
      </c>
      <c r="KC103" s="646">
        <v>3600</v>
      </c>
      <c r="KD103" s="563" t="s">
        <v>67</v>
      </c>
      <c r="KE103" s="563">
        <v>4</v>
      </c>
      <c r="KF103" s="563">
        <v>0</v>
      </c>
      <c r="KG103" s="563">
        <v>0</v>
      </c>
      <c r="KH103" s="563">
        <v>0</v>
      </c>
      <c r="KI103" s="650">
        <v>22384.037126536943</v>
      </c>
      <c r="KJ103" s="563">
        <v>0</v>
      </c>
      <c r="KK103" s="563">
        <v>0</v>
      </c>
      <c r="KL103" s="563">
        <v>0</v>
      </c>
      <c r="KM103" s="650">
        <v>30726.308001786801</v>
      </c>
      <c r="KN103" s="564">
        <v>4000</v>
      </c>
      <c r="KO103" s="566">
        <v>201.06192982974673</v>
      </c>
    </row>
    <row r="104" spans="1:301" s="768" customFormat="1" ht="13.5">
      <c r="A104" s="802" t="s">
        <v>1194</v>
      </c>
      <c r="B104" s="629" t="s">
        <v>382</v>
      </c>
      <c r="C104" s="629">
        <v>493.77019812656329</v>
      </c>
      <c r="D104" s="629">
        <v>902.66455597486822</v>
      </c>
      <c r="E104" s="629">
        <v>500</v>
      </c>
      <c r="F104" s="629">
        <v>399.35160089210405</v>
      </c>
      <c r="G104" s="629">
        <v>245.62209388218321</v>
      </c>
      <c r="H104" s="629">
        <v>205.27314943952703</v>
      </c>
      <c r="I104" s="629">
        <v>172.9510416124148</v>
      </c>
      <c r="J104" s="629">
        <v>28.400185354789979</v>
      </c>
      <c r="K104" s="629">
        <v>40.077778413539846</v>
      </c>
      <c r="L104" s="629">
        <v>15</v>
      </c>
      <c r="M104" s="629">
        <v>372.75284796369067</v>
      </c>
      <c r="N104" s="629">
        <v>6</v>
      </c>
      <c r="O104" s="623">
        <v>20.893346871676101</v>
      </c>
      <c r="P104" s="629">
        <v>6</v>
      </c>
      <c r="Q104" s="623">
        <v>14.46366713042411</v>
      </c>
      <c r="R104" s="629">
        <v>18.000000000000004</v>
      </c>
      <c r="S104" s="629">
        <v>651.00807843348605</v>
      </c>
      <c r="T104" s="645">
        <v>47.033229345770842</v>
      </c>
      <c r="U104" s="645">
        <v>97.651211765022907</v>
      </c>
      <c r="V104" s="645">
        <v>97.5</v>
      </c>
      <c r="W104" s="793">
        <v>4.2991311198868658</v>
      </c>
      <c r="X104" s="646">
        <v>0</v>
      </c>
      <c r="Y104" s="646">
        <v>0</v>
      </c>
      <c r="Z104" s="646">
        <v>0</v>
      </c>
      <c r="AA104" s="646">
        <v>0</v>
      </c>
      <c r="AB104" s="647">
        <v>36.951880942693762</v>
      </c>
      <c r="AC104" s="784">
        <v>4000</v>
      </c>
      <c r="AD104" s="631">
        <v>0.54061360440209627</v>
      </c>
      <c r="AE104" s="631">
        <v>0.54070216380858971</v>
      </c>
      <c r="AF104" s="631">
        <v>-0.41194906032923106</v>
      </c>
      <c r="AG104" s="631">
        <v>0.92637259799265537</v>
      </c>
      <c r="AH104" s="629"/>
      <c r="AI104" s="648">
        <v>4.2915679339957675</v>
      </c>
      <c r="AJ104" s="649">
        <v>41.502207502855839</v>
      </c>
      <c r="AK104" s="646">
        <v>136.70964543966008</v>
      </c>
      <c r="AL104" s="646">
        <v>2.0620012895555275</v>
      </c>
      <c r="AM104" s="646">
        <v>6.4560621794907966</v>
      </c>
      <c r="AN104" s="646">
        <v>73.108874653975718</v>
      </c>
      <c r="AO104" s="646">
        <v>14.305950171348094</v>
      </c>
      <c r="AP104" s="801">
        <v>3600</v>
      </c>
      <c r="AQ104" s="563" t="s">
        <v>71</v>
      </c>
      <c r="AR104" s="563">
        <v>5</v>
      </c>
      <c r="AS104" s="563">
        <v>1</v>
      </c>
      <c r="AT104" s="563">
        <v>8</v>
      </c>
      <c r="AU104" s="563">
        <v>44.322834809094019</v>
      </c>
      <c r="AV104" s="650">
        <v>4374.9826469964073</v>
      </c>
      <c r="AW104" s="563">
        <v>1</v>
      </c>
      <c r="AX104" s="563">
        <v>10</v>
      </c>
      <c r="AY104" s="563">
        <v>59.997078977480221</v>
      </c>
      <c r="AZ104" s="650">
        <v>3821.3050941365073</v>
      </c>
      <c r="BA104" s="564">
        <v>3821.3050941365073</v>
      </c>
      <c r="BB104" s="565">
        <v>180.6078926942067</v>
      </c>
      <c r="BC104" s="649">
        <v>41.502207502855839</v>
      </c>
      <c r="BD104" s="646">
        <v>136.70964543966008</v>
      </c>
      <c r="BE104" s="646">
        <v>2.0620012895555275</v>
      </c>
      <c r="BF104" s="646">
        <v>6.4560621794907966</v>
      </c>
      <c r="BG104" s="646">
        <v>73.108874653975718</v>
      </c>
      <c r="BH104" s="646">
        <v>14.305950171348094</v>
      </c>
      <c r="BI104" s="646">
        <v>3600</v>
      </c>
      <c r="BJ104" s="563" t="s">
        <v>71</v>
      </c>
      <c r="BK104" s="563">
        <v>5</v>
      </c>
      <c r="BL104" s="563">
        <v>1</v>
      </c>
      <c r="BM104" s="563">
        <v>8</v>
      </c>
      <c r="BN104" s="563">
        <v>44.322834809094019</v>
      </c>
      <c r="BO104" s="650">
        <v>4374.9826469964073</v>
      </c>
      <c r="BP104" s="563">
        <v>1</v>
      </c>
      <c r="BQ104" s="563">
        <v>10</v>
      </c>
      <c r="BR104" s="563">
        <v>59.997078977480221</v>
      </c>
      <c r="BS104" s="650">
        <v>3821.3050941365073</v>
      </c>
      <c r="BT104" s="564">
        <v>3821.3050941365073</v>
      </c>
      <c r="BU104" s="565">
        <v>180.6078926942067</v>
      </c>
      <c r="BV104" s="649">
        <v>41.502207502855839</v>
      </c>
      <c r="BW104" s="646">
        <v>138.00085787555824</v>
      </c>
      <c r="BX104" s="646">
        <v>2.0620012895555275</v>
      </c>
      <c r="BY104" s="646">
        <v>7.7472746153889567</v>
      </c>
      <c r="BZ104" s="646">
        <v>73.233940396346512</v>
      </c>
      <c r="CA104" s="646">
        <v>14.53633091734787</v>
      </c>
      <c r="CB104" s="646">
        <v>3600</v>
      </c>
      <c r="CC104" s="563" t="s">
        <v>1584</v>
      </c>
      <c r="CD104" s="563">
        <v>5</v>
      </c>
      <c r="CE104" s="563">
        <v>1</v>
      </c>
      <c r="CF104" s="563">
        <v>8</v>
      </c>
      <c r="CG104" s="563">
        <v>44.322834809094019</v>
      </c>
      <c r="CH104" s="650">
        <v>4286.5900474688387</v>
      </c>
      <c r="CI104" s="563">
        <v>1</v>
      </c>
      <c r="CJ104" s="563">
        <v>12</v>
      </c>
      <c r="CK104" s="563">
        <v>59.997078977480221</v>
      </c>
      <c r="CL104" s="650">
        <v>3817.9820887647747</v>
      </c>
      <c r="CM104" s="564">
        <v>3817.9820887647747</v>
      </c>
      <c r="CN104" s="565">
        <v>180.45083614341698</v>
      </c>
      <c r="CO104" s="649">
        <v>41.502207502855839</v>
      </c>
      <c r="CP104" s="646">
        <v>138.00085787555824</v>
      </c>
      <c r="CQ104" s="646">
        <v>2.0620012895555275</v>
      </c>
      <c r="CR104" s="646">
        <v>7.7472746153889567</v>
      </c>
      <c r="CS104" s="646">
        <v>73.233940396346512</v>
      </c>
      <c r="CT104" s="646">
        <v>14.53633091734787</v>
      </c>
      <c r="CU104" s="646">
        <v>3600</v>
      </c>
      <c r="CV104" s="563" t="s">
        <v>1584</v>
      </c>
      <c r="CW104" s="563">
        <v>5</v>
      </c>
      <c r="CX104" s="563">
        <v>1</v>
      </c>
      <c r="CY104" s="563">
        <v>8</v>
      </c>
      <c r="CZ104" s="563">
        <v>44.322834809094019</v>
      </c>
      <c r="DA104" s="650">
        <v>4286.5900474688387</v>
      </c>
      <c r="DB104" s="563">
        <v>1</v>
      </c>
      <c r="DC104" s="563">
        <v>12</v>
      </c>
      <c r="DD104" s="563">
        <v>59.997078977480221</v>
      </c>
      <c r="DE104" s="650">
        <v>3817.9820887647747</v>
      </c>
      <c r="DF104" s="564">
        <v>3817.9820887647747</v>
      </c>
      <c r="DG104" s="565">
        <v>180.45083614341698</v>
      </c>
      <c r="DH104" s="649">
        <v>41.502207502855839</v>
      </c>
      <c r="DI104" s="646">
        <v>135.41843300376192</v>
      </c>
      <c r="DJ104" s="646">
        <v>2.0620012895555275</v>
      </c>
      <c r="DK104" s="646">
        <v>5.1648497435926375</v>
      </c>
      <c r="DL104" s="646">
        <v>72.981423912188362</v>
      </c>
      <c r="DM104" s="646">
        <v>14.07556942534832</v>
      </c>
      <c r="DN104" s="646">
        <v>3600</v>
      </c>
      <c r="DO104" s="563" t="s">
        <v>1588</v>
      </c>
      <c r="DP104" s="563">
        <v>5</v>
      </c>
      <c r="DQ104" s="563">
        <v>1</v>
      </c>
      <c r="DR104" s="563">
        <v>8</v>
      </c>
      <c r="DS104" s="563">
        <v>44.322834809094019</v>
      </c>
      <c r="DT104" s="650">
        <v>4461.6243777328991</v>
      </c>
      <c r="DU104" s="563">
        <v>1</v>
      </c>
      <c r="DV104" s="563">
        <v>8</v>
      </c>
      <c r="DW104" s="563">
        <v>59.997078977480221</v>
      </c>
      <c r="DX104" s="650">
        <v>3789.5686557687377</v>
      </c>
      <c r="DY104" s="564">
        <v>3789.5686557687377</v>
      </c>
      <c r="DZ104" s="565">
        <v>179.1079205344287</v>
      </c>
      <c r="EA104" s="649">
        <v>41.502207502855839</v>
      </c>
      <c r="EB104" s="646">
        <v>135.41843300376192</v>
      </c>
      <c r="EC104" s="646">
        <v>2.0620012895555275</v>
      </c>
      <c r="ED104" s="646">
        <v>5.1648497435926375</v>
      </c>
      <c r="EE104" s="646">
        <v>72.981423912188362</v>
      </c>
      <c r="EF104" s="646">
        <v>14.07556942534832</v>
      </c>
      <c r="EG104" s="646">
        <v>3600</v>
      </c>
      <c r="EH104" s="563" t="s">
        <v>1588</v>
      </c>
      <c r="EI104" s="563">
        <v>5</v>
      </c>
      <c r="EJ104" s="563">
        <v>1</v>
      </c>
      <c r="EK104" s="563">
        <v>8</v>
      </c>
      <c r="EL104" s="563">
        <v>44.322834809094019</v>
      </c>
      <c r="EM104" s="650">
        <v>4461.6243777328991</v>
      </c>
      <c r="EN104" s="563">
        <v>1</v>
      </c>
      <c r="EO104" s="563">
        <v>8</v>
      </c>
      <c r="EP104" s="563">
        <v>59.997078977480221</v>
      </c>
      <c r="EQ104" s="650">
        <v>3789.5686557687377</v>
      </c>
      <c r="ER104" s="564">
        <v>3789.5686557687377</v>
      </c>
      <c r="ES104" s="565">
        <v>179.1079205344287</v>
      </c>
      <c r="ET104" s="649">
        <v>66.403532004569342</v>
      </c>
      <c r="EU104" s="646">
        <v>153.09290647232729</v>
      </c>
      <c r="EV104" s="646">
        <v>0</v>
      </c>
      <c r="EW104" s="646">
        <v>0</v>
      </c>
      <c r="EX104" s="646">
        <v>76.95031185949658</v>
      </c>
      <c r="EY104" s="646">
        <v>16.298879729803495</v>
      </c>
      <c r="EZ104" s="646">
        <v>3600</v>
      </c>
      <c r="FA104" s="563" t="s">
        <v>1587</v>
      </c>
      <c r="FB104" s="563">
        <v>8</v>
      </c>
      <c r="FC104" s="563">
        <v>0</v>
      </c>
      <c r="FD104" s="563">
        <v>0</v>
      </c>
      <c r="FE104" s="563">
        <v>0</v>
      </c>
      <c r="FF104" s="650">
        <v>3960.0541348083616</v>
      </c>
      <c r="FG104" s="563">
        <v>0</v>
      </c>
      <c r="FH104" s="563">
        <v>0</v>
      </c>
      <c r="FI104" s="563">
        <v>0</v>
      </c>
      <c r="FJ104" s="650">
        <v>3996.6878165220305</v>
      </c>
      <c r="FK104" s="564">
        <v>3960.0541348083616</v>
      </c>
      <c r="FL104" s="565">
        <v>187.16564488403776</v>
      </c>
      <c r="FM104" s="649">
        <v>66.403532004569342</v>
      </c>
      <c r="FN104" s="646">
        <v>153.09290647232729</v>
      </c>
      <c r="FO104" s="646">
        <v>0</v>
      </c>
      <c r="FP104" s="646">
        <v>0</v>
      </c>
      <c r="FQ104" s="646">
        <v>76.95031185949658</v>
      </c>
      <c r="FR104" s="646">
        <v>16.298879729803495</v>
      </c>
      <c r="FS104" s="646">
        <v>3600</v>
      </c>
      <c r="FT104" s="563" t="s">
        <v>1587</v>
      </c>
      <c r="FU104" s="563">
        <v>8</v>
      </c>
      <c r="FV104" s="563">
        <v>0</v>
      </c>
      <c r="FW104" s="563">
        <v>0</v>
      </c>
      <c r="FX104" s="563">
        <v>0</v>
      </c>
      <c r="FY104" s="650">
        <v>3960.0541348083616</v>
      </c>
      <c r="FZ104" s="563">
        <v>0</v>
      </c>
      <c r="GA104" s="563">
        <v>0</v>
      </c>
      <c r="GB104" s="563">
        <v>0</v>
      </c>
      <c r="GC104" s="650">
        <v>3996.6878165220305</v>
      </c>
      <c r="GD104" s="564">
        <v>3960.0541348083616</v>
      </c>
      <c r="GE104" s="565">
        <v>187.16564488403776</v>
      </c>
      <c r="GF104" s="649">
        <v>66.403532004569342</v>
      </c>
      <c r="GG104" s="646">
        <v>153.09290647232729</v>
      </c>
      <c r="GH104" s="646">
        <v>0</v>
      </c>
      <c r="GI104" s="646">
        <v>0</v>
      </c>
      <c r="GJ104" s="646">
        <v>76.95031185949658</v>
      </c>
      <c r="GK104" s="646">
        <v>16.298879729803495</v>
      </c>
      <c r="GL104" s="646">
        <v>3600</v>
      </c>
      <c r="GM104" s="563" t="s">
        <v>1587</v>
      </c>
      <c r="GN104" s="563">
        <v>8</v>
      </c>
      <c r="GO104" s="563">
        <v>0</v>
      </c>
      <c r="GP104" s="563">
        <v>0</v>
      </c>
      <c r="GQ104" s="563">
        <v>0</v>
      </c>
      <c r="GR104" s="650">
        <v>3960.0541348083616</v>
      </c>
      <c r="GS104" s="563">
        <v>0</v>
      </c>
      <c r="GT104" s="563">
        <v>0</v>
      </c>
      <c r="GU104" s="563">
        <v>0</v>
      </c>
      <c r="GV104" s="650">
        <v>3996.6878165220305</v>
      </c>
      <c r="GW104" s="564">
        <v>3960.0541348083616</v>
      </c>
      <c r="GX104" s="565">
        <v>187.16564488403776</v>
      </c>
      <c r="GY104" s="649">
        <v>66.403532004569342</v>
      </c>
      <c r="GZ104" s="646">
        <v>153.09290647232729</v>
      </c>
      <c r="HA104" s="646">
        <v>0</v>
      </c>
      <c r="HB104" s="646">
        <v>0</v>
      </c>
      <c r="HC104" s="646">
        <v>76.95031185949658</v>
      </c>
      <c r="HD104" s="646">
        <v>16.298879729803495</v>
      </c>
      <c r="HE104" s="646">
        <v>3600</v>
      </c>
      <c r="HF104" s="563" t="s">
        <v>1587</v>
      </c>
      <c r="HG104" s="563">
        <v>8</v>
      </c>
      <c r="HH104" s="563">
        <v>0</v>
      </c>
      <c r="HI104" s="563">
        <v>0</v>
      </c>
      <c r="HJ104" s="563">
        <v>0</v>
      </c>
      <c r="HK104" s="650">
        <v>3960.0541348083616</v>
      </c>
      <c r="HL104" s="563">
        <v>0</v>
      </c>
      <c r="HM104" s="563">
        <v>0</v>
      </c>
      <c r="HN104" s="563">
        <v>0</v>
      </c>
      <c r="HO104" s="650">
        <v>3996.6878165220305</v>
      </c>
      <c r="HP104" s="564">
        <v>3960.0541348083616</v>
      </c>
      <c r="HQ104" s="565">
        <v>187.16564488403776</v>
      </c>
      <c r="HR104" s="649">
        <v>33.201766002284671</v>
      </c>
      <c r="HS104" s="646">
        <v>125.31127874490373</v>
      </c>
      <c r="HT104" s="646">
        <v>1.5465009671666456</v>
      </c>
      <c r="HU104" s="646">
        <v>3.8736373076944783</v>
      </c>
      <c r="HV104" s="646">
        <v>70.756070912965171</v>
      </c>
      <c r="HW104" s="646">
        <v>12.709251788698873</v>
      </c>
      <c r="HX104" s="646">
        <v>3600</v>
      </c>
      <c r="HY104" s="563" t="s">
        <v>68</v>
      </c>
      <c r="HZ104" s="563">
        <v>4</v>
      </c>
      <c r="IA104" s="563">
        <v>1</v>
      </c>
      <c r="IB104" s="563">
        <v>6</v>
      </c>
      <c r="IC104" s="563">
        <v>44.322834809094019</v>
      </c>
      <c r="ID104" s="650">
        <v>4350.3862814490558</v>
      </c>
      <c r="IE104" s="563">
        <v>1</v>
      </c>
      <c r="IF104" s="563">
        <v>6</v>
      </c>
      <c r="IG104" s="563">
        <v>59.997078977480221</v>
      </c>
      <c r="IH104" s="650">
        <v>4221.4548974108047</v>
      </c>
      <c r="II104" s="564">
        <v>4000</v>
      </c>
      <c r="IJ104" s="565">
        <v>189.05362251376926</v>
      </c>
      <c r="IK104" s="649">
        <v>33.201766002284671</v>
      </c>
      <c r="IL104" s="646">
        <v>125.31127874490373</v>
      </c>
      <c r="IM104" s="646">
        <v>1.5465009671666456</v>
      </c>
      <c r="IN104" s="646">
        <v>3.8736373076944783</v>
      </c>
      <c r="IO104" s="646">
        <v>70.756070912965171</v>
      </c>
      <c r="IP104" s="646">
        <v>12.709251788698873</v>
      </c>
      <c r="IQ104" s="646">
        <v>3600</v>
      </c>
      <c r="IR104" s="563" t="s">
        <v>68</v>
      </c>
      <c r="IS104" s="563">
        <v>4</v>
      </c>
      <c r="IT104" s="563">
        <v>1</v>
      </c>
      <c r="IU104" s="563">
        <v>6</v>
      </c>
      <c r="IV104" s="563">
        <v>44.322834809094019</v>
      </c>
      <c r="IW104" s="650">
        <v>4350.3862814490558</v>
      </c>
      <c r="IX104" s="563">
        <v>1</v>
      </c>
      <c r="IY104" s="563">
        <v>6</v>
      </c>
      <c r="IZ104" s="563">
        <v>59.997078977480221</v>
      </c>
      <c r="JA104" s="650">
        <v>4221.4548974108047</v>
      </c>
      <c r="JB104" s="564">
        <v>4000</v>
      </c>
      <c r="JC104" s="565">
        <v>189.05362251376926</v>
      </c>
      <c r="JD104" s="649">
        <v>33.201766002284671</v>
      </c>
      <c r="JE104" s="646">
        <v>125.31127874490373</v>
      </c>
      <c r="JF104" s="646">
        <v>1.5465009671666456</v>
      </c>
      <c r="JG104" s="646">
        <v>3.8736373076944783</v>
      </c>
      <c r="JH104" s="646">
        <v>70.756070912965171</v>
      </c>
      <c r="JI104" s="646">
        <v>12.709251788698873</v>
      </c>
      <c r="JJ104" s="646">
        <v>3600</v>
      </c>
      <c r="JK104" s="563" t="s">
        <v>67</v>
      </c>
      <c r="JL104" s="563">
        <v>4</v>
      </c>
      <c r="JM104" s="563">
        <v>1</v>
      </c>
      <c r="JN104" s="563">
        <v>6</v>
      </c>
      <c r="JO104" s="563">
        <v>44.322834809094019</v>
      </c>
      <c r="JP104" s="650">
        <v>5928.5771645439254</v>
      </c>
      <c r="JQ104" s="563">
        <v>1</v>
      </c>
      <c r="JR104" s="563">
        <v>6</v>
      </c>
      <c r="JS104" s="563">
        <v>59.997078977480221</v>
      </c>
      <c r="JT104" s="650">
        <v>5752.8733052195967</v>
      </c>
      <c r="JU104" s="564">
        <v>4000</v>
      </c>
      <c r="JV104" s="565">
        <v>189.05362251376926</v>
      </c>
      <c r="JW104" s="649">
        <v>33.201766002284671</v>
      </c>
      <c r="JX104" s="646">
        <v>125.31127874490373</v>
      </c>
      <c r="JY104" s="646">
        <v>1.5465009671666456</v>
      </c>
      <c r="JZ104" s="646">
        <v>3.8736373076944783</v>
      </c>
      <c r="KA104" s="646">
        <v>70.756070912965171</v>
      </c>
      <c r="KB104" s="646">
        <v>12.709251788698873</v>
      </c>
      <c r="KC104" s="646">
        <v>3600</v>
      </c>
      <c r="KD104" s="563" t="s">
        <v>67</v>
      </c>
      <c r="KE104" s="563">
        <v>4</v>
      </c>
      <c r="KF104" s="563">
        <v>1</v>
      </c>
      <c r="KG104" s="563">
        <v>6</v>
      </c>
      <c r="KH104" s="563">
        <v>44.322834809094019</v>
      </c>
      <c r="KI104" s="650">
        <v>5928.5771645439254</v>
      </c>
      <c r="KJ104" s="563">
        <v>1</v>
      </c>
      <c r="KK104" s="563">
        <v>6</v>
      </c>
      <c r="KL104" s="563">
        <v>59.997078977480221</v>
      </c>
      <c r="KM104" s="650">
        <v>5752.8733052195967</v>
      </c>
      <c r="KN104" s="564">
        <v>4000</v>
      </c>
      <c r="KO104" s="566">
        <v>189.05362251376926</v>
      </c>
    </row>
    <row r="105" spans="1:301" s="768" customFormat="1" ht="13.5">
      <c r="A105" s="802" t="s">
        <v>1197</v>
      </c>
      <c r="B105" s="629" t="s">
        <v>384</v>
      </c>
      <c r="C105" s="629">
        <v>346.07530818333657</v>
      </c>
      <c r="D105" s="629">
        <v>612.46675632521169</v>
      </c>
      <c r="E105" s="629">
        <v>355</v>
      </c>
      <c r="F105" s="629">
        <v>275.2563626499558</v>
      </c>
      <c r="G105" s="629">
        <v>179.82315057911748</v>
      </c>
      <c r="H105" s="629">
        <v>151.32809937091497</v>
      </c>
      <c r="I105" s="629">
        <v>132.13739193390663</v>
      </c>
      <c r="J105" s="629">
        <v>27.373523877547701</v>
      </c>
      <c r="K105" s="629">
        <v>38.568716490810331</v>
      </c>
      <c r="L105" s="629">
        <v>9</v>
      </c>
      <c r="M105" s="629">
        <v>251.78914386792167</v>
      </c>
      <c r="N105" s="629">
        <v>4</v>
      </c>
      <c r="O105" s="623">
        <v>6.1429466270446431</v>
      </c>
      <c r="P105" s="629">
        <v>4</v>
      </c>
      <c r="Q105" s="623">
        <v>4.3922738282562666</v>
      </c>
      <c r="R105" s="629">
        <v>13.000000000000002</v>
      </c>
      <c r="S105" s="629">
        <v>443.86155948758375</v>
      </c>
      <c r="T105" s="645">
        <v>15.790575547540001</v>
      </c>
      <c r="U105" s="645">
        <v>66.579233923137565</v>
      </c>
      <c r="V105" s="645">
        <v>72.5</v>
      </c>
      <c r="W105" s="793">
        <v>1.4860601747264208</v>
      </c>
      <c r="X105" s="646">
        <v>0</v>
      </c>
      <c r="Y105" s="646">
        <v>0</v>
      </c>
      <c r="Z105" s="646">
        <v>0</v>
      </c>
      <c r="AA105" s="646">
        <v>0</v>
      </c>
      <c r="AB105" s="647">
        <v>8.2798102344902027</v>
      </c>
      <c r="AC105" s="784">
        <v>4000</v>
      </c>
      <c r="AD105" s="631">
        <v>0.78263036343381132</v>
      </c>
      <c r="AE105" s="631">
        <v>0.51776465135453864</v>
      </c>
      <c r="AF105" s="631">
        <v>-0.46720237132895343</v>
      </c>
      <c r="AG105" s="631">
        <v>0.9177350837564493</v>
      </c>
      <c r="AH105" s="629"/>
      <c r="AI105" s="648">
        <v>1.6326906648234023</v>
      </c>
      <c r="AJ105" s="649">
        <v>15.127620398140472</v>
      </c>
      <c r="AK105" s="646">
        <v>42.939476575707801</v>
      </c>
      <c r="AL105" s="646">
        <v>0</v>
      </c>
      <c r="AM105" s="646">
        <v>0</v>
      </c>
      <c r="AN105" s="646">
        <v>52.155047235754978</v>
      </c>
      <c r="AO105" s="646">
        <v>2.0235983716874353</v>
      </c>
      <c r="AP105" s="801">
        <v>3600</v>
      </c>
      <c r="AQ105" s="563" t="s">
        <v>71</v>
      </c>
      <c r="AR105" s="563">
        <v>6</v>
      </c>
      <c r="AS105" s="563">
        <v>0</v>
      </c>
      <c r="AT105" s="563">
        <v>0</v>
      </c>
      <c r="AU105" s="563">
        <v>0</v>
      </c>
      <c r="AV105" s="650">
        <v>4483.0917880082725</v>
      </c>
      <c r="AW105" s="563">
        <v>0</v>
      </c>
      <c r="AX105" s="563">
        <v>0</v>
      </c>
      <c r="AY105" s="563">
        <v>0</v>
      </c>
      <c r="AZ105" s="650">
        <v>4451.60084466848</v>
      </c>
      <c r="BA105" s="564">
        <v>4000</v>
      </c>
      <c r="BB105" s="565">
        <v>128.27473748261701</v>
      </c>
      <c r="BC105" s="649">
        <v>15.127620398140472</v>
      </c>
      <c r="BD105" s="646">
        <v>42.939476575707801</v>
      </c>
      <c r="BE105" s="646">
        <v>0</v>
      </c>
      <c r="BF105" s="646">
        <v>0</v>
      </c>
      <c r="BG105" s="646">
        <v>52.155047235754978</v>
      </c>
      <c r="BH105" s="646">
        <v>2.0235983716874353</v>
      </c>
      <c r="BI105" s="646">
        <v>3600</v>
      </c>
      <c r="BJ105" s="563" t="s">
        <v>71</v>
      </c>
      <c r="BK105" s="563">
        <v>6</v>
      </c>
      <c r="BL105" s="563">
        <v>0</v>
      </c>
      <c r="BM105" s="563">
        <v>0</v>
      </c>
      <c r="BN105" s="563">
        <v>0</v>
      </c>
      <c r="BO105" s="650">
        <v>4483.0917880082725</v>
      </c>
      <c r="BP105" s="563">
        <v>0</v>
      </c>
      <c r="BQ105" s="563">
        <v>0</v>
      </c>
      <c r="BR105" s="563">
        <v>0</v>
      </c>
      <c r="BS105" s="650">
        <v>4451.60084466848</v>
      </c>
      <c r="BT105" s="564">
        <v>4000</v>
      </c>
      <c r="BU105" s="565">
        <v>128.27473748261701</v>
      </c>
      <c r="BV105" s="649">
        <v>15.127620398140472</v>
      </c>
      <c r="BW105" s="646">
        <v>42.939476575707801</v>
      </c>
      <c r="BX105" s="646">
        <v>0</v>
      </c>
      <c r="BY105" s="646">
        <v>0</v>
      </c>
      <c r="BZ105" s="646">
        <v>52.155047235754978</v>
      </c>
      <c r="CA105" s="646">
        <v>2.0235983716874353</v>
      </c>
      <c r="CB105" s="646">
        <v>3600</v>
      </c>
      <c r="CC105" s="563" t="s">
        <v>1584</v>
      </c>
      <c r="CD105" s="563">
        <v>6</v>
      </c>
      <c r="CE105" s="563">
        <v>0</v>
      </c>
      <c r="CF105" s="563">
        <v>0</v>
      </c>
      <c r="CG105" s="563">
        <v>0</v>
      </c>
      <c r="CH105" s="650">
        <v>4392.5149402727047</v>
      </c>
      <c r="CI105" s="563">
        <v>0</v>
      </c>
      <c r="CJ105" s="563">
        <v>0</v>
      </c>
      <c r="CK105" s="563">
        <v>0</v>
      </c>
      <c r="CL105" s="650">
        <v>4361.660243192151</v>
      </c>
      <c r="CM105" s="564">
        <v>4000</v>
      </c>
      <c r="CN105" s="565">
        <v>128.27473748261701</v>
      </c>
      <c r="CO105" s="649">
        <v>15.127620398140472</v>
      </c>
      <c r="CP105" s="646">
        <v>42.939476575707801</v>
      </c>
      <c r="CQ105" s="646">
        <v>0</v>
      </c>
      <c r="CR105" s="646">
        <v>0</v>
      </c>
      <c r="CS105" s="646">
        <v>52.155047235754978</v>
      </c>
      <c r="CT105" s="646">
        <v>2.0235983716874353</v>
      </c>
      <c r="CU105" s="646">
        <v>3600</v>
      </c>
      <c r="CV105" s="563" t="s">
        <v>1584</v>
      </c>
      <c r="CW105" s="563">
        <v>6</v>
      </c>
      <c r="CX105" s="563">
        <v>0</v>
      </c>
      <c r="CY105" s="563">
        <v>0</v>
      </c>
      <c r="CZ105" s="563">
        <v>0</v>
      </c>
      <c r="DA105" s="650">
        <v>4392.5149402727047</v>
      </c>
      <c r="DB105" s="563">
        <v>0</v>
      </c>
      <c r="DC105" s="563">
        <v>0</v>
      </c>
      <c r="DD105" s="563">
        <v>0</v>
      </c>
      <c r="DE105" s="650">
        <v>4361.660243192151</v>
      </c>
      <c r="DF105" s="564">
        <v>4000</v>
      </c>
      <c r="DG105" s="565">
        <v>128.27473748261701</v>
      </c>
      <c r="DH105" s="649">
        <v>15.127620398140472</v>
      </c>
      <c r="DI105" s="646">
        <v>42.939476575707801</v>
      </c>
      <c r="DJ105" s="646">
        <v>0</v>
      </c>
      <c r="DK105" s="646">
        <v>0</v>
      </c>
      <c r="DL105" s="646">
        <v>52.155047235754978</v>
      </c>
      <c r="DM105" s="646">
        <v>2.0235983716874353</v>
      </c>
      <c r="DN105" s="646">
        <v>3600</v>
      </c>
      <c r="DO105" s="563" t="s">
        <v>1588</v>
      </c>
      <c r="DP105" s="563">
        <v>6</v>
      </c>
      <c r="DQ105" s="563">
        <v>0</v>
      </c>
      <c r="DR105" s="563">
        <v>0</v>
      </c>
      <c r="DS105" s="563">
        <v>0</v>
      </c>
      <c r="DT105" s="650">
        <v>4571.8745016563498</v>
      </c>
      <c r="DU105" s="563">
        <v>0</v>
      </c>
      <c r="DV105" s="563">
        <v>0</v>
      </c>
      <c r="DW105" s="563">
        <v>0</v>
      </c>
      <c r="DX105" s="650">
        <v>4539.7599147381434</v>
      </c>
      <c r="DY105" s="564">
        <v>4000</v>
      </c>
      <c r="DZ105" s="565">
        <v>128.27473748261701</v>
      </c>
      <c r="EA105" s="649">
        <v>15.127620398140472</v>
      </c>
      <c r="EB105" s="646">
        <v>42.939476575707801</v>
      </c>
      <c r="EC105" s="646">
        <v>0</v>
      </c>
      <c r="ED105" s="646">
        <v>0</v>
      </c>
      <c r="EE105" s="646">
        <v>52.155047235754978</v>
      </c>
      <c r="EF105" s="646">
        <v>2.0235983716874353</v>
      </c>
      <c r="EG105" s="646">
        <v>3600</v>
      </c>
      <c r="EH105" s="563" t="s">
        <v>1588</v>
      </c>
      <c r="EI105" s="563">
        <v>6</v>
      </c>
      <c r="EJ105" s="563">
        <v>0</v>
      </c>
      <c r="EK105" s="563">
        <v>0</v>
      </c>
      <c r="EL105" s="563">
        <v>0</v>
      </c>
      <c r="EM105" s="650">
        <v>4571.8745016563498</v>
      </c>
      <c r="EN105" s="563">
        <v>0</v>
      </c>
      <c r="EO105" s="563">
        <v>0</v>
      </c>
      <c r="EP105" s="563">
        <v>0</v>
      </c>
      <c r="EQ105" s="650">
        <v>4539.7599147381434</v>
      </c>
      <c r="ER105" s="564">
        <v>4000</v>
      </c>
      <c r="ES105" s="565">
        <v>128.27473748261701</v>
      </c>
      <c r="ET105" s="649">
        <v>15.127620398140472</v>
      </c>
      <c r="EU105" s="646">
        <v>42.939476575707801</v>
      </c>
      <c r="EV105" s="646">
        <v>0</v>
      </c>
      <c r="EW105" s="646">
        <v>0</v>
      </c>
      <c r="EX105" s="646">
        <v>52.155047235754978</v>
      </c>
      <c r="EY105" s="646">
        <v>2.0235983716874353</v>
      </c>
      <c r="EZ105" s="646">
        <v>3600</v>
      </c>
      <c r="FA105" s="563" t="s">
        <v>1589</v>
      </c>
      <c r="FB105" s="563">
        <v>6</v>
      </c>
      <c r="FC105" s="563">
        <v>0</v>
      </c>
      <c r="FD105" s="563">
        <v>0</v>
      </c>
      <c r="FE105" s="563">
        <v>0</v>
      </c>
      <c r="FF105" s="650">
        <v>4869.8842015036153</v>
      </c>
      <c r="FG105" s="563">
        <v>0</v>
      </c>
      <c r="FH105" s="563">
        <v>0</v>
      </c>
      <c r="FI105" s="563">
        <v>0</v>
      </c>
      <c r="FJ105" s="650">
        <v>4835.676281007517</v>
      </c>
      <c r="FK105" s="564">
        <v>4000</v>
      </c>
      <c r="FL105" s="565">
        <v>128.27473748261701</v>
      </c>
      <c r="FM105" s="649">
        <v>15.127620398140472</v>
      </c>
      <c r="FN105" s="646">
        <v>42.939476575707801</v>
      </c>
      <c r="FO105" s="646">
        <v>0</v>
      </c>
      <c r="FP105" s="646">
        <v>0</v>
      </c>
      <c r="FQ105" s="646">
        <v>52.155047235754978</v>
      </c>
      <c r="FR105" s="646">
        <v>2.0235983716874353</v>
      </c>
      <c r="FS105" s="646">
        <v>3600</v>
      </c>
      <c r="FT105" s="563" t="s">
        <v>1589</v>
      </c>
      <c r="FU105" s="563">
        <v>6</v>
      </c>
      <c r="FV105" s="563">
        <v>0</v>
      </c>
      <c r="FW105" s="563">
        <v>0</v>
      </c>
      <c r="FX105" s="563">
        <v>0</v>
      </c>
      <c r="FY105" s="650">
        <v>4869.8842015036153</v>
      </c>
      <c r="FZ105" s="563">
        <v>0</v>
      </c>
      <c r="GA105" s="563">
        <v>0</v>
      </c>
      <c r="GB105" s="563">
        <v>0</v>
      </c>
      <c r="GC105" s="650">
        <v>4835.676281007517</v>
      </c>
      <c r="GD105" s="564">
        <v>4000</v>
      </c>
      <c r="GE105" s="565">
        <v>128.27473748261701</v>
      </c>
      <c r="GF105" s="649">
        <v>12.606350331783727</v>
      </c>
      <c r="GG105" s="646">
        <v>40.418206509351059</v>
      </c>
      <c r="GH105" s="646">
        <v>0</v>
      </c>
      <c r="GI105" s="646">
        <v>0</v>
      </c>
      <c r="GJ105" s="646">
        <v>50.688565932270386</v>
      </c>
      <c r="GK105" s="646">
        <v>1.8676314561443079</v>
      </c>
      <c r="GL105" s="646">
        <v>3600</v>
      </c>
      <c r="GM105" s="563" t="s">
        <v>1587</v>
      </c>
      <c r="GN105" s="563">
        <v>5</v>
      </c>
      <c r="GO105" s="563">
        <v>0</v>
      </c>
      <c r="GP105" s="563">
        <v>0</v>
      </c>
      <c r="GQ105" s="563">
        <v>0</v>
      </c>
      <c r="GR105" s="650">
        <v>4695.1999416876688</v>
      </c>
      <c r="GS105" s="563">
        <v>0</v>
      </c>
      <c r="GT105" s="563">
        <v>0</v>
      </c>
      <c r="GU105" s="563">
        <v>0</v>
      </c>
      <c r="GV105" s="650">
        <v>4463.6441539376565</v>
      </c>
      <c r="GW105" s="564">
        <v>4000</v>
      </c>
      <c r="GX105" s="565">
        <v>128.27473748261701</v>
      </c>
      <c r="GY105" s="649">
        <v>12.606350331783727</v>
      </c>
      <c r="GZ105" s="646">
        <v>40.418206509351059</v>
      </c>
      <c r="HA105" s="646">
        <v>0</v>
      </c>
      <c r="HB105" s="646">
        <v>0</v>
      </c>
      <c r="HC105" s="646">
        <v>50.688565932270386</v>
      </c>
      <c r="HD105" s="646">
        <v>1.8676314561443079</v>
      </c>
      <c r="HE105" s="646">
        <v>3600</v>
      </c>
      <c r="HF105" s="563" t="s">
        <v>1587</v>
      </c>
      <c r="HG105" s="563">
        <v>5</v>
      </c>
      <c r="HH105" s="563">
        <v>0</v>
      </c>
      <c r="HI105" s="563">
        <v>0</v>
      </c>
      <c r="HJ105" s="563">
        <v>0</v>
      </c>
      <c r="HK105" s="650">
        <v>4695.1999416876688</v>
      </c>
      <c r="HL105" s="563">
        <v>0</v>
      </c>
      <c r="HM105" s="563">
        <v>0</v>
      </c>
      <c r="HN105" s="563">
        <v>0</v>
      </c>
      <c r="HO105" s="650">
        <v>4463.6441539376565</v>
      </c>
      <c r="HP105" s="564">
        <v>4000</v>
      </c>
      <c r="HQ105" s="565">
        <v>128.27473748261701</v>
      </c>
      <c r="HR105" s="649">
        <v>12.606350331783727</v>
      </c>
      <c r="HS105" s="646">
        <v>40.418206509351059</v>
      </c>
      <c r="HT105" s="646">
        <v>0</v>
      </c>
      <c r="HU105" s="646">
        <v>0</v>
      </c>
      <c r="HV105" s="646">
        <v>50.688565932270386</v>
      </c>
      <c r="HW105" s="646">
        <v>1.8676314561443079</v>
      </c>
      <c r="HX105" s="646">
        <v>3600</v>
      </c>
      <c r="HY105" s="563" t="s">
        <v>68</v>
      </c>
      <c r="HZ105" s="563">
        <v>5</v>
      </c>
      <c r="IA105" s="563">
        <v>0</v>
      </c>
      <c r="IB105" s="563">
        <v>0</v>
      </c>
      <c r="IC105" s="563">
        <v>0</v>
      </c>
      <c r="ID105" s="650">
        <v>4140.7771338101802</v>
      </c>
      <c r="IE105" s="563">
        <v>0</v>
      </c>
      <c r="IF105" s="563">
        <v>0</v>
      </c>
      <c r="IG105" s="563">
        <v>0</v>
      </c>
      <c r="IH105" s="650">
        <v>3936.5641241354497</v>
      </c>
      <c r="II105" s="564">
        <v>3936.5641241354497</v>
      </c>
      <c r="IJ105" s="565">
        <v>126.24043240174073</v>
      </c>
      <c r="IK105" s="649">
        <v>12.606350331783727</v>
      </c>
      <c r="IL105" s="646">
        <v>40.418206509351059</v>
      </c>
      <c r="IM105" s="646">
        <v>0</v>
      </c>
      <c r="IN105" s="646">
        <v>0</v>
      </c>
      <c r="IO105" s="646">
        <v>50.688565932270386</v>
      </c>
      <c r="IP105" s="646">
        <v>1.8676314561443079</v>
      </c>
      <c r="IQ105" s="646">
        <v>3600</v>
      </c>
      <c r="IR105" s="563" t="s">
        <v>68</v>
      </c>
      <c r="IS105" s="563">
        <v>5</v>
      </c>
      <c r="IT105" s="563">
        <v>0</v>
      </c>
      <c r="IU105" s="563">
        <v>0</v>
      </c>
      <c r="IV105" s="563">
        <v>0</v>
      </c>
      <c r="IW105" s="650">
        <v>4140.7771338101802</v>
      </c>
      <c r="IX105" s="563">
        <v>0</v>
      </c>
      <c r="IY105" s="563">
        <v>0</v>
      </c>
      <c r="IZ105" s="563">
        <v>0</v>
      </c>
      <c r="JA105" s="650">
        <v>3936.5641241354497</v>
      </c>
      <c r="JB105" s="564">
        <v>3936.5641241354497</v>
      </c>
      <c r="JC105" s="565">
        <v>126.24043240174073</v>
      </c>
      <c r="JD105" s="649">
        <v>10.085080265426981</v>
      </c>
      <c r="JE105" s="646">
        <v>37.896936442994317</v>
      </c>
      <c r="JF105" s="646">
        <v>0</v>
      </c>
      <c r="JG105" s="646">
        <v>0</v>
      </c>
      <c r="JH105" s="646">
        <v>49.026955641570211</v>
      </c>
      <c r="JI105" s="646">
        <v>1.7116645406011806</v>
      </c>
      <c r="JJ105" s="646">
        <v>3600</v>
      </c>
      <c r="JK105" s="563" t="s">
        <v>67</v>
      </c>
      <c r="JL105" s="563">
        <v>4</v>
      </c>
      <c r="JM105" s="563">
        <v>0</v>
      </c>
      <c r="JN105" s="563">
        <v>0</v>
      </c>
      <c r="JO105" s="563">
        <v>0</v>
      </c>
      <c r="JP105" s="650">
        <v>4659.8968525832188</v>
      </c>
      <c r="JQ105" s="563">
        <v>0</v>
      </c>
      <c r="JR105" s="563">
        <v>0</v>
      </c>
      <c r="JS105" s="563">
        <v>0</v>
      </c>
      <c r="JT105" s="650">
        <v>4357.9800742125099</v>
      </c>
      <c r="JU105" s="564">
        <v>4000</v>
      </c>
      <c r="JV105" s="565">
        <v>128.27473748261701</v>
      </c>
      <c r="JW105" s="649">
        <v>10.085080265426981</v>
      </c>
      <c r="JX105" s="646">
        <v>37.896936442994317</v>
      </c>
      <c r="JY105" s="646">
        <v>0</v>
      </c>
      <c r="JZ105" s="646">
        <v>0</v>
      </c>
      <c r="KA105" s="646">
        <v>49.026955641570211</v>
      </c>
      <c r="KB105" s="646">
        <v>1.7116645406011806</v>
      </c>
      <c r="KC105" s="646">
        <v>3600</v>
      </c>
      <c r="KD105" s="563" t="s">
        <v>67</v>
      </c>
      <c r="KE105" s="563">
        <v>4</v>
      </c>
      <c r="KF105" s="563">
        <v>0</v>
      </c>
      <c r="KG105" s="563">
        <v>0</v>
      </c>
      <c r="KH105" s="563">
        <v>0</v>
      </c>
      <c r="KI105" s="650">
        <v>4659.8968525832188</v>
      </c>
      <c r="KJ105" s="563">
        <v>0</v>
      </c>
      <c r="KK105" s="563">
        <v>0</v>
      </c>
      <c r="KL105" s="563">
        <v>0</v>
      </c>
      <c r="KM105" s="650">
        <v>4357.9800742125099</v>
      </c>
      <c r="KN105" s="564">
        <v>4000</v>
      </c>
      <c r="KO105" s="566">
        <v>128.27473748261701</v>
      </c>
    </row>
    <row r="106" spans="1:301" s="768" customFormat="1" ht="13.5">
      <c r="A106" s="663" t="s">
        <v>860</v>
      </c>
      <c r="B106" s="629" t="s">
        <v>382</v>
      </c>
      <c r="C106" s="629">
        <v>150</v>
      </c>
      <c r="D106" s="629">
        <v>262</v>
      </c>
      <c r="E106" s="629">
        <v>106</v>
      </c>
      <c r="F106" s="629">
        <v>150</v>
      </c>
      <c r="G106" s="629">
        <v>34</v>
      </c>
      <c r="H106" s="629">
        <v>20</v>
      </c>
      <c r="I106" s="629">
        <v>20</v>
      </c>
      <c r="J106" s="629">
        <v>34.83</v>
      </c>
      <c r="K106" s="629">
        <v>60.2</v>
      </c>
      <c r="L106" s="629">
        <v>12</v>
      </c>
      <c r="M106" s="629">
        <v>70</v>
      </c>
      <c r="N106" s="629">
        <v>2</v>
      </c>
      <c r="O106" s="623">
        <v>0.70788376289983523</v>
      </c>
      <c r="P106" s="629">
        <v>2</v>
      </c>
      <c r="Q106" s="623">
        <v>0.35991488312530506</v>
      </c>
      <c r="R106" s="629">
        <v>10</v>
      </c>
      <c r="S106" s="629">
        <v>198.63434031080513</v>
      </c>
      <c r="T106" s="645">
        <v>2.4325859993414483</v>
      </c>
      <c r="U106" s="645">
        <v>29.795151046620767</v>
      </c>
      <c r="V106" s="645">
        <v>47.5</v>
      </c>
      <c r="W106" s="793">
        <v>0.19498697150971295</v>
      </c>
      <c r="X106" s="646">
        <v>0</v>
      </c>
      <c r="Y106" s="646">
        <v>0</v>
      </c>
      <c r="Z106" s="646">
        <v>0</v>
      </c>
      <c r="AA106" s="646">
        <v>0</v>
      </c>
      <c r="AB106" s="647">
        <v>0.13039063818264909</v>
      </c>
      <c r="AC106" s="784">
        <v>4000</v>
      </c>
      <c r="AD106" s="631">
        <v>5.9274907665245058</v>
      </c>
      <c r="AE106" s="631">
        <v>0.69579491153429651</v>
      </c>
      <c r="AF106" s="631">
        <v>-0.13478220291003354</v>
      </c>
      <c r="AG106" s="631">
        <v>0.53830751674433264</v>
      </c>
      <c r="AH106" s="629"/>
      <c r="AI106" s="648">
        <v>0.21390856876013264</v>
      </c>
      <c r="AJ106" s="649">
        <v>0.3956400000000001</v>
      </c>
      <c r="AK106" s="646">
        <v>4.0910116168763011</v>
      </c>
      <c r="AL106" s="646">
        <v>0</v>
      </c>
      <c r="AM106" s="646">
        <v>0</v>
      </c>
      <c r="AN106" s="646">
        <v>8.620816564220311</v>
      </c>
      <c r="AO106" s="646">
        <v>2.8436470676162839E-2</v>
      </c>
      <c r="AP106" s="801">
        <v>3600</v>
      </c>
      <c r="AQ106" s="563" t="s">
        <v>71</v>
      </c>
      <c r="AR106" s="563">
        <v>3</v>
      </c>
      <c r="AS106" s="563">
        <v>0</v>
      </c>
      <c r="AT106" s="563">
        <v>0</v>
      </c>
      <c r="AU106" s="563">
        <v>0</v>
      </c>
      <c r="AV106" s="650">
        <v>49468.779296864785</v>
      </c>
      <c r="AW106" s="563">
        <v>0</v>
      </c>
      <c r="AX106" s="563">
        <v>0</v>
      </c>
      <c r="AY106" s="563">
        <v>0</v>
      </c>
      <c r="AZ106" s="650">
        <v>80844.313252280641</v>
      </c>
      <c r="BA106" s="564">
        <v>4000</v>
      </c>
      <c r="BB106" s="565">
        <v>54.873151682701724</v>
      </c>
      <c r="BC106" s="649">
        <v>0.3956400000000001</v>
      </c>
      <c r="BD106" s="646">
        <v>4.0910116168763011</v>
      </c>
      <c r="BE106" s="646">
        <v>0</v>
      </c>
      <c r="BF106" s="646">
        <v>0</v>
      </c>
      <c r="BG106" s="646">
        <v>8.620816564220311</v>
      </c>
      <c r="BH106" s="646">
        <v>2.8436470676162839E-2</v>
      </c>
      <c r="BI106" s="646">
        <v>3600</v>
      </c>
      <c r="BJ106" s="563" t="s">
        <v>71</v>
      </c>
      <c r="BK106" s="563">
        <v>3</v>
      </c>
      <c r="BL106" s="563">
        <v>0</v>
      </c>
      <c r="BM106" s="563">
        <v>0</v>
      </c>
      <c r="BN106" s="563">
        <v>0</v>
      </c>
      <c r="BO106" s="650">
        <v>49468.779296864785</v>
      </c>
      <c r="BP106" s="563">
        <v>0</v>
      </c>
      <c r="BQ106" s="563">
        <v>0</v>
      </c>
      <c r="BR106" s="563">
        <v>0</v>
      </c>
      <c r="BS106" s="650">
        <v>80844.313252280641</v>
      </c>
      <c r="BT106" s="564">
        <v>4000</v>
      </c>
      <c r="BU106" s="565">
        <v>54.873151682701724</v>
      </c>
      <c r="BV106" s="649">
        <v>0.26376000000000005</v>
      </c>
      <c r="BW106" s="646">
        <v>3.9591316168763013</v>
      </c>
      <c r="BX106" s="646">
        <v>0</v>
      </c>
      <c r="BY106" s="646">
        <v>0</v>
      </c>
      <c r="BZ106" s="646">
        <v>8.574875502110805</v>
      </c>
      <c r="CA106" s="646">
        <v>2.6933961836162836E-2</v>
      </c>
      <c r="CB106" s="646">
        <v>3600</v>
      </c>
      <c r="CC106" s="563" t="s">
        <v>1584</v>
      </c>
      <c r="CD106" s="563">
        <v>2</v>
      </c>
      <c r="CE106" s="563">
        <v>0</v>
      </c>
      <c r="CF106" s="563">
        <v>0</v>
      </c>
      <c r="CG106" s="563">
        <v>0</v>
      </c>
      <c r="CH106" s="650">
        <v>28666.906809826542</v>
      </c>
      <c r="CI106" s="563">
        <v>0</v>
      </c>
      <c r="CJ106" s="563">
        <v>0</v>
      </c>
      <c r="CK106" s="563">
        <v>0</v>
      </c>
      <c r="CL106" s="650">
        <v>27983.687743236918</v>
      </c>
      <c r="CM106" s="564">
        <v>4000</v>
      </c>
      <c r="CN106" s="565">
        <v>54.873151682701724</v>
      </c>
      <c r="CO106" s="649">
        <v>0.26376000000000005</v>
      </c>
      <c r="CP106" s="646">
        <v>3.9591316168763013</v>
      </c>
      <c r="CQ106" s="646">
        <v>0</v>
      </c>
      <c r="CR106" s="646">
        <v>0</v>
      </c>
      <c r="CS106" s="646">
        <v>8.574875502110805</v>
      </c>
      <c r="CT106" s="646">
        <v>2.6933961836162836E-2</v>
      </c>
      <c r="CU106" s="646">
        <v>3600</v>
      </c>
      <c r="CV106" s="563" t="s">
        <v>1584</v>
      </c>
      <c r="CW106" s="563">
        <v>2</v>
      </c>
      <c r="CX106" s="563">
        <v>0</v>
      </c>
      <c r="CY106" s="563">
        <v>0</v>
      </c>
      <c r="CZ106" s="563">
        <v>0</v>
      </c>
      <c r="DA106" s="650">
        <v>28666.906809826542</v>
      </c>
      <c r="DB106" s="563">
        <v>0</v>
      </c>
      <c r="DC106" s="563">
        <v>0</v>
      </c>
      <c r="DD106" s="563">
        <v>0</v>
      </c>
      <c r="DE106" s="650">
        <v>27983.687743236918</v>
      </c>
      <c r="DF106" s="564">
        <v>4000</v>
      </c>
      <c r="DG106" s="565">
        <v>54.873151682701724</v>
      </c>
      <c r="DH106" s="649">
        <v>0.26376000000000005</v>
      </c>
      <c r="DI106" s="646">
        <v>3.9591316168763013</v>
      </c>
      <c r="DJ106" s="646">
        <v>0</v>
      </c>
      <c r="DK106" s="646">
        <v>0</v>
      </c>
      <c r="DL106" s="646">
        <v>8.574875502110805</v>
      </c>
      <c r="DM106" s="646">
        <v>2.6933961836162836E-2</v>
      </c>
      <c r="DN106" s="646">
        <v>3600</v>
      </c>
      <c r="DO106" s="563" t="s">
        <v>1585</v>
      </c>
      <c r="DP106" s="563">
        <v>2</v>
      </c>
      <c r="DQ106" s="563">
        <v>0</v>
      </c>
      <c r="DR106" s="563">
        <v>0</v>
      </c>
      <c r="DS106" s="563">
        <v>0</v>
      </c>
      <c r="DT106" s="650">
        <v>30646.212463130167</v>
      </c>
      <c r="DU106" s="563">
        <v>0</v>
      </c>
      <c r="DV106" s="563">
        <v>0</v>
      </c>
      <c r="DW106" s="563">
        <v>0</v>
      </c>
      <c r="DX106" s="650">
        <v>29915.82055818809</v>
      </c>
      <c r="DY106" s="564">
        <v>4000</v>
      </c>
      <c r="DZ106" s="565">
        <v>54.873151682701724</v>
      </c>
      <c r="EA106" s="649">
        <v>0.26376000000000005</v>
      </c>
      <c r="EB106" s="646">
        <v>3.9591316168763013</v>
      </c>
      <c r="EC106" s="646">
        <v>0</v>
      </c>
      <c r="ED106" s="646">
        <v>0</v>
      </c>
      <c r="EE106" s="646">
        <v>8.574875502110805</v>
      </c>
      <c r="EF106" s="646">
        <v>2.6933961836162836E-2</v>
      </c>
      <c r="EG106" s="646">
        <v>3600</v>
      </c>
      <c r="EH106" s="563" t="s">
        <v>1585</v>
      </c>
      <c r="EI106" s="563">
        <v>2</v>
      </c>
      <c r="EJ106" s="563">
        <v>0</v>
      </c>
      <c r="EK106" s="563">
        <v>0</v>
      </c>
      <c r="EL106" s="563">
        <v>0</v>
      </c>
      <c r="EM106" s="650">
        <v>30646.212463130167</v>
      </c>
      <c r="EN106" s="563">
        <v>0</v>
      </c>
      <c r="EO106" s="563">
        <v>0</v>
      </c>
      <c r="EP106" s="563">
        <v>0</v>
      </c>
      <c r="EQ106" s="650">
        <v>29915.82055818809</v>
      </c>
      <c r="ER106" s="564">
        <v>4000</v>
      </c>
      <c r="ES106" s="565">
        <v>54.873151682701724</v>
      </c>
      <c r="ET106" s="649">
        <v>0.26376000000000005</v>
      </c>
      <c r="EU106" s="646">
        <v>3.9591316168763013</v>
      </c>
      <c r="EV106" s="646">
        <v>0</v>
      </c>
      <c r="EW106" s="646">
        <v>0</v>
      </c>
      <c r="EX106" s="646">
        <v>8.574875502110805</v>
      </c>
      <c r="EY106" s="646">
        <v>2.6933961836162836E-2</v>
      </c>
      <c r="EZ106" s="646">
        <v>3600</v>
      </c>
      <c r="FA106" s="563" t="s">
        <v>1586</v>
      </c>
      <c r="FB106" s="563">
        <v>2</v>
      </c>
      <c r="FC106" s="563">
        <v>0</v>
      </c>
      <c r="FD106" s="563">
        <v>0</v>
      </c>
      <c r="FE106" s="563">
        <v>0</v>
      </c>
      <c r="FF106" s="650">
        <v>31278.159618163067</v>
      </c>
      <c r="FG106" s="563">
        <v>0</v>
      </c>
      <c r="FH106" s="563">
        <v>0</v>
      </c>
      <c r="FI106" s="563">
        <v>0</v>
      </c>
      <c r="FJ106" s="650">
        <v>30532.706501759938</v>
      </c>
      <c r="FK106" s="564">
        <v>4000</v>
      </c>
      <c r="FL106" s="565">
        <v>54.873151682701724</v>
      </c>
      <c r="FM106" s="649">
        <v>0.26376000000000005</v>
      </c>
      <c r="FN106" s="646">
        <v>3.9591316168763013</v>
      </c>
      <c r="FO106" s="646">
        <v>0</v>
      </c>
      <c r="FP106" s="646">
        <v>0</v>
      </c>
      <c r="FQ106" s="646">
        <v>8.574875502110805</v>
      </c>
      <c r="FR106" s="646">
        <v>2.6933961836162836E-2</v>
      </c>
      <c r="FS106" s="646">
        <v>3600</v>
      </c>
      <c r="FT106" s="563" t="s">
        <v>1586</v>
      </c>
      <c r="FU106" s="563">
        <v>2</v>
      </c>
      <c r="FV106" s="563">
        <v>0</v>
      </c>
      <c r="FW106" s="563">
        <v>0</v>
      </c>
      <c r="FX106" s="563">
        <v>0</v>
      </c>
      <c r="FY106" s="650">
        <v>31278.159618163067</v>
      </c>
      <c r="FZ106" s="563">
        <v>0</v>
      </c>
      <c r="GA106" s="563">
        <v>0</v>
      </c>
      <c r="GB106" s="563">
        <v>0</v>
      </c>
      <c r="GC106" s="650">
        <v>30532.706501759938</v>
      </c>
      <c r="GD106" s="564">
        <v>4000</v>
      </c>
      <c r="GE106" s="565">
        <v>54.873151682701724</v>
      </c>
      <c r="GF106" s="649">
        <v>0.26376000000000005</v>
      </c>
      <c r="GG106" s="646">
        <v>3.9591316168763013</v>
      </c>
      <c r="GH106" s="646">
        <v>0</v>
      </c>
      <c r="GI106" s="646">
        <v>0</v>
      </c>
      <c r="GJ106" s="646">
        <v>8.574875502110805</v>
      </c>
      <c r="GK106" s="646">
        <v>2.6933961836162836E-2</v>
      </c>
      <c r="GL106" s="646">
        <v>3600</v>
      </c>
      <c r="GM106" s="563" t="s">
        <v>1587</v>
      </c>
      <c r="GN106" s="563">
        <v>2</v>
      </c>
      <c r="GO106" s="563">
        <v>0</v>
      </c>
      <c r="GP106" s="563">
        <v>0</v>
      </c>
      <c r="GQ106" s="563">
        <v>0</v>
      </c>
      <c r="GR106" s="650">
        <v>41964.05467038088</v>
      </c>
      <c r="GS106" s="563">
        <v>0</v>
      </c>
      <c r="GT106" s="563">
        <v>0</v>
      </c>
      <c r="GU106" s="563">
        <v>0</v>
      </c>
      <c r="GV106" s="650">
        <v>40963.924364990999</v>
      </c>
      <c r="GW106" s="564">
        <v>4000</v>
      </c>
      <c r="GX106" s="565">
        <v>54.873151682701724</v>
      </c>
      <c r="GY106" s="649">
        <v>0.26376000000000005</v>
      </c>
      <c r="GZ106" s="646">
        <v>3.9591316168763013</v>
      </c>
      <c r="HA106" s="646">
        <v>0</v>
      </c>
      <c r="HB106" s="646">
        <v>0</v>
      </c>
      <c r="HC106" s="646">
        <v>8.574875502110805</v>
      </c>
      <c r="HD106" s="646">
        <v>2.6933961836162836E-2</v>
      </c>
      <c r="HE106" s="646">
        <v>3600</v>
      </c>
      <c r="HF106" s="563" t="s">
        <v>1587</v>
      </c>
      <c r="HG106" s="563">
        <v>2</v>
      </c>
      <c r="HH106" s="563">
        <v>0</v>
      </c>
      <c r="HI106" s="563">
        <v>0</v>
      </c>
      <c r="HJ106" s="563">
        <v>0</v>
      </c>
      <c r="HK106" s="650">
        <v>41964.05467038088</v>
      </c>
      <c r="HL106" s="563">
        <v>0</v>
      </c>
      <c r="HM106" s="563">
        <v>0</v>
      </c>
      <c r="HN106" s="563">
        <v>0</v>
      </c>
      <c r="HO106" s="650">
        <v>40963.924364990999</v>
      </c>
      <c r="HP106" s="564">
        <v>4000</v>
      </c>
      <c r="HQ106" s="565">
        <v>54.873151682701724</v>
      </c>
      <c r="HR106" s="649">
        <v>0.26376000000000005</v>
      </c>
      <c r="HS106" s="646">
        <v>3.9591316168763013</v>
      </c>
      <c r="HT106" s="646">
        <v>0</v>
      </c>
      <c r="HU106" s="646">
        <v>0</v>
      </c>
      <c r="HV106" s="646">
        <v>8.574875502110805</v>
      </c>
      <c r="HW106" s="646">
        <v>2.6933961836162836E-2</v>
      </c>
      <c r="HX106" s="646">
        <v>3600</v>
      </c>
      <c r="HY106" s="563" t="s">
        <v>68</v>
      </c>
      <c r="HZ106" s="563">
        <v>2</v>
      </c>
      <c r="IA106" s="563">
        <v>0</v>
      </c>
      <c r="IB106" s="563">
        <v>0</v>
      </c>
      <c r="IC106" s="563">
        <v>0</v>
      </c>
      <c r="ID106" s="650">
        <v>37008.817553907786</v>
      </c>
      <c r="IE106" s="563">
        <v>0</v>
      </c>
      <c r="IF106" s="563">
        <v>0</v>
      </c>
      <c r="IG106" s="563">
        <v>0</v>
      </c>
      <c r="IH106" s="650">
        <v>36126.785531672795</v>
      </c>
      <c r="II106" s="564">
        <v>4000</v>
      </c>
      <c r="IJ106" s="565">
        <v>54.873151682701724</v>
      </c>
      <c r="IK106" s="649">
        <v>0.26376000000000005</v>
      </c>
      <c r="IL106" s="646">
        <v>3.9591316168763013</v>
      </c>
      <c r="IM106" s="646">
        <v>0</v>
      </c>
      <c r="IN106" s="646">
        <v>0</v>
      </c>
      <c r="IO106" s="646">
        <v>8.574875502110805</v>
      </c>
      <c r="IP106" s="646">
        <v>2.6933961836162836E-2</v>
      </c>
      <c r="IQ106" s="646">
        <v>3600</v>
      </c>
      <c r="IR106" s="563" t="s">
        <v>68</v>
      </c>
      <c r="IS106" s="563">
        <v>2</v>
      </c>
      <c r="IT106" s="563">
        <v>0</v>
      </c>
      <c r="IU106" s="563">
        <v>0</v>
      </c>
      <c r="IV106" s="563">
        <v>0</v>
      </c>
      <c r="IW106" s="650">
        <v>37008.817553907786</v>
      </c>
      <c r="IX106" s="563">
        <v>0</v>
      </c>
      <c r="IY106" s="563">
        <v>0</v>
      </c>
      <c r="IZ106" s="563">
        <v>0</v>
      </c>
      <c r="JA106" s="650">
        <v>36126.785531672795</v>
      </c>
      <c r="JB106" s="564">
        <v>4000</v>
      </c>
      <c r="JC106" s="565">
        <v>54.873151682701724</v>
      </c>
      <c r="JD106" s="649">
        <v>0.26376000000000005</v>
      </c>
      <c r="JE106" s="646">
        <v>3.9591316168763013</v>
      </c>
      <c r="JF106" s="646">
        <v>0</v>
      </c>
      <c r="JG106" s="646">
        <v>0</v>
      </c>
      <c r="JH106" s="646">
        <v>8.574875502110805</v>
      </c>
      <c r="JI106" s="646">
        <v>2.6933961836162836E-2</v>
      </c>
      <c r="JJ106" s="646">
        <v>3600</v>
      </c>
      <c r="JK106" s="563" t="s">
        <v>67</v>
      </c>
      <c r="JL106" s="563">
        <v>2</v>
      </c>
      <c r="JM106" s="563">
        <v>0</v>
      </c>
      <c r="JN106" s="563">
        <v>0</v>
      </c>
      <c r="JO106" s="563">
        <v>0</v>
      </c>
      <c r="JP106" s="650">
        <v>50434.516946810785</v>
      </c>
      <c r="JQ106" s="563">
        <v>0</v>
      </c>
      <c r="JR106" s="563">
        <v>0</v>
      </c>
      <c r="JS106" s="563">
        <v>0</v>
      </c>
      <c r="JT106" s="650">
        <v>49232.509914067894</v>
      </c>
      <c r="JU106" s="564">
        <v>4000</v>
      </c>
      <c r="JV106" s="565">
        <v>54.873151682701724</v>
      </c>
      <c r="JW106" s="649">
        <v>0.26376000000000005</v>
      </c>
      <c r="JX106" s="646">
        <v>3.9591316168763013</v>
      </c>
      <c r="JY106" s="646">
        <v>0</v>
      </c>
      <c r="JZ106" s="646">
        <v>0</v>
      </c>
      <c r="KA106" s="646">
        <v>8.574875502110805</v>
      </c>
      <c r="KB106" s="646">
        <v>2.6933961836162836E-2</v>
      </c>
      <c r="KC106" s="646">
        <v>3600</v>
      </c>
      <c r="KD106" s="563" t="s">
        <v>67</v>
      </c>
      <c r="KE106" s="563">
        <v>2</v>
      </c>
      <c r="KF106" s="563">
        <v>0</v>
      </c>
      <c r="KG106" s="563">
        <v>0</v>
      </c>
      <c r="KH106" s="563">
        <v>0</v>
      </c>
      <c r="KI106" s="650">
        <v>50434.516946810785</v>
      </c>
      <c r="KJ106" s="563">
        <v>0</v>
      </c>
      <c r="KK106" s="563">
        <v>0</v>
      </c>
      <c r="KL106" s="563">
        <v>0</v>
      </c>
      <c r="KM106" s="650">
        <v>49232.509914067894</v>
      </c>
      <c r="KN106" s="564">
        <v>4000</v>
      </c>
      <c r="KO106" s="566">
        <v>54.873151682701724</v>
      </c>
    </row>
    <row r="107" spans="1:301" s="768" customFormat="1" ht="13.5">
      <c r="A107" s="663" t="s">
        <v>861</v>
      </c>
      <c r="B107" s="629" t="s">
        <v>382</v>
      </c>
      <c r="C107" s="629">
        <v>150</v>
      </c>
      <c r="D107" s="629">
        <v>327</v>
      </c>
      <c r="E107" s="629">
        <v>106</v>
      </c>
      <c r="F107" s="629">
        <v>140</v>
      </c>
      <c r="G107" s="629">
        <v>34</v>
      </c>
      <c r="H107" s="629">
        <v>20</v>
      </c>
      <c r="I107" s="629">
        <v>20</v>
      </c>
      <c r="J107" s="629">
        <v>31.8</v>
      </c>
      <c r="K107" s="629">
        <v>67.25</v>
      </c>
      <c r="L107" s="629">
        <v>12</v>
      </c>
      <c r="M107" s="629">
        <v>112</v>
      </c>
      <c r="N107" s="629">
        <v>2</v>
      </c>
      <c r="O107" s="623">
        <v>1.1799665712648748</v>
      </c>
      <c r="P107" s="629">
        <v>2</v>
      </c>
      <c r="Q107" s="623">
        <v>0.68716067158435212</v>
      </c>
      <c r="R107" s="629">
        <v>10</v>
      </c>
      <c r="S107" s="629">
        <v>226.27771102452576</v>
      </c>
      <c r="T107" s="645">
        <v>3.1567710988714111</v>
      </c>
      <c r="U107" s="645">
        <v>33.941656653678862</v>
      </c>
      <c r="V107" s="645">
        <v>47.5</v>
      </c>
      <c r="W107" s="793">
        <v>0.25303493339391153</v>
      </c>
      <c r="X107" s="646">
        <v>0</v>
      </c>
      <c r="Y107" s="646">
        <v>0</v>
      </c>
      <c r="Z107" s="646">
        <v>0</v>
      </c>
      <c r="AA107" s="646">
        <v>0</v>
      </c>
      <c r="AB107" s="647">
        <v>0.19376834938099899</v>
      </c>
      <c r="AC107" s="784">
        <v>4000</v>
      </c>
      <c r="AD107" s="631">
        <v>4.2587971427321767</v>
      </c>
      <c r="AE107" s="631">
        <v>0.62002626901608415</v>
      </c>
      <c r="AF107" s="631">
        <v>-0.15684459291016381</v>
      </c>
      <c r="AG107" s="631">
        <v>0.83058365505817888</v>
      </c>
      <c r="AH107" s="629"/>
      <c r="AI107" s="648">
        <v>0.35434444350281791</v>
      </c>
      <c r="AJ107" s="649">
        <v>0.63302400000000003</v>
      </c>
      <c r="AK107" s="646">
        <v>5.9099572751145502</v>
      </c>
      <c r="AL107" s="646">
        <v>0</v>
      </c>
      <c r="AM107" s="646">
        <v>0</v>
      </c>
      <c r="AN107" s="646">
        <v>8.8681127154727974</v>
      </c>
      <c r="AO107" s="646">
        <v>6.1456910401791902E-2</v>
      </c>
      <c r="AP107" s="801">
        <v>3600</v>
      </c>
      <c r="AQ107" s="563" t="s">
        <v>71</v>
      </c>
      <c r="AR107" s="563">
        <v>3</v>
      </c>
      <c r="AS107" s="563">
        <v>0</v>
      </c>
      <c r="AT107" s="563">
        <v>0</v>
      </c>
      <c r="AU107" s="563">
        <v>0</v>
      </c>
      <c r="AV107" s="650">
        <v>52244.412395734777</v>
      </c>
      <c r="AW107" s="563">
        <v>0</v>
      </c>
      <c r="AX107" s="563">
        <v>0</v>
      </c>
      <c r="AY107" s="563">
        <v>0</v>
      </c>
      <c r="AZ107" s="650">
        <v>81972.474548533413</v>
      </c>
      <c r="BA107" s="564">
        <v>4000</v>
      </c>
      <c r="BB107" s="565">
        <v>68.486719848257493</v>
      </c>
      <c r="BC107" s="649">
        <v>0.63302400000000003</v>
      </c>
      <c r="BD107" s="646">
        <v>5.9099572751145502</v>
      </c>
      <c r="BE107" s="646">
        <v>0</v>
      </c>
      <c r="BF107" s="646">
        <v>0</v>
      </c>
      <c r="BG107" s="646">
        <v>8.8681127154727974</v>
      </c>
      <c r="BH107" s="646">
        <v>6.1456910401791902E-2</v>
      </c>
      <c r="BI107" s="646">
        <v>3600</v>
      </c>
      <c r="BJ107" s="563" t="s">
        <v>71</v>
      </c>
      <c r="BK107" s="563">
        <v>3</v>
      </c>
      <c r="BL107" s="563">
        <v>0</v>
      </c>
      <c r="BM107" s="563">
        <v>0</v>
      </c>
      <c r="BN107" s="563">
        <v>0</v>
      </c>
      <c r="BO107" s="650">
        <v>52244.412395734777</v>
      </c>
      <c r="BP107" s="563">
        <v>0</v>
      </c>
      <c r="BQ107" s="563">
        <v>0</v>
      </c>
      <c r="BR107" s="563">
        <v>0</v>
      </c>
      <c r="BS107" s="650">
        <v>81972.474548533413</v>
      </c>
      <c r="BT107" s="564">
        <v>4000</v>
      </c>
      <c r="BU107" s="565">
        <v>68.486719848257493</v>
      </c>
      <c r="BV107" s="649">
        <v>0.42201600000000006</v>
      </c>
      <c r="BW107" s="646">
        <v>5.6989492751145505</v>
      </c>
      <c r="BX107" s="646">
        <v>0</v>
      </c>
      <c r="BY107" s="646">
        <v>0</v>
      </c>
      <c r="BZ107" s="646">
        <v>8.8262037142510366</v>
      </c>
      <c r="CA107" s="646">
        <v>5.8043091097791905E-2</v>
      </c>
      <c r="CB107" s="646">
        <v>3600</v>
      </c>
      <c r="CC107" s="563" t="s">
        <v>1584</v>
      </c>
      <c r="CD107" s="563">
        <v>2</v>
      </c>
      <c r="CE107" s="563">
        <v>0</v>
      </c>
      <c r="CF107" s="563">
        <v>0</v>
      </c>
      <c r="CG107" s="563">
        <v>0</v>
      </c>
      <c r="CH107" s="650">
        <v>29161.668702514118</v>
      </c>
      <c r="CI107" s="563">
        <v>0</v>
      </c>
      <c r="CJ107" s="563">
        <v>0</v>
      </c>
      <c r="CK107" s="563">
        <v>0</v>
      </c>
      <c r="CL107" s="650">
        <v>28374.192803744761</v>
      </c>
      <c r="CM107" s="564">
        <v>4000</v>
      </c>
      <c r="CN107" s="565">
        <v>68.486719848257493</v>
      </c>
      <c r="CO107" s="649">
        <v>0.42201600000000006</v>
      </c>
      <c r="CP107" s="646">
        <v>5.6989492751145505</v>
      </c>
      <c r="CQ107" s="646">
        <v>0</v>
      </c>
      <c r="CR107" s="646">
        <v>0</v>
      </c>
      <c r="CS107" s="646">
        <v>8.8262037142510366</v>
      </c>
      <c r="CT107" s="646">
        <v>5.8043091097791905E-2</v>
      </c>
      <c r="CU107" s="646">
        <v>3600</v>
      </c>
      <c r="CV107" s="563" t="s">
        <v>1584</v>
      </c>
      <c r="CW107" s="563">
        <v>2</v>
      </c>
      <c r="CX107" s="563">
        <v>0</v>
      </c>
      <c r="CY107" s="563">
        <v>0</v>
      </c>
      <c r="CZ107" s="563">
        <v>0</v>
      </c>
      <c r="DA107" s="650">
        <v>29161.668702514118</v>
      </c>
      <c r="DB107" s="563">
        <v>0</v>
      </c>
      <c r="DC107" s="563">
        <v>0</v>
      </c>
      <c r="DD107" s="563">
        <v>0</v>
      </c>
      <c r="DE107" s="650">
        <v>28374.192803744761</v>
      </c>
      <c r="DF107" s="564">
        <v>4000</v>
      </c>
      <c r="DG107" s="565">
        <v>68.486719848257493</v>
      </c>
      <c r="DH107" s="649">
        <v>0.42201600000000006</v>
      </c>
      <c r="DI107" s="646">
        <v>5.6989492751145505</v>
      </c>
      <c r="DJ107" s="646">
        <v>0</v>
      </c>
      <c r="DK107" s="646">
        <v>0</v>
      </c>
      <c r="DL107" s="646">
        <v>8.8262037142510366</v>
      </c>
      <c r="DM107" s="646">
        <v>5.8043091097791905E-2</v>
      </c>
      <c r="DN107" s="646">
        <v>3600</v>
      </c>
      <c r="DO107" s="563" t="s">
        <v>1585</v>
      </c>
      <c r="DP107" s="563">
        <v>2</v>
      </c>
      <c r="DQ107" s="563">
        <v>0</v>
      </c>
      <c r="DR107" s="563">
        <v>0</v>
      </c>
      <c r="DS107" s="563">
        <v>0</v>
      </c>
      <c r="DT107" s="650">
        <v>31175.135174701547</v>
      </c>
      <c r="DU107" s="563">
        <v>0</v>
      </c>
      <c r="DV107" s="563">
        <v>0</v>
      </c>
      <c r="DW107" s="563">
        <v>0</v>
      </c>
      <c r="DX107" s="650">
        <v>30333.288027966355</v>
      </c>
      <c r="DY107" s="564">
        <v>4000</v>
      </c>
      <c r="DZ107" s="565">
        <v>68.486719848257493</v>
      </c>
      <c r="EA107" s="649">
        <v>0.42201600000000006</v>
      </c>
      <c r="EB107" s="646">
        <v>5.6989492751145505</v>
      </c>
      <c r="EC107" s="646">
        <v>0</v>
      </c>
      <c r="ED107" s="646">
        <v>0</v>
      </c>
      <c r="EE107" s="646">
        <v>8.8262037142510366</v>
      </c>
      <c r="EF107" s="646">
        <v>5.8043091097791905E-2</v>
      </c>
      <c r="EG107" s="646">
        <v>3600</v>
      </c>
      <c r="EH107" s="563" t="s">
        <v>1585</v>
      </c>
      <c r="EI107" s="563">
        <v>2</v>
      </c>
      <c r="EJ107" s="563">
        <v>0</v>
      </c>
      <c r="EK107" s="563">
        <v>0</v>
      </c>
      <c r="EL107" s="563">
        <v>0</v>
      </c>
      <c r="EM107" s="650">
        <v>31175.135174701547</v>
      </c>
      <c r="EN107" s="563">
        <v>0</v>
      </c>
      <c r="EO107" s="563">
        <v>0</v>
      </c>
      <c r="EP107" s="563">
        <v>0</v>
      </c>
      <c r="EQ107" s="650">
        <v>30333.288027966355</v>
      </c>
      <c r="ER107" s="564">
        <v>4000</v>
      </c>
      <c r="ES107" s="565">
        <v>68.486719848257493</v>
      </c>
      <c r="ET107" s="649">
        <v>0.42201600000000006</v>
      </c>
      <c r="EU107" s="646">
        <v>5.6989492751145505</v>
      </c>
      <c r="EV107" s="646">
        <v>0</v>
      </c>
      <c r="EW107" s="646">
        <v>0</v>
      </c>
      <c r="EX107" s="646">
        <v>8.8262037142510366</v>
      </c>
      <c r="EY107" s="646">
        <v>5.8043091097791905E-2</v>
      </c>
      <c r="EZ107" s="646">
        <v>3600</v>
      </c>
      <c r="FA107" s="563" t="s">
        <v>1586</v>
      </c>
      <c r="FB107" s="563">
        <v>2</v>
      </c>
      <c r="FC107" s="563">
        <v>0</v>
      </c>
      <c r="FD107" s="563">
        <v>0</v>
      </c>
      <c r="FE107" s="563">
        <v>0</v>
      </c>
      <c r="FF107" s="650">
        <v>31817.989100129365</v>
      </c>
      <c r="FG107" s="563">
        <v>0</v>
      </c>
      <c r="FH107" s="563">
        <v>0</v>
      </c>
      <c r="FI107" s="563">
        <v>0</v>
      </c>
      <c r="FJ107" s="650">
        <v>30958.782453913071</v>
      </c>
      <c r="FK107" s="564">
        <v>4000</v>
      </c>
      <c r="FL107" s="565">
        <v>68.486719848257493</v>
      </c>
      <c r="FM107" s="649">
        <v>0.42201600000000006</v>
      </c>
      <c r="FN107" s="646">
        <v>5.6989492751145505</v>
      </c>
      <c r="FO107" s="646">
        <v>0</v>
      </c>
      <c r="FP107" s="646">
        <v>0</v>
      </c>
      <c r="FQ107" s="646">
        <v>8.8262037142510366</v>
      </c>
      <c r="FR107" s="646">
        <v>5.8043091097791905E-2</v>
      </c>
      <c r="FS107" s="646">
        <v>3600</v>
      </c>
      <c r="FT107" s="563" t="s">
        <v>1586</v>
      </c>
      <c r="FU107" s="563">
        <v>2</v>
      </c>
      <c r="FV107" s="563">
        <v>0</v>
      </c>
      <c r="FW107" s="563">
        <v>0</v>
      </c>
      <c r="FX107" s="563">
        <v>0</v>
      </c>
      <c r="FY107" s="650">
        <v>31817.989100129365</v>
      </c>
      <c r="FZ107" s="563">
        <v>0</v>
      </c>
      <c r="GA107" s="563">
        <v>0</v>
      </c>
      <c r="GB107" s="563">
        <v>0</v>
      </c>
      <c r="GC107" s="650">
        <v>30958.782453913071</v>
      </c>
      <c r="GD107" s="564">
        <v>4000</v>
      </c>
      <c r="GE107" s="565">
        <v>68.486719848257493</v>
      </c>
      <c r="GF107" s="649">
        <v>0.42201600000000006</v>
      </c>
      <c r="GG107" s="646">
        <v>5.6989492751145505</v>
      </c>
      <c r="GH107" s="646">
        <v>0</v>
      </c>
      <c r="GI107" s="646">
        <v>0</v>
      </c>
      <c r="GJ107" s="646">
        <v>8.8262037142510366</v>
      </c>
      <c r="GK107" s="646">
        <v>5.8043091097791905E-2</v>
      </c>
      <c r="GL107" s="646">
        <v>3600</v>
      </c>
      <c r="GM107" s="563" t="s">
        <v>1587</v>
      </c>
      <c r="GN107" s="563">
        <v>2</v>
      </c>
      <c r="GO107" s="563">
        <v>0</v>
      </c>
      <c r="GP107" s="563">
        <v>0</v>
      </c>
      <c r="GQ107" s="563">
        <v>0</v>
      </c>
      <c r="GR107" s="650">
        <v>42688.311921093307</v>
      </c>
      <c r="GS107" s="563">
        <v>0</v>
      </c>
      <c r="GT107" s="563">
        <v>0</v>
      </c>
      <c r="GU107" s="563">
        <v>0</v>
      </c>
      <c r="GV107" s="650">
        <v>41535.565240546435</v>
      </c>
      <c r="GW107" s="564">
        <v>4000</v>
      </c>
      <c r="GX107" s="565">
        <v>68.486719848257493</v>
      </c>
      <c r="GY107" s="649">
        <v>0.42201600000000006</v>
      </c>
      <c r="GZ107" s="646">
        <v>5.6989492751145505</v>
      </c>
      <c r="HA107" s="646">
        <v>0</v>
      </c>
      <c r="HB107" s="646">
        <v>0</v>
      </c>
      <c r="HC107" s="646">
        <v>8.8262037142510366</v>
      </c>
      <c r="HD107" s="646">
        <v>5.8043091097791905E-2</v>
      </c>
      <c r="HE107" s="646">
        <v>3600</v>
      </c>
      <c r="HF107" s="563" t="s">
        <v>1587</v>
      </c>
      <c r="HG107" s="563">
        <v>2</v>
      </c>
      <c r="HH107" s="563">
        <v>0</v>
      </c>
      <c r="HI107" s="563">
        <v>0</v>
      </c>
      <c r="HJ107" s="563">
        <v>0</v>
      </c>
      <c r="HK107" s="650">
        <v>42688.311921093307</v>
      </c>
      <c r="HL107" s="563">
        <v>0</v>
      </c>
      <c r="HM107" s="563">
        <v>0</v>
      </c>
      <c r="HN107" s="563">
        <v>0</v>
      </c>
      <c r="HO107" s="650">
        <v>41535.565240546435</v>
      </c>
      <c r="HP107" s="564">
        <v>4000</v>
      </c>
      <c r="HQ107" s="565">
        <v>68.486719848257493</v>
      </c>
      <c r="HR107" s="649">
        <v>0.42201600000000006</v>
      </c>
      <c r="HS107" s="646">
        <v>5.6989492751145505</v>
      </c>
      <c r="HT107" s="646">
        <v>0</v>
      </c>
      <c r="HU107" s="646">
        <v>0</v>
      </c>
      <c r="HV107" s="646">
        <v>8.8262037142510366</v>
      </c>
      <c r="HW107" s="646">
        <v>5.8043091097791905E-2</v>
      </c>
      <c r="HX107" s="646">
        <v>3600</v>
      </c>
      <c r="HY107" s="563" t="s">
        <v>68</v>
      </c>
      <c r="HZ107" s="563">
        <v>2</v>
      </c>
      <c r="IA107" s="563">
        <v>0</v>
      </c>
      <c r="IB107" s="563">
        <v>0</v>
      </c>
      <c r="IC107" s="563">
        <v>0</v>
      </c>
      <c r="ID107" s="650">
        <v>37647.552410815304</v>
      </c>
      <c r="IE107" s="563">
        <v>0</v>
      </c>
      <c r="IF107" s="563">
        <v>0</v>
      </c>
      <c r="IG107" s="563">
        <v>0</v>
      </c>
      <c r="IH107" s="650">
        <v>36630.925396990089</v>
      </c>
      <c r="II107" s="564">
        <v>4000</v>
      </c>
      <c r="IJ107" s="565">
        <v>68.486719848257493</v>
      </c>
      <c r="IK107" s="649">
        <v>0.42201600000000006</v>
      </c>
      <c r="IL107" s="646">
        <v>5.6989492751145505</v>
      </c>
      <c r="IM107" s="646">
        <v>0</v>
      </c>
      <c r="IN107" s="646">
        <v>0</v>
      </c>
      <c r="IO107" s="646">
        <v>8.8262037142510366</v>
      </c>
      <c r="IP107" s="646">
        <v>5.8043091097791905E-2</v>
      </c>
      <c r="IQ107" s="646">
        <v>3600</v>
      </c>
      <c r="IR107" s="563" t="s">
        <v>68</v>
      </c>
      <c r="IS107" s="563">
        <v>2</v>
      </c>
      <c r="IT107" s="563">
        <v>0</v>
      </c>
      <c r="IU107" s="563">
        <v>0</v>
      </c>
      <c r="IV107" s="563">
        <v>0</v>
      </c>
      <c r="IW107" s="650">
        <v>37647.552410815304</v>
      </c>
      <c r="IX107" s="563">
        <v>0</v>
      </c>
      <c r="IY107" s="563">
        <v>0</v>
      </c>
      <c r="IZ107" s="563">
        <v>0</v>
      </c>
      <c r="JA107" s="650">
        <v>36630.925396990089</v>
      </c>
      <c r="JB107" s="564">
        <v>4000</v>
      </c>
      <c r="JC107" s="565">
        <v>68.486719848257493</v>
      </c>
      <c r="JD107" s="649">
        <v>0.42201600000000006</v>
      </c>
      <c r="JE107" s="646">
        <v>5.6989492751145505</v>
      </c>
      <c r="JF107" s="646">
        <v>0</v>
      </c>
      <c r="JG107" s="646">
        <v>0</v>
      </c>
      <c r="JH107" s="646">
        <v>8.8262037142510366</v>
      </c>
      <c r="JI107" s="646">
        <v>5.8043091097791905E-2</v>
      </c>
      <c r="JJ107" s="646">
        <v>3600</v>
      </c>
      <c r="JK107" s="563" t="s">
        <v>67</v>
      </c>
      <c r="JL107" s="563">
        <v>2</v>
      </c>
      <c r="JM107" s="563">
        <v>0</v>
      </c>
      <c r="JN107" s="563">
        <v>0</v>
      </c>
      <c r="JO107" s="563">
        <v>0</v>
      </c>
      <c r="JP107" s="650">
        <v>51304.965831559355</v>
      </c>
      <c r="JQ107" s="563">
        <v>0</v>
      </c>
      <c r="JR107" s="563">
        <v>0</v>
      </c>
      <c r="JS107" s="563">
        <v>0</v>
      </c>
      <c r="JT107" s="650">
        <v>49919.536743407421</v>
      </c>
      <c r="JU107" s="564">
        <v>4000</v>
      </c>
      <c r="JV107" s="565">
        <v>68.486719848257493</v>
      </c>
      <c r="JW107" s="649">
        <v>0.42201600000000006</v>
      </c>
      <c r="JX107" s="646">
        <v>5.6989492751145505</v>
      </c>
      <c r="JY107" s="646">
        <v>0</v>
      </c>
      <c r="JZ107" s="646">
        <v>0</v>
      </c>
      <c r="KA107" s="646">
        <v>8.8262037142510366</v>
      </c>
      <c r="KB107" s="646">
        <v>5.8043091097791905E-2</v>
      </c>
      <c r="KC107" s="646">
        <v>3600</v>
      </c>
      <c r="KD107" s="563" t="s">
        <v>67</v>
      </c>
      <c r="KE107" s="563">
        <v>2</v>
      </c>
      <c r="KF107" s="563">
        <v>0</v>
      </c>
      <c r="KG107" s="563">
        <v>0</v>
      </c>
      <c r="KH107" s="563">
        <v>0</v>
      </c>
      <c r="KI107" s="650">
        <v>51304.965831559355</v>
      </c>
      <c r="KJ107" s="563">
        <v>0</v>
      </c>
      <c r="KK107" s="563">
        <v>0</v>
      </c>
      <c r="KL107" s="563">
        <v>0</v>
      </c>
      <c r="KM107" s="650">
        <v>49919.536743407421</v>
      </c>
      <c r="KN107" s="564">
        <v>4000</v>
      </c>
      <c r="KO107" s="566">
        <v>68.486719848257493</v>
      </c>
    </row>
    <row r="108" spans="1:301" s="768" customFormat="1" ht="13.5">
      <c r="A108" s="663" t="s">
        <v>862</v>
      </c>
      <c r="B108" s="629" t="s">
        <v>382</v>
      </c>
      <c r="C108" s="629">
        <v>150</v>
      </c>
      <c r="D108" s="629">
        <v>325</v>
      </c>
      <c r="E108" s="629">
        <v>106</v>
      </c>
      <c r="F108" s="629">
        <v>150</v>
      </c>
      <c r="G108" s="629">
        <v>39</v>
      </c>
      <c r="H108" s="629">
        <v>25</v>
      </c>
      <c r="I108" s="629">
        <v>25</v>
      </c>
      <c r="J108" s="629">
        <v>26.5</v>
      </c>
      <c r="K108" s="629">
        <v>64.3</v>
      </c>
      <c r="L108" s="629">
        <v>12</v>
      </c>
      <c r="M108" s="629">
        <v>117.5</v>
      </c>
      <c r="N108" s="629">
        <v>2</v>
      </c>
      <c r="O108" s="623">
        <v>1.1638872717452715</v>
      </c>
      <c r="P108" s="629">
        <v>2</v>
      </c>
      <c r="Q108" s="623">
        <v>0.64936303289638431</v>
      </c>
      <c r="R108" s="629">
        <v>10</v>
      </c>
      <c r="S108" s="629">
        <v>230.13673692667757</v>
      </c>
      <c r="T108" s="645">
        <v>3.2653627947132335</v>
      </c>
      <c r="U108" s="645">
        <v>34.520510539001634</v>
      </c>
      <c r="V108" s="645">
        <v>47.5</v>
      </c>
      <c r="W108" s="793">
        <v>0.26173923651373265</v>
      </c>
      <c r="X108" s="646">
        <v>0</v>
      </c>
      <c r="Y108" s="646">
        <v>0</v>
      </c>
      <c r="Z108" s="646">
        <v>0</v>
      </c>
      <c r="AA108" s="646">
        <v>0</v>
      </c>
      <c r="AB108" s="647">
        <v>0.2316871421174399</v>
      </c>
      <c r="AC108" s="784">
        <v>4000</v>
      </c>
      <c r="AD108" s="631">
        <v>3.9949988913310319</v>
      </c>
      <c r="AE108" s="631">
        <v>0.49858160805343149</v>
      </c>
      <c r="AF108" s="631">
        <v>-0.22025672991253289</v>
      </c>
      <c r="AG108" s="631">
        <v>0.91162571233737433</v>
      </c>
      <c r="AH108" s="629"/>
      <c r="AI108" s="648">
        <v>0.36698780668253678</v>
      </c>
      <c r="AJ108" s="649">
        <v>0.83013750000000008</v>
      </c>
      <c r="AK108" s="646">
        <v>6.1704898358686222</v>
      </c>
      <c r="AL108" s="646">
        <v>0</v>
      </c>
      <c r="AM108" s="646">
        <v>0</v>
      </c>
      <c r="AN108" s="646">
        <v>10.155820053866748</v>
      </c>
      <c r="AO108" s="646">
        <v>6.4787333720102522E-2</v>
      </c>
      <c r="AP108" s="801">
        <v>3600</v>
      </c>
      <c r="AQ108" s="563" t="s">
        <v>71</v>
      </c>
      <c r="AR108" s="563">
        <v>3</v>
      </c>
      <c r="AS108" s="563">
        <v>0</v>
      </c>
      <c r="AT108" s="563">
        <v>0</v>
      </c>
      <c r="AU108" s="563">
        <v>0</v>
      </c>
      <c r="AV108" s="650">
        <v>31791.657435721791</v>
      </c>
      <c r="AW108" s="563">
        <v>0</v>
      </c>
      <c r="AX108" s="563">
        <v>0</v>
      </c>
      <c r="AY108" s="563">
        <v>0</v>
      </c>
      <c r="AZ108" s="650">
        <v>38938.410575162387</v>
      </c>
      <c r="BA108" s="564">
        <v>4000</v>
      </c>
      <c r="BB108" s="565">
        <v>68.067840827778852</v>
      </c>
      <c r="BC108" s="649">
        <v>0.83013750000000008</v>
      </c>
      <c r="BD108" s="646">
        <v>6.1704898358686222</v>
      </c>
      <c r="BE108" s="646">
        <v>0</v>
      </c>
      <c r="BF108" s="646">
        <v>0</v>
      </c>
      <c r="BG108" s="646">
        <v>10.155820053866748</v>
      </c>
      <c r="BH108" s="646">
        <v>6.4787333720102522E-2</v>
      </c>
      <c r="BI108" s="646">
        <v>3600</v>
      </c>
      <c r="BJ108" s="563" t="s">
        <v>71</v>
      </c>
      <c r="BK108" s="563">
        <v>3</v>
      </c>
      <c r="BL108" s="563">
        <v>0</v>
      </c>
      <c r="BM108" s="563">
        <v>0</v>
      </c>
      <c r="BN108" s="563">
        <v>0</v>
      </c>
      <c r="BO108" s="650">
        <v>31791.657435721791</v>
      </c>
      <c r="BP108" s="563">
        <v>0</v>
      </c>
      <c r="BQ108" s="563">
        <v>0</v>
      </c>
      <c r="BR108" s="563">
        <v>0</v>
      </c>
      <c r="BS108" s="650">
        <v>38938.410575162387</v>
      </c>
      <c r="BT108" s="564">
        <v>4000</v>
      </c>
      <c r="BU108" s="565">
        <v>68.067840827778852</v>
      </c>
      <c r="BV108" s="649">
        <v>0.55342500000000006</v>
      </c>
      <c r="BW108" s="646">
        <v>5.8937773358686218</v>
      </c>
      <c r="BX108" s="646">
        <v>0</v>
      </c>
      <c r="BY108" s="646">
        <v>0</v>
      </c>
      <c r="BZ108" s="646">
        <v>10.04576094298098</v>
      </c>
      <c r="CA108" s="646">
        <v>6.0355610087290013E-2</v>
      </c>
      <c r="CB108" s="646">
        <v>3600</v>
      </c>
      <c r="CC108" s="563" t="s">
        <v>1584</v>
      </c>
      <c r="CD108" s="563">
        <v>2</v>
      </c>
      <c r="CE108" s="563">
        <v>0</v>
      </c>
      <c r="CF108" s="563">
        <v>0</v>
      </c>
      <c r="CG108" s="563">
        <v>0</v>
      </c>
      <c r="CH108" s="650">
        <v>19733.996812000485</v>
      </c>
      <c r="CI108" s="563">
        <v>0</v>
      </c>
      <c r="CJ108" s="563">
        <v>0</v>
      </c>
      <c r="CK108" s="563">
        <v>0</v>
      </c>
      <c r="CL108" s="650">
        <v>19259.294320343528</v>
      </c>
      <c r="CM108" s="564">
        <v>4000</v>
      </c>
      <c r="CN108" s="565">
        <v>68.067840827778852</v>
      </c>
      <c r="CO108" s="649">
        <v>0.55342500000000006</v>
      </c>
      <c r="CP108" s="646">
        <v>5.8937773358686218</v>
      </c>
      <c r="CQ108" s="646">
        <v>0</v>
      </c>
      <c r="CR108" s="646">
        <v>0</v>
      </c>
      <c r="CS108" s="646">
        <v>10.04576094298098</v>
      </c>
      <c r="CT108" s="646">
        <v>6.0355610087290013E-2</v>
      </c>
      <c r="CU108" s="646">
        <v>3600</v>
      </c>
      <c r="CV108" s="563" t="s">
        <v>1584</v>
      </c>
      <c r="CW108" s="563">
        <v>2</v>
      </c>
      <c r="CX108" s="563">
        <v>0</v>
      </c>
      <c r="CY108" s="563">
        <v>0</v>
      </c>
      <c r="CZ108" s="563">
        <v>0</v>
      </c>
      <c r="DA108" s="650">
        <v>19733.996812000485</v>
      </c>
      <c r="DB108" s="563">
        <v>0</v>
      </c>
      <c r="DC108" s="563">
        <v>0</v>
      </c>
      <c r="DD108" s="563">
        <v>0</v>
      </c>
      <c r="DE108" s="650">
        <v>19259.294320343528</v>
      </c>
      <c r="DF108" s="564">
        <v>4000</v>
      </c>
      <c r="DG108" s="565">
        <v>68.067840827778852</v>
      </c>
      <c r="DH108" s="649">
        <v>0.55342500000000006</v>
      </c>
      <c r="DI108" s="646">
        <v>5.8937773358686218</v>
      </c>
      <c r="DJ108" s="646">
        <v>0</v>
      </c>
      <c r="DK108" s="646">
        <v>0</v>
      </c>
      <c r="DL108" s="646">
        <v>10.04576094298098</v>
      </c>
      <c r="DM108" s="646">
        <v>6.0355610087290013E-2</v>
      </c>
      <c r="DN108" s="646">
        <v>3600</v>
      </c>
      <c r="DO108" s="563" t="s">
        <v>1585</v>
      </c>
      <c r="DP108" s="563">
        <v>2</v>
      </c>
      <c r="DQ108" s="563">
        <v>0</v>
      </c>
      <c r="DR108" s="563">
        <v>0</v>
      </c>
      <c r="DS108" s="563">
        <v>0</v>
      </c>
      <c r="DT108" s="650">
        <v>21096.529983480275</v>
      </c>
      <c r="DU108" s="563">
        <v>0</v>
      </c>
      <c r="DV108" s="563">
        <v>0</v>
      </c>
      <c r="DW108" s="563">
        <v>0</v>
      </c>
      <c r="DX108" s="650">
        <v>20589.051673646351</v>
      </c>
      <c r="DY108" s="564">
        <v>4000</v>
      </c>
      <c r="DZ108" s="565">
        <v>68.067840827778852</v>
      </c>
      <c r="EA108" s="649">
        <v>0.55342500000000006</v>
      </c>
      <c r="EB108" s="646">
        <v>5.8937773358686218</v>
      </c>
      <c r="EC108" s="646">
        <v>0</v>
      </c>
      <c r="ED108" s="646">
        <v>0</v>
      </c>
      <c r="EE108" s="646">
        <v>10.04576094298098</v>
      </c>
      <c r="EF108" s="646">
        <v>6.0355610087290013E-2</v>
      </c>
      <c r="EG108" s="646">
        <v>3600</v>
      </c>
      <c r="EH108" s="563" t="s">
        <v>1585</v>
      </c>
      <c r="EI108" s="563">
        <v>2</v>
      </c>
      <c r="EJ108" s="563">
        <v>0</v>
      </c>
      <c r="EK108" s="563">
        <v>0</v>
      </c>
      <c r="EL108" s="563">
        <v>0</v>
      </c>
      <c r="EM108" s="650">
        <v>21096.529983480275</v>
      </c>
      <c r="EN108" s="563">
        <v>0</v>
      </c>
      <c r="EO108" s="563">
        <v>0</v>
      </c>
      <c r="EP108" s="563">
        <v>0</v>
      </c>
      <c r="EQ108" s="650">
        <v>20589.051673646351</v>
      </c>
      <c r="ER108" s="564">
        <v>4000</v>
      </c>
      <c r="ES108" s="565">
        <v>68.067840827778852</v>
      </c>
      <c r="ET108" s="649">
        <v>0.55342500000000006</v>
      </c>
      <c r="EU108" s="646">
        <v>5.8937773358686218</v>
      </c>
      <c r="EV108" s="646">
        <v>0</v>
      </c>
      <c r="EW108" s="646">
        <v>0</v>
      </c>
      <c r="EX108" s="646">
        <v>10.04576094298098</v>
      </c>
      <c r="EY108" s="646">
        <v>6.0355610087290013E-2</v>
      </c>
      <c r="EZ108" s="646">
        <v>3600</v>
      </c>
      <c r="FA108" s="563" t="s">
        <v>1586</v>
      </c>
      <c r="FB108" s="563">
        <v>2</v>
      </c>
      <c r="FC108" s="563">
        <v>0</v>
      </c>
      <c r="FD108" s="563">
        <v>0</v>
      </c>
      <c r="FE108" s="563">
        <v>0</v>
      </c>
      <c r="FF108" s="650">
        <v>21531.555751182619</v>
      </c>
      <c r="FG108" s="563">
        <v>0</v>
      </c>
      <c r="FH108" s="563">
        <v>0</v>
      </c>
      <c r="FI108" s="563">
        <v>0</v>
      </c>
      <c r="FJ108" s="650">
        <v>21013.612870093519</v>
      </c>
      <c r="FK108" s="564">
        <v>4000</v>
      </c>
      <c r="FL108" s="565">
        <v>68.067840827778852</v>
      </c>
      <c r="FM108" s="649">
        <v>0.55342500000000006</v>
      </c>
      <c r="FN108" s="646">
        <v>5.8937773358686218</v>
      </c>
      <c r="FO108" s="646">
        <v>0</v>
      </c>
      <c r="FP108" s="646">
        <v>0</v>
      </c>
      <c r="FQ108" s="646">
        <v>10.04576094298098</v>
      </c>
      <c r="FR108" s="646">
        <v>6.0355610087290013E-2</v>
      </c>
      <c r="FS108" s="646">
        <v>3600</v>
      </c>
      <c r="FT108" s="563" t="s">
        <v>1586</v>
      </c>
      <c r="FU108" s="563">
        <v>2</v>
      </c>
      <c r="FV108" s="563">
        <v>0</v>
      </c>
      <c r="FW108" s="563">
        <v>0</v>
      </c>
      <c r="FX108" s="563">
        <v>0</v>
      </c>
      <c r="FY108" s="650">
        <v>21531.555751182619</v>
      </c>
      <c r="FZ108" s="563">
        <v>0</v>
      </c>
      <c r="GA108" s="563">
        <v>0</v>
      </c>
      <c r="GB108" s="563">
        <v>0</v>
      </c>
      <c r="GC108" s="650">
        <v>21013.612870093519</v>
      </c>
      <c r="GD108" s="564">
        <v>4000</v>
      </c>
      <c r="GE108" s="565">
        <v>68.067840827778852</v>
      </c>
      <c r="GF108" s="649">
        <v>0.55342500000000006</v>
      </c>
      <c r="GG108" s="646">
        <v>5.8937773358686218</v>
      </c>
      <c r="GH108" s="646">
        <v>0</v>
      </c>
      <c r="GI108" s="646">
        <v>0</v>
      </c>
      <c r="GJ108" s="646">
        <v>10.04576094298098</v>
      </c>
      <c r="GK108" s="646">
        <v>6.0355610087290013E-2</v>
      </c>
      <c r="GL108" s="646">
        <v>3600</v>
      </c>
      <c r="GM108" s="563" t="s">
        <v>1587</v>
      </c>
      <c r="GN108" s="563">
        <v>2</v>
      </c>
      <c r="GO108" s="563">
        <v>0</v>
      </c>
      <c r="GP108" s="563">
        <v>0</v>
      </c>
      <c r="GQ108" s="563">
        <v>0</v>
      </c>
      <c r="GR108" s="650">
        <v>28887.613392591837</v>
      </c>
      <c r="GS108" s="563">
        <v>0</v>
      </c>
      <c r="GT108" s="563">
        <v>0</v>
      </c>
      <c r="GU108" s="563">
        <v>0</v>
      </c>
      <c r="GV108" s="650">
        <v>28192.720098240501</v>
      </c>
      <c r="GW108" s="564">
        <v>4000</v>
      </c>
      <c r="GX108" s="565">
        <v>68.067840827778852</v>
      </c>
      <c r="GY108" s="649">
        <v>0.55342500000000006</v>
      </c>
      <c r="GZ108" s="646">
        <v>5.8937773358686218</v>
      </c>
      <c r="HA108" s="646">
        <v>0</v>
      </c>
      <c r="HB108" s="646">
        <v>0</v>
      </c>
      <c r="HC108" s="646">
        <v>10.04576094298098</v>
      </c>
      <c r="HD108" s="646">
        <v>6.0355610087290013E-2</v>
      </c>
      <c r="HE108" s="646">
        <v>3600</v>
      </c>
      <c r="HF108" s="563" t="s">
        <v>1587</v>
      </c>
      <c r="HG108" s="563">
        <v>2</v>
      </c>
      <c r="HH108" s="563">
        <v>0</v>
      </c>
      <c r="HI108" s="563">
        <v>0</v>
      </c>
      <c r="HJ108" s="563">
        <v>0</v>
      </c>
      <c r="HK108" s="650">
        <v>28887.613392591837</v>
      </c>
      <c r="HL108" s="563">
        <v>0</v>
      </c>
      <c r="HM108" s="563">
        <v>0</v>
      </c>
      <c r="HN108" s="563">
        <v>0</v>
      </c>
      <c r="HO108" s="650">
        <v>28192.720098240501</v>
      </c>
      <c r="HP108" s="564">
        <v>4000</v>
      </c>
      <c r="HQ108" s="565">
        <v>68.067840827778852</v>
      </c>
      <c r="HR108" s="649">
        <v>0.55342500000000006</v>
      </c>
      <c r="HS108" s="646">
        <v>5.8937773358686218</v>
      </c>
      <c r="HT108" s="646">
        <v>0</v>
      </c>
      <c r="HU108" s="646">
        <v>0</v>
      </c>
      <c r="HV108" s="646">
        <v>10.04576094298098</v>
      </c>
      <c r="HW108" s="646">
        <v>6.0355610087290013E-2</v>
      </c>
      <c r="HX108" s="646">
        <v>3600</v>
      </c>
      <c r="HY108" s="563" t="s">
        <v>68</v>
      </c>
      <c r="HZ108" s="563">
        <v>2</v>
      </c>
      <c r="IA108" s="563">
        <v>0</v>
      </c>
      <c r="IB108" s="563">
        <v>0</v>
      </c>
      <c r="IC108" s="563">
        <v>0</v>
      </c>
      <c r="ID108" s="650">
        <v>25476.480335662913</v>
      </c>
      <c r="IE108" s="563">
        <v>0</v>
      </c>
      <c r="IF108" s="563">
        <v>0</v>
      </c>
      <c r="IG108" s="563">
        <v>0</v>
      </c>
      <c r="IH108" s="650">
        <v>24863.64205413255</v>
      </c>
      <c r="II108" s="564">
        <v>4000</v>
      </c>
      <c r="IJ108" s="565">
        <v>68.067840827778852</v>
      </c>
      <c r="IK108" s="649">
        <v>0.55342500000000006</v>
      </c>
      <c r="IL108" s="646">
        <v>5.8937773358686218</v>
      </c>
      <c r="IM108" s="646">
        <v>0</v>
      </c>
      <c r="IN108" s="646">
        <v>0</v>
      </c>
      <c r="IO108" s="646">
        <v>10.04576094298098</v>
      </c>
      <c r="IP108" s="646">
        <v>6.0355610087290013E-2</v>
      </c>
      <c r="IQ108" s="646">
        <v>3600</v>
      </c>
      <c r="IR108" s="563" t="s">
        <v>68</v>
      </c>
      <c r="IS108" s="563">
        <v>2</v>
      </c>
      <c r="IT108" s="563">
        <v>0</v>
      </c>
      <c r="IU108" s="563">
        <v>0</v>
      </c>
      <c r="IV108" s="563">
        <v>0</v>
      </c>
      <c r="IW108" s="650">
        <v>25476.480335662913</v>
      </c>
      <c r="IX108" s="563">
        <v>0</v>
      </c>
      <c r="IY108" s="563">
        <v>0</v>
      </c>
      <c r="IZ108" s="563">
        <v>0</v>
      </c>
      <c r="JA108" s="650">
        <v>24863.64205413255</v>
      </c>
      <c r="JB108" s="564">
        <v>4000</v>
      </c>
      <c r="JC108" s="565">
        <v>68.067840827778852</v>
      </c>
      <c r="JD108" s="649">
        <v>0.55342500000000006</v>
      </c>
      <c r="JE108" s="646">
        <v>5.8937773358686218</v>
      </c>
      <c r="JF108" s="646">
        <v>0</v>
      </c>
      <c r="JG108" s="646">
        <v>0</v>
      </c>
      <c r="JH108" s="646">
        <v>10.04576094298098</v>
      </c>
      <c r="JI108" s="646">
        <v>6.0355610087290013E-2</v>
      </c>
      <c r="JJ108" s="646">
        <v>3600</v>
      </c>
      <c r="JK108" s="563" t="s">
        <v>67</v>
      </c>
      <c r="JL108" s="563">
        <v>2</v>
      </c>
      <c r="JM108" s="563">
        <v>0</v>
      </c>
      <c r="JN108" s="563">
        <v>0</v>
      </c>
      <c r="JO108" s="563">
        <v>0</v>
      </c>
      <c r="JP108" s="650">
        <v>34718.590437595121</v>
      </c>
      <c r="JQ108" s="563">
        <v>0</v>
      </c>
      <c r="JR108" s="563">
        <v>0</v>
      </c>
      <c r="JS108" s="563">
        <v>0</v>
      </c>
      <c r="JT108" s="650">
        <v>33883.432636337078</v>
      </c>
      <c r="JU108" s="564">
        <v>4000</v>
      </c>
      <c r="JV108" s="565">
        <v>68.067840827778852</v>
      </c>
      <c r="JW108" s="649">
        <v>0.55342500000000006</v>
      </c>
      <c r="JX108" s="646">
        <v>5.8937773358686218</v>
      </c>
      <c r="JY108" s="646">
        <v>0</v>
      </c>
      <c r="JZ108" s="646">
        <v>0</v>
      </c>
      <c r="KA108" s="646">
        <v>10.04576094298098</v>
      </c>
      <c r="KB108" s="646">
        <v>6.0355610087290013E-2</v>
      </c>
      <c r="KC108" s="646">
        <v>3600</v>
      </c>
      <c r="KD108" s="563" t="s">
        <v>67</v>
      </c>
      <c r="KE108" s="563">
        <v>2</v>
      </c>
      <c r="KF108" s="563">
        <v>0</v>
      </c>
      <c r="KG108" s="563">
        <v>0</v>
      </c>
      <c r="KH108" s="563">
        <v>0</v>
      </c>
      <c r="KI108" s="650">
        <v>34718.590437595121</v>
      </c>
      <c r="KJ108" s="563">
        <v>0</v>
      </c>
      <c r="KK108" s="563">
        <v>0</v>
      </c>
      <c r="KL108" s="563">
        <v>0</v>
      </c>
      <c r="KM108" s="650">
        <v>33883.432636337078</v>
      </c>
      <c r="KN108" s="564">
        <v>4000</v>
      </c>
      <c r="KO108" s="566">
        <v>68.067840827778852</v>
      </c>
    </row>
    <row r="109" spans="1:301" s="768" customFormat="1" ht="13.5">
      <c r="A109" s="663" t="s">
        <v>863</v>
      </c>
      <c r="B109" s="629" t="s">
        <v>382</v>
      </c>
      <c r="C109" s="629">
        <v>117</v>
      </c>
      <c r="D109" s="629">
        <v>325</v>
      </c>
      <c r="E109" s="629">
        <v>131</v>
      </c>
      <c r="F109" s="629">
        <v>117</v>
      </c>
      <c r="G109" s="629">
        <v>44</v>
      </c>
      <c r="H109" s="629">
        <v>30</v>
      </c>
      <c r="I109" s="629">
        <v>30</v>
      </c>
      <c r="J109" s="629">
        <v>26.5</v>
      </c>
      <c r="K109" s="629">
        <v>64.3</v>
      </c>
      <c r="L109" s="629">
        <v>12</v>
      </c>
      <c r="M109" s="629">
        <v>112</v>
      </c>
      <c r="N109" s="629">
        <v>2</v>
      </c>
      <c r="O109" s="623">
        <v>1.0908275710906323</v>
      </c>
      <c r="P109" s="629">
        <v>2</v>
      </c>
      <c r="Q109" s="623">
        <v>0.6542294717324586</v>
      </c>
      <c r="R109" s="629">
        <v>10</v>
      </c>
      <c r="S109" s="629">
        <v>229.27768956812329</v>
      </c>
      <c r="T109" s="645">
        <v>3.241030600532862</v>
      </c>
      <c r="U109" s="645">
        <v>34.391653435218494</v>
      </c>
      <c r="V109" s="645">
        <v>35</v>
      </c>
      <c r="W109" s="793">
        <v>0.19142336984397215</v>
      </c>
      <c r="X109" s="646">
        <v>0</v>
      </c>
      <c r="Y109" s="646">
        <v>0</v>
      </c>
      <c r="Z109" s="646">
        <v>0</v>
      </c>
      <c r="AA109" s="646">
        <v>0</v>
      </c>
      <c r="AB109" s="647">
        <v>0.24836415937429204</v>
      </c>
      <c r="AC109" s="784">
        <v>4000</v>
      </c>
      <c r="AD109" s="631">
        <v>3.9949988913310319</v>
      </c>
      <c r="AE109" s="631">
        <v>0.49858160805343149</v>
      </c>
      <c r="AF109" s="631">
        <v>-0.24932516240336286</v>
      </c>
      <c r="AG109" s="631">
        <v>0.91162571233737433</v>
      </c>
      <c r="AH109" s="629"/>
      <c r="AI109" s="648">
        <v>0.39096809311792657</v>
      </c>
      <c r="AJ109" s="649">
        <v>0.94953600000000005</v>
      </c>
      <c r="AK109" s="646">
        <v>6.1270470131999248</v>
      </c>
      <c r="AL109" s="646">
        <v>0</v>
      </c>
      <c r="AM109" s="646">
        <v>0</v>
      </c>
      <c r="AN109" s="646">
        <v>10.964035110985897</v>
      </c>
      <c r="AO109" s="646">
        <v>6.5137665061576117E-2</v>
      </c>
      <c r="AP109" s="801">
        <v>3600</v>
      </c>
      <c r="AQ109" s="563" t="s">
        <v>71</v>
      </c>
      <c r="AR109" s="563">
        <v>3</v>
      </c>
      <c r="AS109" s="563">
        <v>0</v>
      </c>
      <c r="AT109" s="563">
        <v>0</v>
      </c>
      <c r="AU109" s="563">
        <v>0</v>
      </c>
      <c r="AV109" s="650">
        <v>24198.43249492384</v>
      </c>
      <c r="AW109" s="563">
        <v>0</v>
      </c>
      <c r="AX109" s="563">
        <v>0</v>
      </c>
      <c r="AY109" s="563">
        <v>0</v>
      </c>
      <c r="AZ109" s="650">
        <v>27172.194555009104</v>
      </c>
      <c r="BA109" s="564">
        <v>4000</v>
      </c>
      <c r="BB109" s="565">
        <v>68.067840827778852</v>
      </c>
      <c r="BC109" s="649">
        <v>0.94953600000000005</v>
      </c>
      <c r="BD109" s="646">
        <v>6.1270470131999248</v>
      </c>
      <c r="BE109" s="646">
        <v>0</v>
      </c>
      <c r="BF109" s="646">
        <v>0</v>
      </c>
      <c r="BG109" s="646">
        <v>10.964035110985897</v>
      </c>
      <c r="BH109" s="646">
        <v>6.5137665061576117E-2</v>
      </c>
      <c r="BI109" s="646">
        <v>3600</v>
      </c>
      <c r="BJ109" s="563" t="s">
        <v>71</v>
      </c>
      <c r="BK109" s="563">
        <v>3</v>
      </c>
      <c r="BL109" s="563">
        <v>0</v>
      </c>
      <c r="BM109" s="563">
        <v>0</v>
      </c>
      <c r="BN109" s="563">
        <v>0</v>
      </c>
      <c r="BO109" s="650">
        <v>24198.43249492384</v>
      </c>
      <c r="BP109" s="563">
        <v>0</v>
      </c>
      <c r="BQ109" s="563">
        <v>0</v>
      </c>
      <c r="BR109" s="563">
        <v>0</v>
      </c>
      <c r="BS109" s="650">
        <v>27172.194555009104</v>
      </c>
      <c r="BT109" s="564">
        <v>4000</v>
      </c>
      <c r="BU109" s="565">
        <v>68.067840827778852</v>
      </c>
      <c r="BV109" s="649">
        <v>0.63302400000000003</v>
      </c>
      <c r="BW109" s="646">
        <v>5.8105350131999245</v>
      </c>
      <c r="BX109" s="646">
        <v>0</v>
      </c>
      <c r="BY109" s="646">
        <v>0</v>
      </c>
      <c r="BZ109" s="646">
        <v>10.744187658720373</v>
      </c>
      <c r="CA109" s="646">
        <v>6.0417125965576121E-2</v>
      </c>
      <c r="CB109" s="646">
        <v>3600</v>
      </c>
      <c r="CC109" s="563" t="s">
        <v>1584</v>
      </c>
      <c r="CD109" s="563">
        <v>2</v>
      </c>
      <c r="CE109" s="563">
        <v>0</v>
      </c>
      <c r="CF109" s="563">
        <v>0</v>
      </c>
      <c r="CG109" s="563">
        <v>0</v>
      </c>
      <c r="CH109" s="650">
        <v>15446.582356571156</v>
      </c>
      <c r="CI109" s="563">
        <v>0</v>
      </c>
      <c r="CJ109" s="563">
        <v>0</v>
      </c>
      <c r="CK109" s="563">
        <v>0</v>
      </c>
      <c r="CL109" s="650">
        <v>15075.013880025812</v>
      </c>
      <c r="CM109" s="564">
        <v>4000</v>
      </c>
      <c r="CN109" s="565">
        <v>68.067840827778852</v>
      </c>
      <c r="CO109" s="649">
        <v>0.63302400000000003</v>
      </c>
      <c r="CP109" s="646">
        <v>5.8105350131999245</v>
      </c>
      <c r="CQ109" s="646">
        <v>0</v>
      </c>
      <c r="CR109" s="646">
        <v>0</v>
      </c>
      <c r="CS109" s="646">
        <v>10.744187658720373</v>
      </c>
      <c r="CT109" s="646">
        <v>6.0417125965576121E-2</v>
      </c>
      <c r="CU109" s="646">
        <v>3600</v>
      </c>
      <c r="CV109" s="563" t="s">
        <v>1584</v>
      </c>
      <c r="CW109" s="563">
        <v>2</v>
      </c>
      <c r="CX109" s="563">
        <v>0</v>
      </c>
      <c r="CY109" s="563">
        <v>0</v>
      </c>
      <c r="CZ109" s="563">
        <v>0</v>
      </c>
      <c r="DA109" s="650">
        <v>15446.582356571156</v>
      </c>
      <c r="DB109" s="563">
        <v>0</v>
      </c>
      <c r="DC109" s="563">
        <v>0</v>
      </c>
      <c r="DD109" s="563">
        <v>0</v>
      </c>
      <c r="DE109" s="650">
        <v>15075.013880025812</v>
      </c>
      <c r="DF109" s="564">
        <v>4000</v>
      </c>
      <c r="DG109" s="565">
        <v>68.067840827778852</v>
      </c>
      <c r="DH109" s="649">
        <v>0.63302400000000003</v>
      </c>
      <c r="DI109" s="646">
        <v>5.8105350131999245</v>
      </c>
      <c r="DJ109" s="646">
        <v>0</v>
      </c>
      <c r="DK109" s="646">
        <v>0</v>
      </c>
      <c r="DL109" s="646">
        <v>10.744187658720373</v>
      </c>
      <c r="DM109" s="646">
        <v>6.0417125965576121E-2</v>
      </c>
      <c r="DN109" s="646">
        <v>3600</v>
      </c>
      <c r="DO109" s="563" t="s">
        <v>1585</v>
      </c>
      <c r="DP109" s="563">
        <v>2</v>
      </c>
      <c r="DQ109" s="563">
        <v>0</v>
      </c>
      <c r="DR109" s="563">
        <v>0</v>
      </c>
      <c r="DS109" s="563">
        <v>0</v>
      </c>
      <c r="DT109" s="650">
        <v>16513.091135673196</v>
      </c>
      <c r="DU109" s="563">
        <v>0</v>
      </c>
      <c r="DV109" s="563">
        <v>0</v>
      </c>
      <c r="DW109" s="563">
        <v>0</v>
      </c>
      <c r="DX109" s="650">
        <v>16115.867725654296</v>
      </c>
      <c r="DY109" s="564">
        <v>4000</v>
      </c>
      <c r="DZ109" s="565">
        <v>68.067840827778852</v>
      </c>
      <c r="EA109" s="649">
        <v>0.63302400000000003</v>
      </c>
      <c r="EB109" s="646">
        <v>5.8105350131999245</v>
      </c>
      <c r="EC109" s="646">
        <v>0</v>
      </c>
      <c r="ED109" s="646">
        <v>0</v>
      </c>
      <c r="EE109" s="646">
        <v>10.744187658720373</v>
      </c>
      <c r="EF109" s="646">
        <v>6.0417125965576121E-2</v>
      </c>
      <c r="EG109" s="646">
        <v>3600</v>
      </c>
      <c r="EH109" s="563" t="s">
        <v>1585</v>
      </c>
      <c r="EI109" s="563">
        <v>2</v>
      </c>
      <c r="EJ109" s="563">
        <v>0</v>
      </c>
      <c r="EK109" s="563">
        <v>0</v>
      </c>
      <c r="EL109" s="563">
        <v>0</v>
      </c>
      <c r="EM109" s="650">
        <v>16513.091135673196</v>
      </c>
      <c r="EN109" s="563">
        <v>0</v>
      </c>
      <c r="EO109" s="563">
        <v>0</v>
      </c>
      <c r="EP109" s="563">
        <v>0</v>
      </c>
      <c r="EQ109" s="650">
        <v>16115.867725654296</v>
      </c>
      <c r="ER109" s="564">
        <v>4000</v>
      </c>
      <c r="ES109" s="565">
        <v>68.067840827778852</v>
      </c>
      <c r="ET109" s="649">
        <v>0.63302400000000003</v>
      </c>
      <c r="EU109" s="646">
        <v>5.8105350131999245</v>
      </c>
      <c r="EV109" s="646">
        <v>0</v>
      </c>
      <c r="EW109" s="646">
        <v>0</v>
      </c>
      <c r="EX109" s="646">
        <v>10.744187658720373</v>
      </c>
      <c r="EY109" s="646">
        <v>6.0417125965576121E-2</v>
      </c>
      <c r="EZ109" s="646">
        <v>3600</v>
      </c>
      <c r="FA109" s="563" t="s">
        <v>1586</v>
      </c>
      <c r="FB109" s="563">
        <v>2</v>
      </c>
      <c r="FC109" s="563">
        <v>0</v>
      </c>
      <c r="FD109" s="563">
        <v>0</v>
      </c>
      <c r="FE109" s="563">
        <v>0</v>
      </c>
      <c r="FF109" s="650">
        <v>16853.603066010302</v>
      </c>
      <c r="FG109" s="563">
        <v>0</v>
      </c>
      <c r="FH109" s="563">
        <v>0</v>
      </c>
      <c r="FI109" s="563">
        <v>0</v>
      </c>
      <c r="FJ109" s="650">
        <v>16448.188620846733</v>
      </c>
      <c r="FK109" s="564">
        <v>4000</v>
      </c>
      <c r="FL109" s="565">
        <v>68.067840827778852</v>
      </c>
      <c r="FM109" s="649">
        <v>0.63302400000000003</v>
      </c>
      <c r="FN109" s="646">
        <v>5.8105350131999245</v>
      </c>
      <c r="FO109" s="646">
        <v>0</v>
      </c>
      <c r="FP109" s="646">
        <v>0</v>
      </c>
      <c r="FQ109" s="646">
        <v>10.744187658720373</v>
      </c>
      <c r="FR109" s="646">
        <v>6.0417125965576121E-2</v>
      </c>
      <c r="FS109" s="646">
        <v>3600</v>
      </c>
      <c r="FT109" s="563" t="s">
        <v>1586</v>
      </c>
      <c r="FU109" s="563">
        <v>2</v>
      </c>
      <c r="FV109" s="563">
        <v>0</v>
      </c>
      <c r="FW109" s="563">
        <v>0</v>
      </c>
      <c r="FX109" s="563">
        <v>0</v>
      </c>
      <c r="FY109" s="650">
        <v>16853.603066010302</v>
      </c>
      <c r="FZ109" s="563">
        <v>0</v>
      </c>
      <c r="GA109" s="563">
        <v>0</v>
      </c>
      <c r="GB109" s="563">
        <v>0</v>
      </c>
      <c r="GC109" s="650">
        <v>16448.188620846733</v>
      </c>
      <c r="GD109" s="564">
        <v>4000</v>
      </c>
      <c r="GE109" s="565">
        <v>68.067840827778852</v>
      </c>
      <c r="GF109" s="649">
        <v>0.63302400000000003</v>
      </c>
      <c r="GG109" s="646">
        <v>5.8105350131999245</v>
      </c>
      <c r="GH109" s="646">
        <v>0</v>
      </c>
      <c r="GI109" s="646">
        <v>0</v>
      </c>
      <c r="GJ109" s="646">
        <v>10.744187658720373</v>
      </c>
      <c r="GK109" s="646">
        <v>6.0417125965576121E-2</v>
      </c>
      <c r="GL109" s="646">
        <v>3600</v>
      </c>
      <c r="GM109" s="563" t="s">
        <v>1587</v>
      </c>
      <c r="GN109" s="563">
        <v>2</v>
      </c>
      <c r="GO109" s="563">
        <v>0</v>
      </c>
      <c r="GP109" s="563">
        <v>0</v>
      </c>
      <c r="GQ109" s="563">
        <v>0</v>
      </c>
      <c r="GR109" s="650">
        <v>22611.481272855533</v>
      </c>
      <c r="GS109" s="563">
        <v>0</v>
      </c>
      <c r="GT109" s="563">
        <v>0</v>
      </c>
      <c r="GU109" s="563">
        <v>0</v>
      </c>
      <c r="GV109" s="650">
        <v>22067.560717776698</v>
      </c>
      <c r="GW109" s="564">
        <v>4000</v>
      </c>
      <c r="GX109" s="565">
        <v>68.067840827778852</v>
      </c>
      <c r="GY109" s="649">
        <v>0.63302400000000003</v>
      </c>
      <c r="GZ109" s="646">
        <v>5.8105350131999245</v>
      </c>
      <c r="HA109" s="646">
        <v>0</v>
      </c>
      <c r="HB109" s="646">
        <v>0</v>
      </c>
      <c r="HC109" s="646">
        <v>10.744187658720373</v>
      </c>
      <c r="HD109" s="646">
        <v>6.0417125965576121E-2</v>
      </c>
      <c r="HE109" s="646">
        <v>3600</v>
      </c>
      <c r="HF109" s="563" t="s">
        <v>1587</v>
      </c>
      <c r="HG109" s="563">
        <v>2</v>
      </c>
      <c r="HH109" s="563">
        <v>0</v>
      </c>
      <c r="HI109" s="563">
        <v>0</v>
      </c>
      <c r="HJ109" s="563">
        <v>0</v>
      </c>
      <c r="HK109" s="650">
        <v>22611.481272855533</v>
      </c>
      <c r="HL109" s="563">
        <v>0</v>
      </c>
      <c r="HM109" s="563">
        <v>0</v>
      </c>
      <c r="HN109" s="563">
        <v>0</v>
      </c>
      <c r="HO109" s="650">
        <v>22067.560717776698</v>
      </c>
      <c r="HP109" s="564">
        <v>4000</v>
      </c>
      <c r="HQ109" s="565">
        <v>68.067840827778852</v>
      </c>
      <c r="HR109" s="649">
        <v>0.63302400000000003</v>
      </c>
      <c r="HS109" s="646">
        <v>5.8105350131999245</v>
      </c>
      <c r="HT109" s="646">
        <v>0</v>
      </c>
      <c r="HU109" s="646">
        <v>0</v>
      </c>
      <c r="HV109" s="646">
        <v>10.744187658720373</v>
      </c>
      <c r="HW109" s="646">
        <v>6.0417125965576121E-2</v>
      </c>
      <c r="HX109" s="646">
        <v>3600</v>
      </c>
      <c r="HY109" s="563" t="s">
        <v>68</v>
      </c>
      <c r="HZ109" s="563">
        <v>2</v>
      </c>
      <c r="IA109" s="563">
        <v>0</v>
      </c>
      <c r="IB109" s="563">
        <v>0</v>
      </c>
      <c r="IC109" s="563">
        <v>0</v>
      </c>
      <c r="ID109" s="650">
        <v>19941.452074273533</v>
      </c>
      <c r="IE109" s="563">
        <v>0</v>
      </c>
      <c r="IF109" s="563">
        <v>0</v>
      </c>
      <c r="IG109" s="563">
        <v>0</v>
      </c>
      <c r="IH109" s="650">
        <v>19461.759233684981</v>
      </c>
      <c r="II109" s="564">
        <v>4000</v>
      </c>
      <c r="IJ109" s="565">
        <v>68.067840827778852</v>
      </c>
      <c r="IK109" s="649">
        <v>0.63302400000000003</v>
      </c>
      <c r="IL109" s="646">
        <v>5.8105350131999245</v>
      </c>
      <c r="IM109" s="646">
        <v>0</v>
      </c>
      <c r="IN109" s="646">
        <v>0</v>
      </c>
      <c r="IO109" s="646">
        <v>10.744187658720373</v>
      </c>
      <c r="IP109" s="646">
        <v>6.0417125965576121E-2</v>
      </c>
      <c r="IQ109" s="646">
        <v>3600</v>
      </c>
      <c r="IR109" s="563" t="s">
        <v>68</v>
      </c>
      <c r="IS109" s="563">
        <v>2</v>
      </c>
      <c r="IT109" s="563">
        <v>0</v>
      </c>
      <c r="IU109" s="563">
        <v>0</v>
      </c>
      <c r="IV109" s="563">
        <v>0</v>
      </c>
      <c r="IW109" s="650">
        <v>19941.452074273533</v>
      </c>
      <c r="IX109" s="563">
        <v>0</v>
      </c>
      <c r="IY109" s="563">
        <v>0</v>
      </c>
      <c r="IZ109" s="563">
        <v>0</v>
      </c>
      <c r="JA109" s="650">
        <v>19461.759233684981</v>
      </c>
      <c r="JB109" s="564">
        <v>4000</v>
      </c>
      <c r="JC109" s="565">
        <v>68.067840827778852</v>
      </c>
      <c r="JD109" s="649">
        <v>0.63302400000000003</v>
      </c>
      <c r="JE109" s="646">
        <v>5.8105350131999245</v>
      </c>
      <c r="JF109" s="646">
        <v>0</v>
      </c>
      <c r="JG109" s="646">
        <v>0</v>
      </c>
      <c r="JH109" s="646">
        <v>10.744187658720373</v>
      </c>
      <c r="JI109" s="646">
        <v>6.0417125965576121E-2</v>
      </c>
      <c r="JJ109" s="646">
        <v>3600</v>
      </c>
      <c r="JK109" s="563" t="s">
        <v>67</v>
      </c>
      <c r="JL109" s="563">
        <v>2</v>
      </c>
      <c r="JM109" s="563">
        <v>0</v>
      </c>
      <c r="JN109" s="563">
        <v>0</v>
      </c>
      <c r="JO109" s="563">
        <v>0</v>
      </c>
      <c r="JP109" s="650">
        <v>27175.618381181492</v>
      </c>
      <c r="JQ109" s="563">
        <v>0</v>
      </c>
      <c r="JR109" s="563">
        <v>0</v>
      </c>
      <c r="JS109" s="563">
        <v>0</v>
      </c>
      <c r="JT109" s="650">
        <v>26521.907230787354</v>
      </c>
      <c r="JU109" s="564">
        <v>4000</v>
      </c>
      <c r="JV109" s="565">
        <v>68.067840827778852</v>
      </c>
      <c r="JW109" s="649">
        <v>0.63302400000000003</v>
      </c>
      <c r="JX109" s="646">
        <v>5.8105350131999245</v>
      </c>
      <c r="JY109" s="646">
        <v>0</v>
      </c>
      <c r="JZ109" s="646">
        <v>0</v>
      </c>
      <c r="KA109" s="646">
        <v>10.744187658720373</v>
      </c>
      <c r="KB109" s="646">
        <v>6.0417125965576121E-2</v>
      </c>
      <c r="KC109" s="646">
        <v>3600</v>
      </c>
      <c r="KD109" s="563" t="s">
        <v>67</v>
      </c>
      <c r="KE109" s="563">
        <v>2</v>
      </c>
      <c r="KF109" s="563">
        <v>0</v>
      </c>
      <c r="KG109" s="563">
        <v>0</v>
      </c>
      <c r="KH109" s="563">
        <v>0</v>
      </c>
      <c r="KI109" s="650">
        <v>27175.618381181492</v>
      </c>
      <c r="KJ109" s="563">
        <v>0</v>
      </c>
      <c r="KK109" s="563">
        <v>0</v>
      </c>
      <c r="KL109" s="563">
        <v>0</v>
      </c>
      <c r="KM109" s="650">
        <v>26521.907230787354</v>
      </c>
      <c r="KN109" s="564">
        <v>4000</v>
      </c>
      <c r="KO109" s="566">
        <v>68.067840827778852</v>
      </c>
    </row>
    <row r="110" spans="1:301" ht="15" customHeight="1">
      <c r="A110" s="663" t="s">
        <v>864</v>
      </c>
      <c r="B110" s="629" t="s">
        <v>382</v>
      </c>
      <c r="C110" s="629">
        <v>150</v>
      </c>
      <c r="D110" s="629">
        <v>392</v>
      </c>
      <c r="E110" s="629">
        <v>106</v>
      </c>
      <c r="F110" s="629">
        <v>150</v>
      </c>
      <c r="G110" s="629">
        <v>34</v>
      </c>
      <c r="H110" s="629">
        <v>20</v>
      </c>
      <c r="I110" s="629">
        <v>20</v>
      </c>
      <c r="J110" s="629">
        <v>36.299999999999997</v>
      </c>
      <c r="K110" s="629">
        <v>71</v>
      </c>
      <c r="L110" s="629">
        <v>16</v>
      </c>
      <c r="M110" s="629">
        <v>140</v>
      </c>
      <c r="N110" s="629">
        <v>2</v>
      </c>
      <c r="O110" s="623">
        <v>1.7562442269770366</v>
      </c>
      <c r="P110" s="629">
        <v>2</v>
      </c>
      <c r="Q110" s="623">
        <v>1.0377675425046269</v>
      </c>
      <c r="R110" s="629">
        <v>10</v>
      </c>
      <c r="S110" s="629">
        <v>263.6343403108051</v>
      </c>
      <c r="T110" s="645">
        <v>4.2851250228308473</v>
      </c>
      <c r="U110" s="645">
        <v>39.545151046620767</v>
      </c>
      <c r="V110" s="645">
        <v>47.5</v>
      </c>
      <c r="W110" s="793">
        <v>0.34347955261128515</v>
      </c>
      <c r="X110" s="646">
        <v>0</v>
      </c>
      <c r="Y110" s="646">
        <v>0</v>
      </c>
      <c r="Z110" s="646">
        <v>0</v>
      </c>
      <c r="AA110" s="646">
        <v>0</v>
      </c>
      <c r="AB110" s="647">
        <v>0.28207907165421753</v>
      </c>
      <c r="AC110" s="784">
        <v>4000</v>
      </c>
      <c r="AD110" s="631">
        <v>3.7663740353229072</v>
      </c>
      <c r="AE110" s="631">
        <v>0.73457302819491621</v>
      </c>
      <c r="AF110" s="631">
        <v>-0.12481764620040277</v>
      </c>
      <c r="AG110" s="631">
        <v>0.80529364887095889</v>
      </c>
      <c r="AH110" s="629"/>
      <c r="AI110" s="648">
        <v>0.53700677616833692</v>
      </c>
      <c r="AJ110" s="649">
        <v>1.0550400000000002</v>
      </c>
      <c r="AK110" s="646">
        <v>8.4776563449237958</v>
      </c>
      <c r="AL110" s="646">
        <v>0</v>
      </c>
      <c r="AM110" s="646">
        <v>0</v>
      </c>
      <c r="AN110" s="646">
        <v>8.9996944280953191</v>
      </c>
      <c r="AO110" s="646">
        <v>0.12561120015979091</v>
      </c>
      <c r="AP110" s="801">
        <v>3600</v>
      </c>
      <c r="AQ110" s="563" t="s">
        <v>71</v>
      </c>
      <c r="AR110" s="563">
        <v>3</v>
      </c>
      <c r="AS110" s="563">
        <v>0</v>
      </c>
      <c r="AT110" s="563">
        <v>0</v>
      </c>
      <c r="AU110" s="563">
        <v>0</v>
      </c>
      <c r="AV110" s="650">
        <v>49924.643062533505</v>
      </c>
      <c r="AW110" s="563">
        <v>0</v>
      </c>
      <c r="AX110" s="563">
        <v>0</v>
      </c>
      <c r="AY110" s="563">
        <v>0</v>
      </c>
      <c r="AZ110" s="650">
        <v>81554.83343341024</v>
      </c>
      <c r="BA110" s="564">
        <v>4000</v>
      </c>
      <c r="BB110" s="565">
        <v>82.100288013813255</v>
      </c>
      <c r="BC110" s="649">
        <v>1.0550400000000002</v>
      </c>
      <c r="BD110" s="646">
        <v>8.4776563449237958</v>
      </c>
      <c r="BE110" s="646">
        <v>0</v>
      </c>
      <c r="BF110" s="646">
        <v>0</v>
      </c>
      <c r="BG110" s="646">
        <v>8.9996944280953191</v>
      </c>
      <c r="BH110" s="646">
        <v>0.12561120015979091</v>
      </c>
      <c r="BI110" s="646">
        <v>3600</v>
      </c>
      <c r="BJ110" s="563" t="s">
        <v>71</v>
      </c>
      <c r="BK110" s="563">
        <v>3</v>
      </c>
      <c r="BL110" s="563">
        <v>0</v>
      </c>
      <c r="BM110" s="563">
        <v>0</v>
      </c>
      <c r="BN110" s="563">
        <v>0</v>
      </c>
      <c r="BO110" s="650">
        <v>49924.643062533505</v>
      </c>
      <c r="BP110" s="563">
        <v>0</v>
      </c>
      <c r="BQ110" s="563">
        <v>0</v>
      </c>
      <c r="BR110" s="563">
        <v>0</v>
      </c>
      <c r="BS110" s="650">
        <v>81554.83343341024</v>
      </c>
      <c r="BT110" s="564">
        <v>4000</v>
      </c>
      <c r="BU110" s="565">
        <v>82.100288013813255</v>
      </c>
      <c r="BV110" s="649">
        <v>0.7033600000000001</v>
      </c>
      <c r="BW110" s="646">
        <v>8.1259763449237958</v>
      </c>
      <c r="BX110" s="646">
        <v>0</v>
      </c>
      <c r="BY110" s="646">
        <v>0</v>
      </c>
      <c r="BZ110" s="646">
        <v>8.9564027116793348</v>
      </c>
      <c r="CA110" s="646">
        <v>0.11786703071979091</v>
      </c>
      <c r="CB110" s="646">
        <v>3600</v>
      </c>
      <c r="CC110" s="563" t="s">
        <v>1584</v>
      </c>
      <c r="CD110" s="563">
        <v>2</v>
      </c>
      <c r="CE110" s="563">
        <v>0</v>
      </c>
      <c r="CF110" s="563">
        <v>0</v>
      </c>
      <c r="CG110" s="563">
        <v>0</v>
      </c>
      <c r="CH110" s="650">
        <v>28931.077550928319</v>
      </c>
      <c r="CI110" s="563">
        <v>0</v>
      </c>
      <c r="CJ110" s="563">
        <v>0</v>
      </c>
      <c r="CK110" s="563">
        <v>0</v>
      </c>
      <c r="CL110" s="650">
        <v>28229.629283020069</v>
      </c>
      <c r="CM110" s="564">
        <v>4000</v>
      </c>
      <c r="CN110" s="565">
        <v>82.100288013813255</v>
      </c>
      <c r="CO110" s="649">
        <v>0.7033600000000001</v>
      </c>
      <c r="CP110" s="646">
        <v>8.1259763449237958</v>
      </c>
      <c r="CQ110" s="646">
        <v>0</v>
      </c>
      <c r="CR110" s="646">
        <v>0</v>
      </c>
      <c r="CS110" s="646">
        <v>8.9564027116793348</v>
      </c>
      <c r="CT110" s="646">
        <v>0.11786703071979091</v>
      </c>
      <c r="CU110" s="646">
        <v>3600</v>
      </c>
      <c r="CV110" s="563" t="s">
        <v>1584</v>
      </c>
      <c r="CW110" s="563">
        <v>2</v>
      </c>
      <c r="CX110" s="563">
        <v>0</v>
      </c>
      <c r="CY110" s="563">
        <v>0</v>
      </c>
      <c r="CZ110" s="563">
        <v>0</v>
      </c>
      <c r="DA110" s="650">
        <v>28931.077550928319</v>
      </c>
      <c r="DB110" s="563">
        <v>0</v>
      </c>
      <c r="DC110" s="563">
        <v>0</v>
      </c>
      <c r="DD110" s="563">
        <v>0</v>
      </c>
      <c r="DE110" s="650">
        <v>28229.629283020069</v>
      </c>
      <c r="DF110" s="564">
        <v>4000</v>
      </c>
      <c r="DG110" s="565">
        <v>82.100288013813255</v>
      </c>
      <c r="DH110" s="649">
        <v>0.7033600000000001</v>
      </c>
      <c r="DI110" s="646">
        <v>8.1259763449237958</v>
      </c>
      <c r="DJ110" s="646">
        <v>0</v>
      </c>
      <c r="DK110" s="646">
        <v>0</v>
      </c>
      <c r="DL110" s="646">
        <v>8.9564027116793348</v>
      </c>
      <c r="DM110" s="646">
        <v>0.11786703071979091</v>
      </c>
      <c r="DN110" s="646">
        <v>3600</v>
      </c>
      <c r="DO110" s="563" t="s">
        <v>1585</v>
      </c>
      <c r="DP110" s="563">
        <v>2</v>
      </c>
      <c r="DQ110" s="563">
        <v>0</v>
      </c>
      <c r="DR110" s="563">
        <v>0</v>
      </c>
      <c r="DS110" s="563">
        <v>0</v>
      </c>
      <c r="DT110" s="650">
        <v>30928.622864508561</v>
      </c>
      <c r="DU110" s="563">
        <v>0</v>
      </c>
      <c r="DV110" s="563">
        <v>0</v>
      </c>
      <c r="DW110" s="563">
        <v>0</v>
      </c>
      <c r="DX110" s="650">
        <v>30178.743123629556</v>
      </c>
      <c r="DY110" s="564">
        <v>4000</v>
      </c>
      <c r="DZ110" s="565">
        <v>82.100288013813255</v>
      </c>
      <c r="EA110" s="649">
        <v>0.7033600000000001</v>
      </c>
      <c r="EB110" s="646">
        <v>8.1259763449237958</v>
      </c>
      <c r="EC110" s="646">
        <v>0</v>
      </c>
      <c r="ED110" s="646">
        <v>0</v>
      </c>
      <c r="EE110" s="646">
        <v>8.9564027116793348</v>
      </c>
      <c r="EF110" s="646">
        <v>0.11786703071979091</v>
      </c>
      <c r="EG110" s="646">
        <v>3600</v>
      </c>
      <c r="EH110" s="563" t="s">
        <v>1585</v>
      </c>
      <c r="EI110" s="563">
        <v>2</v>
      </c>
      <c r="EJ110" s="563">
        <v>0</v>
      </c>
      <c r="EK110" s="563">
        <v>0</v>
      </c>
      <c r="EL110" s="563">
        <v>0</v>
      </c>
      <c r="EM110" s="650">
        <v>30928.622864508561</v>
      </c>
      <c r="EN110" s="563">
        <v>0</v>
      </c>
      <c r="EO110" s="563">
        <v>0</v>
      </c>
      <c r="EP110" s="563">
        <v>0</v>
      </c>
      <c r="EQ110" s="650">
        <v>30178.743123629556</v>
      </c>
      <c r="ER110" s="564">
        <v>4000</v>
      </c>
      <c r="ES110" s="565">
        <v>82.100288013813255</v>
      </c>
      <c r="ET110" s="649">
        <v>0.7033600000000001</v>
      </c>
      <c r="EU110" s="646">
        <v>8.1259763449237958</v>
      </c>
      <c r="EV110" s="646">
        <v>0</v>
      </c>
      <c r="EW110" s="646">
        <v>0</v>
      </c>
      <c r="EX110" s="646">
        <v>8.9564027116793348</v>
      </c>
      <c r="EY110" s="646">
        <v>0.11786703071979091</v>
      </c>
      <c r="EZ110" s="646">
        <v>3600</v>
      </c>
      <c r="FA110" s="563" t="s">
        <v>1586</v>
      </c>
      <c r="FB110" s="563">
        <v>2</v>
      </c>
      <c r="FC110" s="563">
        <v>0</v>
      </c>
      <c r="FD110" s="563">
        <v>0</v>
      </c>
      <c r="FE110" s="563">
        <v>0</v>
      </c>
      <c r="FF110" s="650">
        <v>31566.393527092914</v>
      </c>
      <c r="FG110" s="563">
        <v>0</v>
      </c>
      <c r="FH110" s="563">
        <v>0</v>
      </c>
      <c r="FI110" s="563">
        <v>0</v>
      </c>
      <c r="FJ110" s="650">
        <v>30801.050721424563</v>
      </c>
      <c r="FK110" s="564">
        <v>4000</v>
      </c>
      <c r="FL110" s="565">
        <v>82.100288013813255</v>
      </c>
      <c r="FM110" s="649">
        <v>0.7033600000000001</v>
      </c>
      <c r="FN110" s="646">
        <v>8.1259763449237958</v>
      </c>
      <c r="FO110" s="646">
        <v>0</v>
      </c>
      <c r="FP110" s="646">
        <v>0</v>
      </c>
      <c r="FQ110" s="646">
        <v>8.9564027116793348</v>
      </c>
      <c r="FR110" s="646">
        <v>0.11786703071979091</v>
      </c>
      <c r="FS110" s="646">
        <v>3600</v>
      </c>
      <c r="FT110" s="563" t="s">
        <v>1586</v>
      </c>
      <c r="FU110" s="563">
        <v>2</v>
      </c>
      <c r="FV110" s="563">
        <v>0</v>
      </c>
      <c r="FW110" s="563">
        <v>0</v>
      </c>
      <c r="FX110" s="563">
        <v>0</v>
      </c>
      <c r="FY110" s="650">
        <v>31566.393527092914</v>
      </c>
      <c r="FZ110" s="563">
        <v>0</v>
      </c>
      <c r="GA110" s="563">
        <v>0</v>
      </c>
      <c r="GB110" s="563">
        <v>0</v>
      </c>
      <c r="GC110" s="650">
        <v>30801.050721424563</v>
      </c>
      <c r="GD110" s="564">
        <v>4000</v>
      </c>
      <c r="GE110" s="565">
        <v>82.100288013813255</v>
      </c>
      <c r="GF110" s="649">
        <v>0.7033600000000001</v>
      </c>
      <c r="GG110" s="646">
        <v>8.1259763449237958</v>
      </c>
      <c r="GH110" s="646">
        <v>0</v>
      </c>
      <c r="GI110" s="646">
        <v>0</v>
      </c>
      <c r="GJ110" s="646">
        <v>8.9564027116793348</v>
      </c>
      <c r="GK110" s="646">
        <v>0.11786703071979091</v>
      </c>
      <c r="GL110" s="646">
        <v>3600</v>
      </c>
      <c r="GM110" s="563" t="s">
        <v>1587</v>
      </c>
      <c r="GN110" s="563">
        <v>2</v>
      </c>
      <c r="GO110" s="563">
        <v>0</v>
      </c>
      <c r="GP110" s="563">
        <v>0</v>
      </c>
      <c r="GQ110" s="563">
        <v>0</v>
      </c>
      <c r="GR110" s="650">
        <v>42350.761038653465</v>
      </c>
      <c r="GS110" s="563">
        <v>0</v>
      </c>
      <c r="GT110" s="563">
        <v>0</v>
      </c>
      <c r="GU110" s="563">
        <v>0</v>
      </c>
      <c r="GV110" s="650">
        <v>41323.94591491454</v>
      </c>
      <c r="GW110" s="564">
        <v>4000</v>
      </c>
      <c r="GX110" s="565">
        <v>82.100288013813255</v>
      </c>
      <c r="GY110" s="649">
        <v>0.7033600000000001</v>
      </c>
      <c r="GZ110" s="646">
        <v>8.1259763449237958</v>
      </c>
      <c r="HA110" s="646">
        <v>0</v>
      </c>
      <c r="HB110" s="646">
        <v>0</v>
      </c>
      <c r="HC110" s="646">
        <v>8.9564027116793348</v>
      </c>
      <c r="HD110" s="646">
        <v>0.11786703071979091</v>
      </c>
      <c r="HE110" s="646">
        <v>3600</v>
      </c>
      <c r="HF110" s="563" t="s">
        <v>1587</v>
      </c>
      <c r="HG110" s="563">
        <v>2</v>
      </c>
      <c r="HH110" s="563">
        <v>0</v>
      </c>
      <c r="HI110" s="563">
        <v>0</v>
      </c>
      <c r="HJ110" s="563">
        <v>0</v>
      </c>
      <c r="HK110" s="650">
        <v>42350.761038653465</v>
      </c>
      <c r="HL110" s="563">
        <v>0</v>
      </c>
      <c r="HM110" s="563">
        <v>0</v>
      </c>
      <c r="HN110" s="563">
        <v>0</v>
      </c>
      <c r="HO110" s="650">
        <v>41323.94591491454</v>
      </c>
      <c r="HP110" s="564">
        <v>4000</v>
      </c>
      <c r="HQ110" s="565">
        <v>82.100288013813255</v>
      </c>
      <c r="HR110" s="649">
        <v>0.7033600000000001</v>
      </c>
      <c r="HS110" s="646">
        <v>8.1259763449237958</v>
      </c>
      <c r="HT110" s="646">
        <v>0</v>
      </c>
      <c r="HU110" s="646">
        <v>0</v>
      </c>
      <c r="HV110" s="646">
        <v>8.9564027116793348</v>
      </c>
      <c r="HW110" s="646">
        <v>0.11786703071979091</v>
      </c>
      <c r="HX110" s="646">
        <v>3600</v>
      </c>
      <c r="HY110" s="563" t="s">
        <v>68</v>
      </c>
      <c r="HZ110" s="563">
        <v>2</v>
      </c>
      <c r="IA110" s="563">
        <v>0</v>
      </c>
      <c r="IB110" s="563">
        <v>0</v>
      </c>
      <c r="IC110" s="563">
        <v>0</v>
      </c>
      <c r="ID110" s="650">
        <v>37349.860514188549</v>
      </c>
      <c r="IE110" s="563">
        <v>0</v>
      </c>
      <c r="IF110" s="563">
        <v>0</v>
      </c>
      <c r="IG110" s="563">
        <v>0</v>
      </c>
      <c r="IH110" s="650">
        <v>36444.294694245415</v>
      </c>
      <c r="II110" s="564">
        <v>4000</v>
      </c>
      <c r="IJ110" s="565">
        <v>82.100288013813255</v>
      </c>
      <c r="IK110" s="649">
        <v>0.7033600000000001</v>
      </c>
      <c r="IL110" s="646">
        <v>8.1259763449237958</v>
      </c>
      <c r="IM110" s="646">
        <v>0</v>
      </c>
      <c r="IN110" s="646">
        <v>0</v>
      </c>
      <c r="IO110" s="646">
        <v>8.9564027116793348</v>
      </c>
      <c r="IP110" s="646">
        <v>0.11786703071979091</v>
      </c>
      <c r="IQ110" s="646">
        <v>3600</v>
      </c>
      <c r="IR110" s="563" t="s">
        <v>68</v>
      </c>
      <c r="IS110" s="563">
        <v>2</v>
      </c>
      <c r="IT110" s="563">
        <v>0</v>
      </c>
      <c r="IU110" s="563">
        <v>0</v>
      </c>
      <c r="IV110" s="563">
        <v>0</v>
      </c>
      <c r="IW110" s="650">
        <v>37349.860514188549</v>
      </c>
      <c r="IX110" s="563">
        <v>0</v>
      </c>
      <c r="IY110" s="563">
        <v>0</v>
      </c>
      <c r="IZ110" s="563">
        <v>0</v>
      </c>
      <c r="JA110" s="650">
        <v>36444.294694245415</v>
      </c>
      <c r="JB110" s="564">
        <v>4000</v>
      </c>
      <c r="JC110" s="565">
        <v>82.100288013813255</v>
      </c>
      <c r="JD110" s="649">
        <v>0.7033600000000001</v>
      </c>
      <c r="JE110" s="646">
        <v>8.1259763449237958</v>
      </c>
      <c r="JF110" s="646">
        <v>0</v>
      </c>
      <c r="JG110" s="646">
        <v>0</v>
      </c>
      <c r="JH110" s="646">
        <v>8.9564027116793348</v>
      </c>
      <c r="JI110" s="646">
        <v>0.11786703071979091</v>
      </c>
      <c r="JJ110" s="646">
        <v>3600</v>
      </c>
      <c r="JK110" s="563" t="s">
        <v>67</v>
      </c>
      <c r="JL110" s="563">
        <v>2</v>
      </c>
      <c r="JM110" s="563">
        <v>0</v>
      </c>
      <c r="JN110" s="563">
        <v>0</v>
      </c>
      <c r="JO110" s="563">
        <v>0</v>
      </c>
      <c r="JP110" s="650">
        <v>50899.280159929192</v>
      </c>
      <c r="JQ110" s="563">
        <v>0</v>
      </c>
      <c r="JR110" s="563">
        <v>0</v>
      </c>
      <c r="JS110" s="563">
        <v>0</v>
      </c>
      <c r="JT110" s="650">
        <v>49665.201966909211</v>
      </c>
      <c r="JU110" s="564">
        <v>4000</v>
      </c>
      <c r="JV110" s="565">
        <v>82.100288013813255</v>
      </c>
      <c r="JW110" s="649">
        <v>0.7033600000000001</v>
      </c>
      <c r="JX110" s="646">
        <v>8.1259763449237958</v>
      </c>
      <c r="JY110" s="646">
        <v>0</v>
      </c>
      <c r="JZ110" s="646">
        <v>0</v>
      </c>
      <c r="KA110" s="646">
        <v>8.9564027116793348</v>
      </c>
      <c r="KB110" s="646">
        <v>0.11786703071979091</v>
      </c>
      <c r="KC110" s="646">
        <v>3600</v>
      </c>
      <c r="KD110" s="563" t="s">
        <v>67</v>
      </c>
      <c r="KE110" s="563">
        <v>2</v>
      </c>
      <c r="KF110" s="563">
        <v>0</v>
      </c>
      <c r="KG110" s="563">
        <v>0</v>
      </c>
      <c r="KH110" s="563">
        <v>0</v>
      </c>
      <c r="KI110" s="650">
        <v>50899.280159929192</v>
      </c>
      <c r="KJ110" s="563">
        <v>0</v>
      </c>
      <c r="KK110" s="563">
        <v>0</v>
      </c>
      <c r="KL110" s="563">
        <v>0</v>
      </c>
      <c r="KM110" s="650">
        <v>49665.201966909211</v>
      </c>
      <c r="KN110" s="564">
        <v>4000</v>
      </c>
      <c r="KO110" s="566">
        <v>82.100288013813255</v>
      </c>
    </row>
    <row r="111" spans="1:301" ht="15" customHeight="1">
      <c r="A111" s="663" t="s">
        <v>865</v>
      </c>
      <c r="B111" s="629" t="s">
        <v>382</v>
      </c>
      <c r="C111" s="629">
        <v>190</v>
      </c>
      <c r="D111" s="629">
        <v>402</v>
      </c>
      <c r="E111" s="629">
        <v>170</v>
      </c>
      <c r="F111" s="629">
        <v>190</v>
      </c>
      <c r="G111" s="629">
        <v>54</v>
      </c>
      <c r="H111" s="629">
        <v>40</v>
      </c>
      <c r="I111" s="629">
        <v>40</v>
      </c>
      <c r="J111" s="629">
        <v>28.5</v>
      </c>
      <c r="K111" s="629">
        <v>64.400000000000006</v>
      </c>
      <c r="L111" s="629">
        <v>16</v>
      </c>
      <c r="M111" s="629">
        <v>135</v>
      </c>
      <c r="N111" s="629">
        <v>2</v>
      </c>
      <c r="O111" s="623">
        <v>1.6363400026452712</v>
      </c>
      <c r="P111" s="629">
        <v>2</v>
      </c>
      <c r="Q111" s="623">
        <v>0.99624242878398617</v>
      </c>
      <c r="R111" s="629">
        <v>10</v>
      </c>
      <c r="S111" s="629">
        <v>284.27217866398922</v>
      </c>
      <c r="T111" s="645">
        <v>4.9822814126980468</v>
      </c>
      <c r="U111" s="645">
        <v>42.640826799598379</v>
      </c>
      <c r="V111" s="645">
        <v>47.5</v>
      </c>
      <c r="W111" s="793">
        <v>0.3993609944865778</v>
      </c>
      <c r="X111" s="646">
        <v>0</v>
      </c>
      <c r="Y111" s="646">
        <v>0</v>
      </c>
      <c r="Z111" s="646">
        <v>0</v>
      </c>
      <c r="AA111" s="646">
        <v>0</v>
      </c>
      <c r="AB111" s="647">
        <v>0.52329662926235199</v>
      </c>
      <c r="AC111" s="784">
        <v>4000</v>
      </c>
      <c r="AD111" s="631">
        <v>3.4422351949486294</v>
      </c>
      <c r="AE111" s="631">
        <v>0.54295569963843682</v>
      </c>
      <c r="AF111" s="631">
        <v>-0.23679540482187442</v>
      </c>
      <c r="AG111" s="631">
        <v>0.82314062486097195</v>
      </c>
      <c r="AH111" s="629"/>
      <c r="AI111" s="648">
        <v>0.62378819179342915</v>
      </c>
      <c r="AJ111" s="649">
        <v>2.0347200000000001</v>
      </c>
      <c r="AK111" s="646">
        <v>10.048944838613883</v>
      </c>
      <c r="AL111" s="646">
        <v>0</v>
      </c>
      <c r="AM111" s="646">
        <v>0</v>
      </c>
      <c r="AN111" s="646">
        <v>14.085107987981047</v>
      </c>
      <c r="AO111" s="646">
        <v>0.16976586084836889</v>
      </c>
      <c r="AP111" s="801">
        <v>3600</v>
      </c>
      <c r="AQ111" s="563" t="s">
        <v>71</v>
      </c>
      <c r="AR111" s="563">
        <v>3</v>
      </c>
      <c r="AS111" s="563">
        <v>0</v>
      </c>
      <c r="AT111" s="563">
        <v>0</v>
      </c>
      <c r="AU111" s="563">
        <v>0</v>
      </c>
      <c r="AV111" s="650">
        <v>14262.177404358756</v>
      </c>
      <c r="AW111" s="563">
        <v>0</v>
      </c>
      <c r="AX111" s="563">
        <v>0</v>
      </c>
      <c r="AY111" s="563">
        <v>0</v>
      </c>
      <c r="AZ111" s="650">
        <v>15600.113831733699</v>
      </c>
      <c r="BA111" s="564">
        <v>4000</v>
      </c>
      <c r="BB111" s="565">
        <v>84.194683116206463</v>
      </c>
      <c r="BC111" s="649">
        <v>2.0347200000000001</v>
      </c>
      <c r="BD111" s="646">
        <v>10.048944838613883</v>
      </c>
      <c r="BE111" s="646">
        <v>0</v>
      </c>
      <c r="BF111" s="646">
        <v>0</v>
      </c>
      <c r="BG111" s="646">
        <v>14.085107987981047</v>
      </c>
      <c r="BH111" s="646">
        <v>0.16976586084836889</v>
      </c>
      <c r="BI111" s="646">
        <v>3600</v>
      </c>
      <c r="BJ111" s="563" t="s">
        <v>71</v>
      </c>
      <c r="BK111" s="563">
        <v>3</v>
      </c>
      <c r="BL111" s="563">
        <v>0</v>
      </c>
      <c r="BM111" s="563">
        <v>0</v>
      </c>
      <c r="BN111" s="563">
        <v>0</v>
      </c>
      <c r="BO111" s="650">
        <v>14262.177404358756</v>
      </c>
      <c r="BP111" s="563">
        <v>0</v>
      </c>
      <c r="BQ111" s="563">
        <v>0</v>
      </c>
      <c r="BR111" s="563">
        <v>0</v>
      </c>
      <c r="BS111" s="650">
        <v>15600.113831733699</v>
      </c>
      <c r="BT111" s="564">
        <v>4000</v>
      </c>
      <c r="BU111" s="565">
        <v>84.194683116206463</v>
      </c>
      <c r="BV111" s="649">
        <v>1.3564800000000001</v>
      </c>
      <c r="BW111" s="646">
        <v>9.3707048386138823</v>
      </c>
      <c r="BX111" s="646">
        <v>0</v>
      </c>
      <c r="BY111" s="646">
        <v>0</v>
      </c>
      <c r="BZ111" s="646">
        <v>13.656995436436294</v>
      </c>
      <c r="CA111" s="646">
        <v>0.1530045157283689</v>
      </c>
      <c r="CB111" s="646">
        <v>3600</v>
      </c>
      <c r="CC111" s="563" t="s">
        <v>1584</v>
      </c>
      <c r="CD111" s="563">
        <v>2</v>
      </c>
      <c r="CE111" s="563">
        <v>0</v>
      </c>
      <c r="CF111" s="563">
        <v>0</v>
      </c>
      <c r="CG111" s="563">
        <v>0</v>
      </c>
      <c r="CH111" s="650">
        <v>9677.5248065395845</v>
      </c>
      <c r="CI111" s="563">
        <v>0</v>
      </c>
      <c r="CJ111" s="563">
        <v>0</v>
      </c>
      <c r="CK111" s="563">
        <v>0</v>
      </c>
      <c r="CL111" s="650">
        <v>9512.0774840574013</v>
      </c>
      <c r="CM111" s="564">
        <v>4000</v>
      </c>
      <c r="CN111" s="565">
        <v>84.194683116206463</v>
      </c>
      <c r="CO111" s="649">
        <v>1.3564800000000001</v>
      </c>
      <c r="CP111" s="646">
        <v>9.3707048386138823</v>
      </c>
      <c r="CQ111" s="646">
        <v>0</v>
      </c>
      <c r="CR111" s="646">
        <v>0</v>
      </c>
      <c r="CS111" s="646">
        <v>13.656995436436294</v>
      </c>
      <c r="CT111" s="646">
        <v>0.1530045157283689</v>
      </c>
      <c r="CU111" s="646">
        <v>3600</v>
      </c>
      <c r="CV111" s="563" t="s">
        <v>1584</v>
      </c>
      <c r="CW111" s="563">
        <v>2</v>
      </c>
      <c r="CX111" s="563">
        <v>0</v>
      </c>
      <c r="CY111" s="563">
        <v>0</v>
      </c>
      <c r="CZ111" s="563">
        <v>0</v>
      </c>
      <c r="DA111" s="650">
        <v>9677.5248065395845</v>
      </c>
      <c r="DB111" s="563">
        <v>0</v>
      </c>
      <c r="DC111" s="563">
        <v>0</v>
      </c>
      <c r="DD111" s="563">
        <v>0</v>
      </c>
      <c r="DE111" s="650">
        <v>9512.0774840574013</v>
      </c>
      <c r="DF111" s="564">
        <v>4000</v>
      </c>
      <c r="DG111" s="565">
        <v>84.194683116206463</v>
      </c>
      <c r="DH111" s="649">
        <v>1.3564800000000001</v>
      </c>
      <c r="DI111" s="646">
        <v>9.3707048386138823</v>
      </c>
      <c r="DJ111" s="646">
        <v>0</v>
      </c>
      <c r="DK111" s="646">
        <v>0</v>
      </c>
      <c r="DL111" s="646">
        <v>13.656995436436294</v>
      </c>
      <c r="DM111" s="646">
        <v>0.1530045157283689</v>
      </c>
      <c r="DN111" s="646">
        <v>3600</v>
      </c>
      <c r="DO111" s="563" t="s">
        <v>1585</v>
      </c>
      <c r="DP111" s="563">
        <v>2</v>
      </c>
      <c r="DQ111" s="563">
        <v>0</v>
      </c>
      <c r="DR111" s="563">
        <v>0</v>
      </c>
      <c r="DS111" s="563">
        <v>0</v>
      </c>
      <c r="DT111" s="650">
        <v>10345.709193726785</v>
      </c>
      <c r="DU111" s="563">
        <v>0</v>
      </c>
      <c r="DV111" s="563">
        <v>0</v>
      </c>
      <c r="DW111" s="563">
        <v>0</v>
      </c>
      <c r="DX111" s="650">
        <v>10168.838566222888</v>
      </c>
      <c r="DY111" s="564">
        <v>4000</v>
      </c>
      <c r="DZ111" s="565">
        <v>84.194683116206463</v>
      </c>
      <c r="EA111" s="649">
        <v>1.3564800000000001</v>
      </c>
      <c r="EB111" s="646">
        <v>9.3707048386138823</v>
      </c>
      <c r="EC111" s="646">
        <v>0</v>
      </c>
      <c r="ED111" s="646">
        <v>0</v>
      </c>
      <c r="EE111" s="646">
        <v>13.656995436436294</v>
      </c>
      <c r="EF111" s="646">
        <v>0.1530045157283689</v>
      </c>
      <c r="EG111" s="646">
        <v>3600</v>
      </c>
      <c r="EH111" s="563" t="s">
        <v>1585</v>
      </c>
      <c r="EI111" s="563">
        <v>2</v>
      </c>
      <c r="EJ111" s="563">
        <v>0</v>
      </c>
      <c r="EK111" s="563">
        <v>0</v>
      </c>
      <c r="EL111" s="563">
        <v>0</v>
      </c>
      <c r="EM111" s="650">
        <v>10345.709193726785</v>
      </c>
      <c r="EN111" s="563">
        <v>0</v>
      </c>
      <c r="EO111" s="563">
        <v>0</v>
      </c>
      <c r="EP111" s="563">
        <v>0</v>
      </c>
      <c r="EQ111" s="650">
        <v>10168.838566222888</v>
      </c>
      <c r="ER111" s="564">
        <v>4000</v>
      </c>
      <c r="ES111" s="565">
        <v>84.194683116206463</v>
      </c>
      <c r="ET111" s="649">
        <v>1.3564800000000001</v>
      </c>
      <c r="EU111" s="646">
        <v>9.3707048386138823</v>
      </c>
      <c r="EV111" s="646">
        <v>0</v>
      </c>
      <c r="EW111" s="646">
        <v>0</v>
      </c>
      <c r="EX111" s="646">
        <v>13.656995436436294</v>
      </c>
      <c r="EY111" s="646">
        <v>0.1530045157283689</v>
      </c>
      <c r="EZ111" s="646">
        <v>3600</v>
      </c>
      <c r="FA111" s="563" t="s">
        <v>1586</v>
      </c>
      <c r="FB111" s="563">
        <v>2</v>
      </c>
      <c r="FC111" s="563">
        <v>0</v>
      </c>
      <c r="FD111" s="563">
        <v>0</v>
      </c>
      <c r="FE111" s="563">
        <v>0</v>
      </c>
      <c r="FF111" s="650">
        <v>10559.045229947762</v>
      </c>
      <c r="FG111" s="563">
        <v>0</v>
      </c>
      <c r="FH111" s="563">
        <v>0</v>
      </c>
      <c r="FI111" s="563">
        <v>0</v>
      </c>
      <c r="FJ111" s="650">
        <v>10378.527401649677</v>
      </c>
      <c r="FK111" s="564">
        <v>4000</v>
      </c>
      <c r="FL111" s="565">
        <v>84.194683116206463</v>
      </c>
      <c r="FM111" s="649">
        <v>1.3564800000000001</v>
      </c>
      <c r="FN111" s="646">
        <v>9.3707048386138823</v>
      </c>
      <c r="FO111" s="646">
        <v>0</v>
      </c>
      <c r="FP111" s="646">
        <v>0</v>
      </c>
      <c r="FQ111" s="646">
        <v>13.656995436436294</v>
      </c>
      <c r="FR111" s="646">
        <v>0.1530045157283689</v>
      </c>
      <c r="FS111" s="646">
        <v>3600</v>
      </c>
      <c r="FT111" s="563" t="s">
        <v>1586</v>
      </c>
      <c r="FU111" s="563">
        <v>2</v>
      </c>
      <c r="FV111" s="563">
        <v>0</v>
      </c>
      <c r="FW111" s="563">
        <v>0</v>
      </c>
      <c r="FX111" s="563">
        <v>0</v>
      </c>
      <c r="FY111" s="650">
        <v>10559.045229947762</v>
      </c>
      <c r="FZ111" s="563">
        <v>0</v>
      </c>
      <c r="GA111" s="563">
        <v>0</v>
      </c>
      <c r="GB111" s="563">
        <v>0</v>
      </c>
      <c r="GC111" s="650">
        <v>10378.527401649677</v>
      </c>
      <c r="GD111" s="564">
        <v>4000</v>
      </c>
      <c r="GE111" s="565">
        <v>84.194683116206463</v>
      </c>
      <c r="GF111" s="649">
        <v>1.3564800000000001</v>
      </c>
      <c r="GG111" s="646">
        <v>9.3707048386138823</v>
      </c>
      <c r="GH111" s="646">
        <v>0</v>
      </c>
      <c r="GI111" s="646">
        <v>0</v>
      </c>
      <c r="GJ111" s="646">
        <v>13.656995436436294</v>
      </c>
      <c r="GK111" s="646">
        <v>0.1530045157283689</v>
      </c>
      <c r="GL111" s="646">
        <v>3600</v>
      </c>
      <c r="GM111" s="563" t="s">
        <v>1587</v>
      </c>
      <c r="GN111" s="563">
        <v>2</v>
      </c>
      <c r="GO111" s="563">
        <v>0</v>
      </c>
      <c r="GP111" s="563">
        <v>0</v>
      </c>
      <c r="GQ111" s="563">
        <v>0</v>
      </c>
      <c r="GR111" s="650">
        <v>14166.445746994856</v>
      </c>
      <c r="GS111" s="563">
        <v>0</v>
      </c>
      <c r="GT111" s="563">
        <v>0</v>
      </c>
      <c r="GU111" s="563">
        <v>0</v>
      </c>
      <c r="GV111" s="650">
        <v>13924.255665875573</v>
      </c>
      <c r="GW111" s="564">
        <v>4000</v>
      </c>
      <c r="GX111" s="565">
        <v>84.194683116206463</v>
      </c>
      <c r="GY111" s="649">
        <v>1.3564800000000001</v>
      </c>
      <c r="GZ111" s="646">
        <v>9.3707048386138823</v>
      </c>
      <c r="HA111" s="646">
        <v>0</v>
      </c>
      <c r="HB111" s="646">
        <v>0</v>
      </c>
      <c r="HC111" s="646">
        <v>13.656995436436294</v>
      </c>
      <c r="HD111" s="646">
        <v>0.1530045157283689</v>
      </c>
      <c r="HE111" s="646">
        <v>3600</v>
      </c>
      <c r="HF111" s="563" t="s">
        <v>1587</v>
      </c>
      <c r="HG111" s="563">
        <v>2</v>
      </c>
      <c r="HH111" s="563">
        <v>0</v>
      </c>
      <c r="HI111" s="563">
        <v>0</v>
      </c>
      <c r="HJ111" s="563">
        <v>0</v>
      </c>
      <c r="HK111" s="650">
        <v>14166.445746994856</v>
      </c>
      <c r="HL111" s="563">
        <v>0</v>
      </c>
      <c r="HM111" s="563">
        <v>0</v>
      </c>
      <c r="HN111" s="563">
        <v>0</v>
      </c>
      <c r="HO111" s="650">
        <v>13924.255665875573</v>
      </c>
      <c r="HP111" s="564">
        <v>4000</v>
      </c>
      <c r="HQ111" s="565">
        <v>84.194683116206463</v>
      </c>
      <c r="HR111" s="649">
        <v>1.3564800000000001</v>
      </c>
      <c r="HS111" s="646">
        <v>9.3707048386138823</v>
      </c>
      <c r="HT111" s="646">
        <v>0</v>
      </c>
      <c r="HU111" s="646">
        <v>0</v>
      </c>
      <c r="HV111" s="646">
        <v>13.656995436436294</v>
      </c>
      <c r="HW111" s="646">
        <v>0.1530045157283689</v>
      </c>
      <c r="HX111" s="646">
        <v>3600</v>
      </c>
      <c r="HY111" s="563" t="s">
        <v>68</v>
      </c>
      <c r="HZ111" s="563">
        <v>2</v>
      </c>
      <c r="IA111" s="563">
        <v>0</v>
      </c>
      <c r="IB111" s="563">
        <v>0</v>
      </c>
      <c r="IC111" s="563">
        <v>0</v>
      </c>
      <c r="ID111" s="650">
        <v>12493.630802745469</v>
      </c>
      <c r="IE111" s="563">
        <v>0</v>
      </c>
      <c r="IF111" s="563">
        <v>0</v>
      </c>
      <c r="IG111" s="563">
        <v>0</v>
      </c>
      <c r="IH111" s="650">
        <v>12280.03922786287</v>
      </c>
      <c r="II111" s="564">
        <v>4000</v>
      </c>
      <c r="IJ111" s="565">
        <v>84.194683116206463</v>
      </c>
      <c r="IK111" s="649">
        <v>1.3564800000000001</v>
      </c>
      <c r="IL111" s="646">
        <v>9.3707048386138823</v>
      </c>
      <c r="IM111" s="646">
        <v>0</v>
      </c>
      <c r="IN111" s="646">
        <v>0</v>
      </c>
      <c r="IO111" s="646">
        <v>13.656995436436294</v>
      </c>
      <c r="IP111" s="646">
        <v>0.1530045157283689</v>
      </c>
      <c r="IQ111" s="646">
        <v>3600</v>
      </c>
      <c r="IR111" s="563" t="s">
        <v>68</v>
      </c>
      <c r="IS111" s="563">
        <v>2</v>
      </c>
      <c r="IT111" s="563">
        <v>0</v>
      </c>
      <c r="IU111" s="563">
        <v>0</v>
      </c>
      <c r="IV111" s="563">
        <v>0</v>
      </c>
      <c r="IW111" s="650">
        <v>12493.630802745469</v>
      </c>
      <c r="IX111" s="563">
        <v>0</v>
      </c>
      <c r="IY111" s="563">
        <v>0</v>
      </c>
      <c r="IZ111" s="563">
        <v>0</v>
      </c>
      <c r="JA111" s="650">
        <v>12280.03922786287</v>
      </c>
      <c r="JB111" s="564">
        <v>4000</v>
      </c>
      <c r="JC111" s="565">
        <v>84.194683116206463</v>
      </c>
      <c r="JD111" s="649">
        <v>1.3564800000000001</v>
      </c>
      <c r="JE111" s="646">
        <v>9.3707048386138823</v>
      </c>
      <c r="JF111" s="646">
        <v>0</v>
      </c>
      <c r="JG111" s="646">
        <v>0</v>
      </c>
      <c r="JH111" s="646">
        <v>13.656995436436294</v>
      </c>
      <c r="JI111" s="646">
        <v>0.1530045157283689</v>
      </c>
      <c r="JJ111" s="646">
        <v>3600</v>
      </c>
      <c r="JK111" s="563" t="s">
        <v>67</v>
      </c>
      <c r="JL111" s="563">
        <v>2</v>
      </c>
      <c r="JM111" s="563">
        <v>0</v>
      </c>
      <c r="JN111" s="563">
        <v>0</v>
      </c>
      <c r="JO111" s="563">
        <v>0</v>
      </c>
      <c r="JP111" s="650">
        <v>17025.948843956237</v>
      </c>
      <c r="JQ111" s="563">
        <v>0</v>
      </c>
      <c r="JR111" s="563">
        <v>0</v>
      </c>
      <c r="JS111" s="563">
        <v>0</v>
      </c>
      <c r="JT111" s="650">
        <v>16734.872591994794</v>
      </c>
      <c r="JU111" s="564">
        <v>4000</v>
      </c>
      <c r="JV111" s="565">
        <v>84.194683116206463</v>
      </c>
      <c r="JW111" s="649">
        <v>1.3564800000000001</v>
      </c>
      <c r="JX111" s="646">
        <v>9.3707048386138823</v>
      </c>
      <c r="JY111" s="646">
        <v>0</v>
      </c>
      <c r="JZ111" s="646">
        <v>0</v>
      </c>
      <c r="KA111" s="646">
        <v>13.656995436436294</v>
      </c>
      <c r="KB111" s="646">
        <v>0.1530045157283689</v>
      </c>
      <c r="KC111" s="646">
        <v>3600</v>
      </c>
      <c r="KD111" s="563" t="s">
        <v>67</v>
      </c>
      <c r="KE111" s="563">
        <v>2</v>
      </c>
      <c r="KF111" s="563">
        <v>0</v>
      </c>
      <c r="KG111" s="563">
        <v>0</v>
      </c>
      <c r="KH111" s="563">
        <v>0</v>
      </c>
      <c r="KI111" s="650">
        <v>17025.948843956237</v>
      </c>
      <c r="KJ111" s="563">
        <v>0</v>
      </c>
      <c r="KK111" s="563">
        <v>0</v>
      </c>
      <c r="KL111" s="563">
        <v>0</v>
      </c>
      <c r="KM111" s="650">
        <v>16734.872591994794</v>
      </c>
      <c r="KN111" s="564">
        <v>4000</v>
      </c>
      <c r="KO111" s="566">
        <v>84.194683116206463</v>
      </c>
    </row>
    <row r="112" spans="1:301" ht="15" customHeight="1">
      <c r="A112" s="663" t="s">
        <v>866</v>
      </c>
      <c r="B112" s="629" t="s">
        <v>382</v>
      </c>
      <c r="C112" s="629">
        <v>235</v>
      </c>
      <c r="D112" s="629">
        <v>402</v>
      </c>
      <c r="E112" s="629">
        <v>210</v>
      </c>
      <c r="F112" s="629">
        <v>235</v>
      </c>
      <c r="G112" s="629">
        <v>74</v>
      </c>
      <c r="H112" s="629">
        <v>60</v>
      </c>
      <c r="I112" s="629">
        <v>60</v>
      </c>
      <c r="J112" s="629">
        <v>13.25</v>
      </c>
      <c r="K112" s="629">
        <v>54</v>
      </c>
      <c r="L112" s="629">
        <v>16</v>
      </c>
      <c r="M112" s="629">
        <v>100</v>
      </c>
      <c r="N112" s="629">
        <v>2</v>
      </c>
      <c r="O112" s="623">
        <v>1.4489125849321041</v>
      </c>
      <c r="P112" s="629">
        <v>2</v>
      </c>
      <c r="Q112" s="623">
        <v>0.84186778944056739</v>
      </c>
      <c r="R112" s="629">
        <v>10</v>
      </c>
      <c r="S112" s="629">
        <v>305.49984509524091</v>
      </c>
      <c r="T112" s="645">
        <v>5.7541546094151403</v>
      </c>
      <c r="U112" s="645">
        <v>45.824976764286134</v>
      </c>
      <c r="V112" s="645">
        <v>60</v>
      </c>
      <c r="W112" s="793">
        <v>0.58260815420328294</v>
      </c>
      <c r="X112" s="646">
        <v>0</v>
      </c>
      <c r="Y112" s="646">
        <v>0</v>
      </c>
      <c r="Z112" s="646">
        <v>0</v>
      </c>
      <c r="AA112" s="646">
        <v>0</v>
      </c>
      <c r="AB112" s="647">
        <v>0.7462687817925836</v>
      </c>
      <c r="AC112" s="784">
        <v>4000</v>
      </c>
      <c r="AD112" s="631">
        <v>2.9308487341445835</v>
      </c>
      <c r="AE112" s="631">
        <v>0.23546874348332675</v>
      </c>
      <c r="AF112" s="631">
        <v>-0.53784257787951595</v>
      </c>
      <c r="AG112" s="631">
        <v>1.1144341410922984</v>
      </c>
      <c r="AH112" s="629"/>
      <c r="AI112" s="648">
        <v>0.61294671204347684</v>
      </c>
      <c r="AJ112" s="649">
        <v>2.2608000000000001</v>
      </c>
      <c r="AK112" s="646">
        <v>10.888343137991095</v>
      </c>
      <c r="AL112" s="646">
        <v>0</v>
      </c>
      <c r="AM112" s="646">
        <v>0</v>
      </c>
      <c r="AN112" s="646">
        <v>18.538141019293995</v>
      </c>
      <c r="AO112" s="646">
        <v>0.1924888893767655</v>
      </c>
      <c r="AP112" s="801">
        <v>3600</v>
      </c>
      <c r="AQ112" s="563" t="s">
        <v>71</v>
      </c>
      <c r="AR112" s="563">
        <v>3</v>
      </c>
      <c r="AS112" s="563">
        <v>0</v>
      </c>
      <c r="AT112" s="563">
        <v>0</v>
      </c>
      <c r="AU112" s="563">
        <v>0</v>
      </c>
      <c r="AV112" s="650">
        <v>7589.8036269229488</v>
      </c>
      <c r="AW112" s="563">
        <v>0</v>
      </c>
      <c r="AX112" s="563">
        <v>0</v>
      </c>
      <c r="AY112" s="563">
        <v>0</v>
      </c>
      <c r="AZ112" s="650">
        <v>7832.9911368288367</v>
      </c>
      <c r="BA112" s="564">
        <v>4000</v>
      </c>
      <c r="BB112" s="565">
        <v>84.194683116206463</v>
      </c>
      <c r="BC112" s="649">
        <v>2.2608000000000001</v>
      </c>
      <c r="BD112" s="646">
        <v>10.888343137991095</v>
      </c>
      <c r="BE112" s="646">
        <v>0</v>
      </c>
      <c r="BF112" s="646">
        <v>0</v>
      </c>
      <c r="BG112" s="646">
        <v>18.538141019293995</v>
      </c>
      <c r="BH112" s="646">
        <v>0.1924888893767655</v>
      </c>
      <c r="BI112" s="646">
        <v>3600</v>
      </c>
      <c r="BJ112" s="563" t="s">
        <v>71</v>
      </c>
      <c r="BK112" s="563">
        <v>3</v>
      </c>
      <c r="BL112" s="563">
        <v>0</v>
      </c>
      <c r="BM112" s="563">
        <v>0</v>
      </c>
      <c r="BN112" s="563">
        <v>0</v>
      </c>
      <c r="BO112" s="650">
        <v>7589.8036269229488</v>
      </c>
      <c r="BP112" s="563">
        <v>0</v>
      </c>
      <c r="BQ112" s="563">
        <v>0</v>
      </c>
      <c r="BR112" s="563">
        <v>0</v>
      </c>
      <c r="BS112" s="650">
        <v>7832.9911368288367</v>
      </c>
      <c r="BT112" s="564">
        <v>4000</v>
      </c>
      <c r="BU112" s="565">
        <v>84.194683116206463</v>
      </c>
      <c r="BV112" s="649">
        <v>1.5072000000000001</v>
      </c>
      <c r="BW112" s="646">
        <v>10.134743137991094</v>
      </c>
      <c r="BX112" s="646">
        <v>0</v>
      </c>
      <c r="BY112" s="646">
        <v>0</v>
      </c>
      <c r="BZ112" s="646">
        <v>17.685859238665444</v>
      </c>
      <c r="CA112" s="646">
        <v>0.17206359757676548</v>
      </c>
      <c r="CB112" s="646">
        <v>3600</v>
      </c>
      <c r="CC112" s="563" t="s">
        <v>1584</v>
      </c>
      <c r="CD112" s="563">
        <v>2</v>
      </c>
      <c r="CE112" s="563">
        <v>0</v>
      </c>
      <c r="CF112" s="563">
        <v>0</v>
      </c>
      <c r="CG112" s="563">
        <v>0</v>
      </c>
      <c r="CH112" s="650">
        <v>5169.9763638001332</v>
      </c>
      <c r="CI112" s="563">
        <v>0</v>
      </c>
      <c r="CJ112" s="563">
        <v>0</v>
      </c>
      <c r="CK112" s="563">
        <v>0</v>
      </c>
      <c r="CL112" s="650">
        <v>5099.4600554451308</v>
      </c>
      <c r="CM112" s="564">
        <v>4000</v>
      </c>
      <c r="CN112" s="565">
        <v>84.194683116206463</v>
      </c>
      <c r="CO112" s="649">
        <v>1.5072000000000001</v>
      </c>
      <c r="CP112" s="646">
        <v>10.134743137991094</v>
      </c>
      <c r="CQ112" s="646">
        <v>0</v>
      </c>
      <c r="CR112" s="646">
        <v>0</v>
      </c>
      <c r="CS112" s="646">
        <v>17.685859238665444</v>
      </c>
      <c r="CT112" s="646">
        <v>0.17206359757676548</v>
      </c>
      <c r="CU112" s="646">
        <v>3600</v>
      </c>
      <c r="CV112" s="563" t="s">
        <v>1584</v>
      </c>
      <c r="CW112" s="563">
        <v>2</v>
      </c>
      <c r="CX112" s="563">
        <v>0</v>
      </c>
      <c r="CY112" s="563">
        <v>0</v>
      </c>
      <c r="CZ112" s="563">
        <v>0</v>
      </c>
      <c r="DA112" s="650">
        <v>5169.9763638001332</v>
      </c>
      <c r="DB112" s="563">
        <v>0</v>
      </c>
      <c r="DC112" s="563">
        <v>0</v>
      </c>
      <c r="DD112" s="563">
        <v>0</v>
      </c>
      <c r="DE112" s="650">
        <v>5099.4600554451308</v>
      </c>
      <c r="DF112" s="564">
        <v>4000</v>
      </c>
      <c r="DG112" s="565">
        <v>84.194683116206463</v>
      </c>
      <c r="DH112" s="649">
        <v>1.5072000000000001</v>
      </c>
      <c r="DI112" s="646">
        <v>10.134743137991094</v>
      </c>
      <c r="DJ112" s="646">
        <v>0</v>
      </c>
      <c r="DK112" s="646">
        <v>0</v>
      </c>
      <c r="DL112" s="646">
        <v>17.685859238665444</v>
      </c>
      <c r="DM112" s="646">
        <v>0.17206359757676548</v>
      </c>
      <c r="DN112" s="646">
        <v>3600</v>
      </c>
      <c r="DO112" s="563" t="s">
        <v>1585</v>
      </c>
      <c r="DP112" s="563">
        <v>2</v>
      </c>
      <c r="DQ112" s="563">
        <v>0</v>
      </c>
      <c r="DR112" s="563">
        <v>0</v>
      </c>
      <c r="DS112" s="563">
        <v>0</v>
      </c>
      <c r="DT112" s="650">
        <v>5526.93721458659</v>
      </c>
      <c r="DU112" s="563">
        <v>0</v>
      </c>
      <c r="DV112" s="563">
        <v>0</v>
      </c>
      <c r="DW112" s="563">
        <v>0</v>
      </c>
      <c r="DX112" s="650">
        <v>5451.5521100035576</v>
      </c>
      <c r="DY112" s="564">
        <v>4000</v>
      </c>
      <c r="DZ112" s="565">
        <v>84.194683116206463</v>
      </c>
      <c r="EA112" s="649">
        <v>1.5072000000000001</v>
      </c>
      <c r="EB112" s="646">
        <v>10.134743137991094</v>
      </c>
      <c r="EC112" s="646">
        <v>0</v>
      </c>
      <c r="ED112" s="646">
        <v>0</v>
      </c>
      <c r="EE112" s="646">
        <v>17.685859238665444</v>
      </c>
      <c r="EF112" s="646">
        <v>0.17206359757676548</v>
      </c>
      <c r="EG112" s="646">
        <v>3600</v>
      </c>
      <c r="EH112" s="563" t="s">
        <v>1585</v>
      </c>
      <c r="EI112" s="563">
        <v>2</v>
      </c>
      <c r="EJ112" s="563">
        <v>0</v>
      </c>
      <c r="EK112" s="563">
        <v>0</v>
      </c>
      <c r="EL112" s="563">
        <v>0</v>
      </c>
      <c r="EM112" s="650">
        <v>5526.93721458659</v>
      </c>
      <c r="EN112" s="563">
        <v>0</v>
      </c>
      <c r="EO112" s="563">
        <v>0</v>
      </c>
      <c r="EP112" s="563">
        <v>0</v>
      </c>
      <c r="EQ112" s="650">
        <v>5451.5521100035576</v>
      </c>
      <c r="ER112" s="564">
        <v>4000</v>
      </c>
      <c r="ES112" s="565">
        <v>84.194683116206463</v>
      </c>
      <c r="ET112" s="649">
        <v>1.5072000000000001</v>
      </c>
      <c r="EU112" s="646">
        <v>10.134743137991094</v>
      </c>
      <c r="EV112" s="646">
        <v>0</v>
      </c>
      <c r="EW112" s="646">
        <v>0</v>
      </c>
      <c r="EX112" s="646">
        <v>17.685859238665444</v>
      </c>
      <c r="EY112" s="646">
        <v>0.17206359757676548</v>
      </c>
      <c r="EZ112" s="646">
        <v>3600</v>
      </c>
      <c r="FA112" s="563" t="s">
        <v>1586</v>
      </c>
      <c r="FB112" s="563">
        <v>2</v>
      </c>
      <c r="FC112" s="563">
        <v>0</v>
      </c>
      <c r="FD112" s="563">
        <v>0</v>
      </c>
      <c r="FE112" s="563">
        <v>0</v>
      </c>
      <c r="FF112" s="650">
        <v>5640.9066733854588</v>
      </c>
      <c r="FG112" s="563">
        <v>0</v>
      </c>
      <c r="FH112" s="563">
        <v>0</v>
      </c>
      <c r="FI112" s="563">
        <v>0</v>
      </c>
      <c r="FJ112" s="650">
        <v>5563.967073206938</v>
      </c>
      <c r="FK112" s="564">
        <v>4000</v>
      </c>
      <c r="FL112" s="565">
        <v>84.194683116206463</v>
      </c>
      <c r="FM112" s="649">
        <v>1.5072000000000001</v>
      </c>
      <c r="FN112" s="646">
        <v>10.134743137991094</v>
      </c>
      <c r="FO112" s="646">
        <v>0</v>
      </c>
      <c r="FP112" s="646">
        <v>0</v>
      </c>
      <c r="FQ112" s="646">
        <v>17.685859238665444</v>
      </c>
      <c r="FR112" s="646">
        <v>0.17206359757676548</v>
      </c>
      <c r="FS112" s="646">
        <v>3600</v>
      </c>
      <c r="FT112" s="563" t="s">
        <v>1586</v>
      </c>
      <c r="FU112" s="563">
        <v>2</v>
      </c>
      <c r="FV112" s="563">
        <v>0</v>
      </c>
      <c r="FW112" s="563">
        <v>0</v>
      </c>
      <c r="FX112" s="563">
        <v>0</v>
      </c>
      <c r="FY112" s="650">
        <v>5640.9066733854588</v>
      </c>
      <c r="FZ112" s="563">
        <v>0</v>
      </c>
      <c r="GA112" s="563">
        <v>0</v>
      </c>
      <c r="GB112" s="563">
        <v>0</v>
      </c>
      <c r="GC112" s="650">
        <v>5563.967073206938</v>
      </c>
      <c r="GD112" s="564">
        <v>4000</v>
      </c>
      <c r="GE112" s="565">
        <v>84.194683116206463</v>
      </c>
      <c r="GF112" s="649">
        <v>1.5072000000000001</v>
      </c>
      <c r="GG112" s="646">
        <v>10.134743137991094</v>
      </c>
      <c r="GH112" s="646">
        <v>0</v>
      </c>
      <c r="GI112" s="646">
        <v>0</v>
      </c>
      <c r="GJ112" s="646">
        <v>17.685859238665444</v>
      </c>
      <c r="GK112" s="646">
        <v>0.17206359757676548</v>
      </c>
      <c r="GL112" s="646">
        <v>3600</v>
      </c>
      <c r="GM112" s="563" t="s">
        <v>1587</v>
      </c>
      <c r="GN112" s="563">
        <v>2</v>
      </c>
      <c r="GO112" s="563">
        <v>0</v>
      </c>
      <c r="GP112" s="563">
        <v>0</v>
      </c>
      <c r="GQ112" s="563">
        <v>0</v>
      </c>
      <c r="GR112" s="650">
        <v>7568.0704658621253</v>
      </c>
      <c r="GS112" s="563">
        <v>0</v>
      </c>
      <c r="GT112" s="563">
        <v>0</v>
      </c>
      <c r="GU112" s="563">
        <v>0</v>
      </c>
      <c r="GV112" s="650">
        <v>7464.8451601605539</v>
      </c>
      <c r="GW112" s="564">
        <v>4000</v>
      </c>
      <c r="GX112" s="565">
        <v>84.194683116206463</v>
      </c>
      <c r="GY112" s="649">
        <v>1.5072000000000001</v>
      </c>
      <c r="GZ112" s="646">
        <v>10.134743137991094</v>
      </c>
      <c r="HA112" s="646">
        <v>0</v>
      </c>
      <c r="HB112" s="646">
        <v>0</v>
      </c>
      <c r="HC112" s="646">
        <v>17.685859238665444</v>
      </c>
      <c r="HD112" s="646">
        <v>0.17206359757676548</v>
      </c>
      <c r="HE112" s="646">
        <v>3600</v>
      </c>
      <c r="HF112" s="563" t="s">
        <v>1587</v>
      </c>
      <c r="HG112" s="563">
        <v>2</v>
      </c>
      <c r="HH112" s="563">
        <v>0</v>
      </c>
      <c r="HI112" s="563">
        <v>0</v>
      </c>
      <c r="HJ112" s="563">
        <v>0</v>
      </c>
      <c r="HK112" s="650">
        <v>7568.0704658621253</v>
      </c>
      <c r="HL112" s="563">
        <v>0</v>
      </c>
      <c r="HM112" s="563">
        <v>0</v>
      </c>
      <c r="HN112" s="563">
        <v>0</v>
      </c>
      <c r="HO112" s="650">
        <v>7464.8451601605539</v>
      </c>
      <c r="HP112" s="564">
        <v>4000</v>
      </c>
      <c r="HQ112" s="565">
        <v>84.194683116206463</v>
      </c>
      <c r="HR112" s="649">
        <v>1.5072000000000001</v>
      </c>
      <c r="HS112" s="646">
        <v>10.134743137991094</v>
      </c>
      <c r="HT112" s="646">
        <v>0</v>
      </c>
      <c r="HU112" s="646">
        <v>0</v>
      </c>
      <c r="HV112" s="646">
        <v>17.685859238665444</v>
      </c>
      <c r="HW112" s="646">
        <v>0.17206359757676548</v>
      </c>
      <c r="HX112" s="646">
        <v>3600</v>
      </c>
      <c r="HY112" s="563" t="s">
        <v>68</v>
      </c>
      <c r="HZ112" s="563">
        <v>2</v>
      </c>
      <c r="IA112" s="563">
        <v>0</v>
      </c>
      <c r="IB112" s="563">
        <v>0</v>
      </c>
      <c r="IC112" s="563">
        <v>0</v>
      </c>
      <c r="ID112" s="650">
        <v>6674.4107857612926</v>
      </c>
      <c r="IE112" s="563">
        <v>0</v>
      </c>
      <c r="IF112" s="563">
        <v>0</v>
      </c>
      <c r="IG112" s="563">
        <v>0</v>
      </c>
      <c r="IH112" s="650">
        <v>6583.3746231296482</v>
      </c>
      <c r="II112" s="564">
        <v>4000</v>
      </c>
      <c r="IJ112" s="565">
        <v>84.194683116206463</v>
      </c>
      <c r="IK112" s="649">
        <v>1.5072000000000001</v>
      </c>
      <c r="IL112" s="646">
        <v>10.134743137991094</v>
      </c>
      <c r="IM112" s="646">
        <v>0</v>
      </c>
      <c r="IN112" s="646">
        <v>0</v>
      </c>
      <c r="IO112" s="646">
        <v>17.685859238665444</v>
      </c>
      <c r="IP112" s="646">
        <v>0.17206359757676548</v>
      </c>
      <c r="IQ112" s="646">
        <v>3600</v>
      </c>
      <c r="IR112" s="563" t="s">
        <v>68</v>
      </c>
      <c r="IS112" s="563">
        <v>2</v>
      </c>
      <c r="IT112" s="563">
        <v>0</v>
      </c>
      <c r="IU112" s="563">
        <v>0</v>
      </c>
      <c r="IV112" s="563">
        <v>0</v>
      </c>
      <c r="IW112" s="650">
        <v>6674.4107857612926</v>
      </c>
      <c r="IX112" s="563">
        <v>0</v>
      </c>
      <c r="IY112" s="563">
        <v>0</v>
      </c>
      <c r="IZ112" s="563">
        <v>0</v>
      </c>
      <c r="JA112" s="650">
        <v>6583.3746231296482</v>
      </c>
      <c r="JB112" s="564">
        <v>4000</v>
      </c>
      <c r="JC112" s="565">
        <v>84.194683116206463</v>
      </c>
      <c r="JD112" s="649">
        <v>1.5072000000000001</v>
      </c>
      <c r="JE112" s="646">
        <v>10.134743137991094</v>
      </c>
      <c r="JF112" s="646">
        <v>0</v>
      </c>
      <c r="JG112" s="646">
        <v>0</v>
      </c>
      <c r="JH112" s="646">
        <v>17.685859238665444</v>
      </c>
      <c r="JI112" s="646">
        <v>0.17206359757676548</v>
      </c>
      <c r="JJ112" s="646">
        <v>3600</v>
      </c>
      <c r="JK112" s="563" t="s">
        <v>67</v>
      </c>
      <c r="JL112" s="563">
        <v>2</v>
      </c>
      <c r="JM112" s="563">
        <v>0</v>
      </c>
      <c r="JN112" s="563">
        <v>0</v>
      </c>
      <c r="JO112" s="563">
        <v>0</v>
      </c>
      <c r="JP112" s="650">
        <v>9095.6887069968925</v>
      </c>
      <c r="JQ112" s="563">
        <v>0</v>
      </c>
      <c r="JR112" s="563">
        <v>0</v>
      </c>
      <c r="JS112" s="563">
        <v>0</v>
      </c>
      <c r="JT112" s="650">
        <v>8971.6273294526218</v>
      </c>
      <c r="JU112" s="564">
        <v>4000</v>
      </c>
      <c r="JV112" s="565">
        <v>84.194683116206463</v>
      </c>
      <c r="JW112" s="649">
        <v>1.5072000000000001</v>
      </c>
      <c r="JX112" s="646">
        <v>10.134743137991094</v>
      </c>
      <c r="JY112" s="646">
        <v>0</v>
      </c>
      <c r="JZ112" s="646">
        <v>0</v>
      </c>
      <c r="KA112" s="646">
        <v>17.685859238665444</v>
      </c>
      <c r="KB112" s="646">
        <v>0.17206359757676548</v>
      </c>
      <c r="KC112" s="646">
        <v>3600</v>
      </c>
      <c r="KD112" s="563" t="s">
        <v>67</v>
      </c>
      <c r="KE112" s="563">
        <v>2</v>
      </c>
      <c r="KF112" s="563">
        <v>0</v>
      </c>
      <c r="KG112" s="563">
        <v>0</v>
      </c>
      <c r="KH112" s="563">
        <v>0</v>
      </c>
      <c r="KI112" s="650">
        <v>9095.6887069968925</v>
      </c>
      <c r="KJ112" s="563">
        <v>0</v>
      </c>
      <c r="KK112" s="563">
        <v>0</v>
      </c>
      <c r="KL112" s="563">
        <v>0</v>
      </c>
      <c r="KM112" s="650">
        <v>8971.6273294526218</v>
      </c>
      <c r="KN112" s="564">
        <v>4000</v>
      </c>
      <c r="KO112" s="566">
        <v>84.194683116206463</v>
      </c>
    </row>
    <row r="113" spans="1:301" ht="15" customHeight="1">
      <c r="A113" s="663" t="s">
        <v>867</v>
      </c>
      <c r="B113" s="629" t="s">
        <v>382</v>
      </c>
      <c r="C113" s="629">
        <v>285</v>
      </c>
      <c r="D113" s="629">
        <v>427</v>
      </c>
      <c r="E113" s="629">
        <v>260</v>
      </c>
      <c r="F113" s="629">
        <v>285</v>
      </c>
      <c r="G113" s="629">
        <v>74</v>
      </c>
      <c r="H113" s="629">
        <v>60</v>
      </c>
      <c r="I113" s="629">
        <v>60</v>
      </c>
      <c r="J113" s="629">
        <v>31.3</v>
      </c>
      <c r="K113" s="629">
        <v>54</v>
      </c>
      <c r="L113" s="629">
        <v>16</v>
      </c>
      <c r="M113" s="629">
        <v>98</v>
      </c>
      <c r="N113" s="629">
        <v>2</v>
      </c>
      <c r="O113" s="623">
        <v>1.4146947504482859</v>
      </c>
      <c r="P113" s="629">
        <v>2</v>
      </c>
      <c r="Q113" s="623">
        <v>0.82185869353804719</v>
      </c>
      <c r="R113" s="629">
        <v>13.000000000000002</v>
      </c>
      <c r="S113" s="629">
        <v>340.11447222479433</v>
      </c>
      <c r="T113" s="645">
        <v>9.2715664319669209</v>
      </c>
      <c r="U113" s="645">
        <v>51.017170833719149</v>
      </c>
      <c r="V113" s="645">
        <v>72.5</v>
      </c>
      <c r="W113" s="793">
        <v>0.87255246589304059</v>
      </c>
      <c r="X113" s="646">
        <v>0</v>
      </c>
      <c r="Y113" s="646">
        <v>0</v>
      </c>
      <c r="Z113" s="646">
        <v>0</v>
      </c>
      <c r="AA113" s="646">
        <v>0</v>
      </c>
      <c r="AB113" s="647">
        <v>0.90235008241369508</v>
      </c>
      <c r="AC113" s="784">
        <v>4000</v>
      </c>
      <c r="AD113" s="631">
        <v>3.7646255947654033</v>
      </c>
      <c r="AE113" s="631">
        <v>0.60800953019440529</v>
      </c>
      <c r="AF113" s="631">
        <v>-0.1998804253895313</v>
      </c>
      <c r="AG113" s="631">
        <v>0.45850224959572622</v>
      </c>
      <c r="AH113" s="629"/>
      <c r="AI113" s="648">
        <v>0.63337551529245784</v>
      </c>
      <c r="AJ113" s="649">
        <v>2.2155840000000002</v>
      </c>
      <c r="AK113" s="646">
        <v>14.596256341846294</v>
      </c>
      <c r="AL113" s="646">
        <v>0</v>
      </c>
      <c r="AM113" s="646">
        <v>0</v>
      </c>
      <c r="AN113" s="646">
        <v>16.721155527881798</v>
      </c>
      <c r="AO113" s="646">
        <v>0.28186671297134219</v>
      </c>
      <c r="AP113" s="801">
        <v>3600</v>
      </c>
      <c r="AQ113" s="563" t="s">
        <v>71</v>
      </c>
      <c r="AR113" s="563">
        <v>3</v>
      </c>
      <c r="AS113" s="563">
        <v>0</v>
      </c>
      <c r="AT113" s="563">
        <v>0</v>
      </c>
      <c r="AU113" s="563">
        <v>0</v>
      </c>
      <c r="AV113" s="650">
        <v>7100.5745510204815</v>
      </c>
      <c r="AW113" s="563">
        <v>0</v>
      </c>
      <c r="AX113" s="563">
        <v>0</v>
      </c>
      <c r="AY113" s="563">
        <v>0</v>
      </c>
      <c r="AZ113" s="650">
        <v>7599.1176050993545</v>
      </c>
      <c r="BA113" s="564">
        <v>4000</v>
      </c>
      <c r="BB113" s="565">
        <v>89.430670872189452</v>
      </c>
      <c r="BC113" s="649">
        <v>2.2155840000000002</v>
      </c>
      <c r="BD113" s="646">
        <v>14.596256341846294</v>
      </c>
      <c r="BE113" s="646">
        <v>0</v>
      </c>
      <c r="BF113" s="646">
        <v>0</v>
      </c>
      <c r="BG113" s="646">
        <v>16.721155527881798</v>
      </c>
      <c r="BH113" s="646">
        <v>0.28186671297134219</v>
      </c>
      <c r="BI113" s="646">
        <v>3600</v>
      </c>
      <c r="BJ113" s="563" t="s">
        <v>71</v>
      </c>
      <c r="BK113" s="563">
        <v>3</v>
      </c>
      <c r="BL113" s="563">
        <v>0</v>
      </c>
      <c r="BM113" s="563">
        <v>0</v>
      </c>
      <c r="BN113" s="563">
        <v>0</v>
      </c>
      <c r="BO113" s="650">
        <v>7100.5745510204815</v>
      </c>
      <c r="BP113" s="563">
        <v>0</v>
      </c>
      <c r="BQ113" s="563">
        <v>0</v>
      </c>
      <c r="BR113" s="563">
        <v>0</v>
      </c>
      <c r="BS113" s="650">
        <v>7599.1176050993545</v>
      </c>
      <c r="BT113" s="564">
        <v>4000</v>
      </c>
      <c r="BU113" s="565">
        <v>89.430670872189452</v>
      </c>
      <c r="BV113" s="649">
        <v>1.4770560000000001</v>
      </c>
      <c r="BW113" s="646">
        <v>13.857728341846293</v>
      </c>
      <c r="BX113" s="646">
        <v>0</v>
      </c>
      <c r="BY113" s="646">
        <v>0</v>
      </c>
      <c r="BZ113" s="646">
        <v>16.01347832362525</v>
      </c>
      <c r="CA113" s="646">
        <v>0.2575364619073422</v>
      </c>
      <c r="CB113" s="646">
        <v>3600</v>
      </c>
      <c r="CC113" s="563" t="s">
        <v>1584</v>
      </c>
      <c r="CD113" s="563">
        <v>2</v>
      </c>
      <c r="CE113" s="563">
        <v>0</v>
      </c>
      <c r="CF113" s="563">
        <v>0</v>
      </c>
      <c r="CG113" s="563">
        <v>0</v>
      </c>
      <c r="CH113" s="650">
        <v>5010.666886921611</v>
      </c>
      <c r="CI113" s="563">
        <v>0</v>
      </c>
      <c r="CJ113" s="563">
        <v>0</v>
      </c>
      <c r="CK113" s="563">
        <v>0</v>
      </c>
      <c r="CL113" s="650">
        <v>4947.2029275807945</v>
      </c>
      <c r="CM113" s="564">
        <v>4000</v>
      </c>
      <c r="CN113" s="565">
        <v>89.430670872189452</v>
      </c>
      <c r="CO113" s="649">
        <v>1.4770560000000001</v>
      </c>
      <c r="CP113" s="646">
        <v>13.857728341846293</v>
      </c>
      <c r="CQ113" s="646">
        <v>0</v>
      </c>
      <c r="CR113" s="646">
        <v>0</v>
      </c>
      <c r="CS113" s="646">
        <v>16.01347832362525</v>
      </c>
      <c r="CT113" s="646">
        <v>0.2575364619073422</v>
      </c>
      <c r="CU113" s="646">
        <v>3600</v>
      </c>
      <c r="CV113" s="563" t="s">
        <v>1584</v>
      </c>
      <c r="CW113" s="563">
        <v>2</v>
      </c>
      <c r="CX113" s="563">
        <v>0</v>
      </c>
      <c r="CY113" s="563">
        <v>0</v>
      </c>
      <c r="CZ113" s="563">
        <v>0</v>
      </c>
      <c r="DA113" s="650">
        <v>5010.666886921611</v>
      </c>
      <c r="DB113" s="563">
        <v>0</v>
      </c>
      <c r="DC113" s="563">
        <v>0</v>
      </c>
      <c r="DD113" s="563">
        <v>0</v>
      </c>
      <c r="DE113" s="650">
        <v>4947.2029275807945</v>
      </c>
      <c r="DF113" s="564">
        <v>4000</v>
      </c>
      <c r="DG113" s="565">
        <v>89.430670872189452</v>
      </c>
      <c r="DH113" s="649">
        <v>1.4770560000000001</v>
      </c>
      <c r="DI113" s="646">
        <v>13.857728341846293</v>
      </c>
      <c r="DJ113" s="646">
        <v>0</v>
      </c>
      <c r="DK113" s="646">
        <v>0</v>
      </c>
      <c r="DL113" s="646">
        <v>16.01347832362525</v>
      </c>
      <c r="DM113" s="646">
        <v>0.2575364619073422</v>
      </c>
      <c r="DN113" s="646">
        <v>3600</v>
      </c>
      <c r="DO113" s="563" t="s">
        <v>1585</v>
      </c>
      <c r="DP113" s="563">
        <v>2</v>
      </c>
      <c r="DQ113" s="563">
        <v>0</v>
      </c>
      <c r="DR113" s="563">
        <v>0</v>
      </c>
      <c r="DS113" s="563">
        <v>0</v>
      </c>
      <c r="DT113" s="650">
        <v>5356.6282200323385</v>
      </c>
      <c r="DU113" s="563">
        <v>0</v>
      </c>
      <c r="DV113" s="563">
        <v>0</v>
      </c>
      <c r="DW113" s="563">
        <v>0</v>
      </c>
      <c r="DX113" s="650">
        <v>5288.7823936720351</v>
      </c>
      <c r="DY113" s="564">
        <v>4000</v>
      </c>
      <c r="DZ113" s="565">
        <v>89.430670872189452</v>
      </c>
      <c r="EA113" s="649">
        <v>1.4770560000000001</v>
      </c>
      <c r="EB113" s="646">
        <v>13.857728341846293</v>
      </c>
      <c r="EC113" s="646">
        <v>0</v>
      </c>
      <c r="ED113" s="646">
        <v>0</v>
      </c>
      <c r="EE113" s="646">
        <v>16.01347832362525</v>
      </c>
      <c r="EF113" s="646">
        <v>0.2575364619073422</v>
      </c>
      <c r="EG113" s="646">
        <v>3600</v>
      </c>
      <c r="EH113" s="563" t="s">
        <v>1585</v>
      </c>
      <c r="EI113" s="563">
        <v>2</v>
      </c>
      <c r="EJ113" s="563">
        <v>0</v>
      </c>
      <c r="EK113" s="563">
        <v>0</v>
      </c>
      <c r="EL113" s="563">
        <v>0</v>
      </c>
      <c r="EM113" s="650">
        <v>5356.6282200323385</v>
      </c>
      <c r="EN113" s="563">
        <v>0</v>
      </c>
      <c r="EO113" s="563">
        <v>0</v>
      </c>
      <c r="EP113" s="563">
        <v>0</v>
      </c>
      <c r="EQ113" s="650">
        <v>5288.7823936720351</v>
      </c>
      <c r="ER113" s="564">
        <v>4000</v>
      </c>
      <c r="ES113" s="565">
        <v>89.430670872189452</v>
      </c>
      <c r="ET113" s="649">
        <v>1.4770560000000001</v>
      </c>
      <c r="EU113" s="646">
        <v>13.857728341846293</v>
      </c>
      <c r="EV113" s="646">
        <v>0</v>
      </c>
      <c r="EW113" s="646">
        <v>0</v>
      </c>
      <c r="EX113" s="646">
        <v>16.01347832362525</v>
      </c>
      <c r="EY113" s="646">
        <v>0.2575364619073422</v>
      </c>
      <c r="EZ113" s="646">
        <v>3600</v>
      </c>
      <c r="FA113" s="563" t="s">
        <v>1586</v>
      </c>
      <c r="FB113" s="563">
        <v>2</v>
      </c>
      <c r="FC113" s="563">
        <v>0</v>
      </c>
      <c r="FD113" s="563">
        <v>0</v>
      </c>
      <c r="FE113" s="563">
        <v>0</v>
      </c>
      <c r="FF113" s="650">
        <v>5467.0857836960386</v>
      </c>
      <c r="FG113" s="563">
        <v>0</v>
      </c>
      <c r="FH113" s="563">
        <v>0</v>
      </c>
      <c r="FI113" s="563">
        <v>0</v>
      </c>
      <c r="FJ113" s="650">
        <v>5397.8409271296878</v>
      </c>
      <c r="FK113" s="564">
        <v>4000</v>
      </c>
      <c r="FL113" s="565">
        <v>89.430670872189452</v>
      </c>
      <c r="FM113" s="649">
        <v>1.4770560000000001</v>
      </c>
      <c r="FN113" s="646">
        <v>13.857728341846293</v>
      </c>
      <c r="FO113" s="646">
        <v>0</v>
      </c>
      <c r="FP113" s="646">
        <v>0</v>
      </c>
      <c r="FQ113" s="646">
        <v>16.01347832362525</v>
      </c>
      <c r="FR113" s="646">
        <v>0.2575364619073422</v>
      </c>
      <c r="FS113" s="646">
        <v>3600</v>
      </c>
      <c r="FT113" s="563" t="s">
        <v>1586</v>
      </c>
      <c r="FU113" s="563">
        <v>2</v>
      </c>
      <c r="FV113" s="563">
        <v>0</v>
      </c>
      <c r="FW113" s="563">
        <v>0</v>
      </c>
      <c r="FX113" s="563">
        <v>0</v>
      </c>
      <c r="FY113" s="650">
        <v>5467.0857836960386</v>
      </c>
      <c r="FZ113" s="563">
        <v>0</v>
      </c>
      <c r="GA113" s="563">
        <v>0</v>
      </c>
      <c r="GB113" s="563">
        <v>0</v>
      </c>
      <c r="GC113" s="650">
        <v>5397.8409271296878</v>
      </c>
      <c r="GD113" s="564">
        <v>4000</v>
      </c>
      <c r="GE113" s="565">
        <v>89.430670872189452</v>
      </c>
      <c r="GF113" s="649">
        <v>1.4770560000000001</v>
      </c>
      <c r="GG113" s="646">
        <v>13.857728341846293</v>
      </c>
      <c r="GH113" s="646">
        <v>0</v>
      </c>
      <c r="GI113" s="646">
        <v>0</v>
      </c>
      <c r="GJ113" s="646">
        <v>16.01347832362525</v>
      </c>
      <c r="GK113" s="646">
        <v>0.2575364619073422</v>
      </c>
      <c r="GL113" s="646">
        <v>3600</v>
      </c>
      <c r="GM113" s="563" t="s">
        <v>1587</v>
      </c>
      <c r="GN113" s="563">
        <v>2</v>
      </c>
      <c r="GO113" s="563">
        <v>0</v>
      </c>
      <c r="GP113" s="563">
        <v>0</v>
      </c>
      <c r="GQ113" s="563">
        <v>0</v>
      </c>
      <c r="GR113" s="650">
        <v>7334.8652707014007</v>
      </c>
      <c r="GS113" s="563">
        <v>0</v>
      </c>
      <c r="GT113" s="563">
        <v>0</v>
      </c>
      <c r="GU113" s="563">
        <v>0</v>
      </c>
      <c r="GV113" s="650">
        <v>7241.9635468759416</v>
      </c>
      <c r="GW113" s="564">
        <v>4000</v>
      </c>
      <c r="GX113" s="565">
        <v>89.430670872189452</v>
      </c>
      <c r="GY113" s="649">
        <v>1.4770560000000001</v>
      </c>
      <c r="GZ113" s="646">
        <v>13.857728341846293</v>
      </c>
      <c r="HA113" s="646">
        <v>0</v>
      </c>
      <c r="HB113" s="646">
        <v>0</v>
      </c>
      <c r="HC113" s="646">
        <v>16.01347832362525</v>
      </c>
      <c r="HD113" s="646">
        <v>0.2575364619073422</v>
      </c>
      <c r="HE113" s="646">
        <v>3600</v>
      </c>
      <c r="HF113" s="563" t="s">
        <v>1587</v>
      </c>
      <c r="HG113" s="563">
        <v>2</v>
      </c>
      <c r="HH113" s="563">
        <v>0</v>
      </c>
      <c r="HI113" s="563">
        <v>0</v>
      </c>
      <c r="HJ113" s="563">
        <v>0</v>
      </c>
      <c r="HK113" s="650">
        <v>7334.8652707014007</v>
      </c>
      <c r="HL113" s="563">
        <v>0</v>
      </c>
      <c r="HM113" s="563">
        <v>0</v>
      </c>
      <c r="HN113" s="563">
        <v>0</v>
      </c>
      <c r="HO113" s="650">
        <v>7241.9635468759416</v>
      </c>
      <c r="HP113" s="564">
        <v>4000</v>
      </c>
      <c r="HQ113" s="565">
        <v>89.430670872189452</v>
      </c>
      <c r="HR113" s="649">
        <v>1.4770560000000001</v>
      </c>
      <c r="HS113" s="646">
        <v>13.857728341846293</v>
      </c>
      <c r="HT113" s="646">
        <v>0</v>
      </c>
      <c r="HU113" s="646">
        <v>0</v>
      </c>
      <c r="HV113" s="646">
        <v>16.01347832362525</v>
      </c>
      <c r="HW113" s="646">
        <v>0.2575364619073422</v>
      </c>
      <c r="HX113" s="646">
        <v>3600</v>
      </c>
      <c r="HY113" s="563" t="s">
        <v>68</v>
      </c>
      <c r="HZ113" s="563">
        <v>2</v>
      </c>
      <c r="IA113" s="563">
        <v>0</v>
      </c>
      <c r="IB113" s="563">
        <v>0</v>
      </c>
      <c r="IC113" s="563">
        <v>0</v>
      </c>
      <c r="ID113" s="650">
        <v>6468.743135480122</v>
      </c>
      <c r="IE113" s="563">
        <v>0</v>
      </c>
      <c r="IF113" s="563">
        <v>0</v>
      </c>
      <c r="IG113" s="563">
        <v>0</v>
      </c>
      <c r="IH113" s="650">
        <v>6386.8115162763306</v>
      </c>
      <c r="II113" s="564">
        <v>4000</v>
      </c>
      <c r="IJ113" s="565">
        <v>89.430670872189452</v>
      </c>
      <c r="IK113" s="649">
        <v>1.4770560000000001</v>
      </c>
      <c r="IL113" s="646">
        <v>13.857728341846293</v>
      </c>
      <c r="IM113" s="646">
        <v>0</v>
      </c>
      <c r="IN113" s="646">
        <v>0</v>
      </c>
      <c r="IO113" s="646">
        <v>16.01347832362525</v>
      </c>
      <c r="IP113" s="646">
        <v>0.2575364619073422</v>
      </c>
      <c r="IQ113" s="646">
        <v>3600</v>
      </c>
      <c r="IR113" s="563" t="s">
        <v>68</v>
      </c>
      <c r="IS113" s="563">
        <v>2</v>
      </c>
      <c r="IT113" s="563">
        <v>0</v>
      </c>
      <c r="IU113" s="563">
        <v>0</v>
      </c>
      <c r="IV113" s="563">
        <v>0</v>
      </c>
      <c r="IW113" s="650">
        <v>6468.743135480122</v>
      </c>
      <c r="IX113" s="563">
        <v>0</v>
      </c>
      <c r="IY113" s="563">
        <v>0</v>
      </c>
      <c r="IZ113" s="563">
        <v>0</v>
      </c>
      <c r="JA113" s="650">
        <v>6386.8115162763306</v>
      </c>
      <c r="JB113" s="564">
        <v>4000</v>
      </c>
      <c r="JC113" s="565">
        <v>89.430670872189452</v>
      </c>
      <c r="JD113" s="649">
        <v>1.4770560000000001</v>
      </c>
      <c r="JE113" s="646">
        <v>13.857728341846293</v>
      </c>
      <c r="JF113" s="646">
        <v>0</v>
      </c>
      <c r="JG113" s="646">
        <v>0</v>
      </c>
      <c r="JH113" s="646">
        <v>16.01347832362525</v>
      </c>
      <c r="JI113" s="646">
        <v>0.2575364619073422</v>
      </c>
      <c r="JJ113" s="646">
        <v>3600</v>
      </c>
      <c r="JK113" s="563" t="s">
        <v>67</v>
      </c>
      <c r="JL113" s="563">
        <v>2</v>
      </c>
      <c r="JM113" s="563">
        <v>0</v>
      </c>
      <c r="JN113" s="563">
        <v>0</v>
      </c>
      <c r="JO113" s="563">
        <v>0</v>
      </c>
      <c r="JP113" s="650">
        <v>8815.4109440446518</v>
      </c>
      <c r="JQ113" s="563">
        <v>0</v>
      </c>
      <c r="JR113" s="563">
        <v>0</v>
      </c>
      <c r="JS113" s="563">
        <v>0</v>
      </c>
      <c r="JT113" s="650">
        <v>8703.7569677674219</v>
      </c>
      <c r="JU113" s="564">
        <v>4000</v>
      </c>
      <c r="JV113" s="565">
        <v>89.430670872189452</v>
      </c>
      <c r="JW113" s="649">
        <v>1.4770560000000001</v>
      </c>
      <c r="JX113" s="646">
        <v>13.857728341846293</v>
      </c>
      <c r="JY113" s="646">
        <v>0</v>
      </c>
      <c r="JZ113" s="646">
        <v>0</v>
      </c>
      <c r="KA113" s="646">
        <v>16.01347832362525</v>
      </c>
      <c r="KB113" s="646">
        <v>0.2575364619073422</v>
      </c>
      <c r="KC113" s="646">
        <v>3600</v>
      </c>
      <c r="KD113" s="563" t="s">
        <v>67</v>
      </c>
      <c r="KE113" s="563">
        <v>2</v>
      </c>
      <c r="KF113" s="563">
        <v>0</v>
      </c>
      <c r="KG113" s="563">
        <v>0</v>
      </c>
      <c r="KH113" s="563">
        <v>0</v>
      </c>
      <c r="KI113" s="650">
        <v>8815.4109440446518</v>
      </c>
      <c r="KJ113" s="563">
        <v>0</v>
      </c>
      <c r="KK113" s="563">
        <v>0</v>
      </c>
      <c r="KL113" s="563">
        <v>0</v>
      </c>
      <c r="KM113" s="650">
        <v>8703.7569677674219</v>
      </c>
      <c r="KN113" s="564">
        <v>4000</v>
      </c>
      <c r="KO113" s="566">
        <v>89.430670872189452</v>
      </c>
    </row>
    <row r="114" spans="1:301" ht="15" customHeight="1">
      <c r="A114" s="663" t="s">
        <v>868</v>
      </c>
      <c r="B114" s="629" t="s">
        <v>382</v>
      </c>
      <c r="C114" s="629">
        <v>225</v>
      </c>
      <c r="D114" s="629">
        <v>502</v>
      </c>
      <c r="E114" s="629">
        <v>210</v>
      </c>
      <c r="F114" s="629">
        <v>225</v>
      </c>
      <c r="G114" s="629">
        <v>59</v>
      </c>
      <c r="H114" s="629">
        <v>45</v>
      </c>
      <c r="I114" s="629">
        <v>45</v>
      </c>
      <c r="J114" s="629">
        <v>41.2</v>
      </c>
      <c r="K114" s="629">
        <v>69.5</v>
      </c>
      <c r="L114" s="629">
        <v>16</v>
      </c>
      <c r="M114" s="629">
        <v>160</v>
      </c>
      <c r="N114" s="629">
        <v>2</v>
      </c>
      <c r="O114" s="623">
        <v>2.5636124902788344</v>
      </c>
      <c r="P114" s="629">
        <v>2</v>
      </c>
      <c r="Q114" s="623">
        <v>1.5954438113788563</v>
      </c>
      <c r="R114" s="629">
        <v>13.000000000000002</v>
      </c>
      <c r="S114" s="629">
        <v>350.1665343521849</v>
      </c>
      <c r="T114" s="645">
        <v>9.8277062343945527</v>
      </c>
      <c r="U114" s="645">
        <v>52.52498015282773</v>
      </c>
      <c r="V114" s="645">
        <v>60</v>
      </c>
      <c r="W114" s="793">
        <v>0.76542712017880643</v>
      </c>
      <c r="X114" s="646">
        <v>0</v>
      </c>
      <c r="Y114" s="646">
        <v>0</v>
      </c>
      <c r="Z114" s="646">
        <v>0</v>
      </c>
      <c r="AA114" s="646">
        <v>0</v>
      </c>
      <c r="AB114" s="647">
        <v>0.97916298864748152</v>
      </c>
      <c r="AC114" s="784">
        <v>4000</v>
      </c>
      <c r="AD114" s="631">
        <v>3.3495217515222557</v>
      </c>
      <c r="AE114" s="631">
        <v>0.87543382292278182</v>
      </c>
      <c r="AF114" s="631">
        <v>-0.13921104126126807</v>
      </c>
      <c r="AG114" s="631">
        <v>0.59768850443893839</v>
      </c>
      <c r="AH114" s="629"/>
      <c r="AI114" s="648">
        <v>0.94257235103125048</v>
      </c>
      <c r="AJ114" s="649">
        <v>2.7129600000000003</v>
      </c>
      <c r="AK114" s="646">
        <v>17.465149656231048</v>
      </c>
      <c r="AL114" s="646">
        <v>0</v>
      </c>
      <c r="AM114" s="646">
        <v>0</v>
      </c>
      <c r="AN114" s="646">
        <v>15.164056147000565</v>
      </c>
      <c r="AO114" s="646">
        <v>0.42285529339281752</v>
      </c>
      <c r="AP114" s="801">
        <v>3600</v>
      </c>
      <c r="AQ114" s="563" t="s">
        <v>71</v>
      </c>
      <c r="AR114" s="563">
        <v>3</v>
      </c>
      <c r="AS114" s="563">
        <v>0</v>
      </c>
      <c r="AT114" s="563">
        <v>0</v>
      </c>
      <c r="AU114" s="563">
        <v>0</v>
      </c>
      <c r="AV114" s="650">
        <v>11979.78637673784</v>
      </c>
      <c r="AW114" s="563">
        <v>0</v>
      </c>
      <c r="AX114" s="563">
        <v>0</v>
      </c>
      <c r="AY114" s="563">
        <v>0</v>
      </c>
      <c r="AZ114" s="650">
        <v>13153.307558211904</v>
      </c>
      <c r="BA114" s="564">
        <v>4000</v>
      </c>
      <c r="BB114" s="565">
        <v>105.13863414013842</v>
      </c>
      <c r="BC114" s="649">
        <v>2.7129600000000003</v>
      </c>
      <c r="BD114" s="646">
        <v>17.465149656231048</v>
      </c>
      <c r="BE114" s="646">
        <v>0</v>
      </c>
      <c r="BF114" s="646">
        <v>0</v>
      </c>
      <c r="BG114" s="646">
        <v>15.164056147000565</v>
      </c>
      <c r="BH114" s="646">
        <v>0.42285529339281752</v>
      </c>
      <c r="BI114" s="646">
        <v>3600</v>
      </c>
      <c r="BJ114" s="563" t="s">
        <v>71</v>
      </c>
      <c r="BK114" s="563">
        <v>3</v>
      </c>
      <c r="BL114" s="563">
        <v>0</v>
      </c>
      <c r="BM114" s="563">
        <v>0</v>
      </c>
      <c r="BN114" s="563">
        <v>0</v>
      </c>
      <c r="BO114" s="650">
        <v>11979.78637673784</v>
      </c>
      <c r="BP114" s="563">
        <v>0</v>
      </c>
      <c r="BQ114" s="563">
        <v>0</v>
      </c>
      <c r="BR114" s="563">
        <v>0</v>
      </c>
      <c r="BS114" s="650">
        <v>13153.307558211904</v>
      </c>
      <c r="BT114" s="564">
        <v>4000</v>
      </c>
      <c r="BU114" s="565">
        <v>105.13863414013842</v>
      </c>
      <c r="BV114" s="649">
        <v>1.8086400000000002</v>
      </c>
      <c r="BW114" s="646">
        <v>16.56082965623105</v>
      </c>
      <c r="BX114" s="646">
        <v>0</v>
      </c>
      <c r="BY114" s="646">
        <v>0</v>
      </c>
      <c r="BZ114" s="646">
        <v>14.763469891187686</v>
      </c>
      <c r="CA114" s="646">
        <v>0.38864611123281756</v>
      </c>
      <c r="CB114" s="646">
        <v>3600</v>
      </c>
      <c r="CC114" s="563" t="s">
        <v>1584</v>
      </c>
      <c r="CD114" s="563">
        <v>2</v>
      </c>
      <c r="CE114" s="563">
        <v>0</v>
      </c>
      <c r="CF114" s="563">
        <v>0</v>
      </c>
      <c r="CG114" s="563">
        <v>0</v>
      </c>
      <c r="CH114" s="650">
        <v>8356.9351104390262</v>
      </c>
      <c r="CI114" s="563">
        <v>0</v>
      </c>
      <c r="CJ114" s="563">
        <v>0</v>
      </c>
      <c r="CK114" s="563">
        <v>0</v>
      </c>
      <c r="CL114" s="650">
        <v>8217.1144386388805</v>
      </c>
      <c r="CM114" s="564">
        <v>4000</v>
      </c>
      <c r="CN114" s="565">
        <v>105.13863414013842</v>
      </c>
      <c r="CO114" s="649">
        <v>1.8086400000000002</v>
      </c>
      <c r="CP114" s="646">
        <v>16.56082965623105</v>
      </c>
      <c r="CQ114" s="646">
        <v>0</v>
      </c>
      <c r="CR114" s="646">
        <v>0</v>
      </c>
      <c r="CS114" s="646">
        <v>14.763469891187686</v>
      </c>
      <c r="CT114" s="646">
        <v>0.38864611123281756</v>
      </c>
      <c r="CU114" s="646">
        <v>3600</v>
      </c>
      <c r="CV114" s="563" t="s">
        <v>1584</v>
      </c>
      <c r="CW114" s="563">
        <v>2</v>
      </c>
      <c r="CX114" s="563">
        <v>0</v>
      </c>
      <c r="CY114" s="563">
        <v>0</v>
      </c>
      <c r="CZ114" s="563">
        <v>0</v>
      </c>
      <c r="DA114" s="650">
        <v>8356.9351104390262</v>
      </c>
      <c r="DB114" s="563">
        <v>0</v>
      </c>
      <c r="DC114" s="563">
        <v>0</v>
      </c>
      <c r="DD114" s="563">
        <v>0</v>
      </c>
      <c r="DE114" s="650">
        <v>8217.1144386388805</v>
      </c>
      <c r="DF114" s="564">
        <v>4000</v>
      </c>
      <c r="DG114" s="565">
        <v>105.13863414013842</v>
      </c>
      <c r="DH114" s="649">
        <v>1.8086400000000002</v>
      </c>
      <c r="DI114" s="646">
        <v>16.56082965623105</v>
      </c>
      <c r="DJ114" s="646">
        <v>0</v>
      </c>
      <c r="DK114" s="646">
        <v>0</v>
      </c>
      <c r="DL114" s="646">
        <v>14.763469891187686</v>
      </c>
      <c r="DM114" s="646">
        <v>0.38864611123281756</v>
      </c>
      <c r="DN114" s="646">
        <v>3600</v>
      </c>
      <c r="DO114" s="563" t="s">
        <v>1585</v>
      </c>
      <c r="DP114" s="563">
        <v>2</v>
      </c>
      <c r="DQ114" s="563">
        <v>0</v>
      </c>
      <c r="DR114" s="563">
        <v>0</v>
      </c>
      <c r="DS114" s="563">
        <v>0</v>
      </c>
      <c r="DT114" s="650">
        <v>8933.9394247892578</v>
      </c>
      <c r="DU114" s="563">
        <v>0</v>
      </c>
      <c r="DV114" s="563">
        <v>0</v>
      </c>
      <c r="DW114" s="563">
        <v>0</v>
      </c>
      <c r="DX114" s="650">
        <v>8784.4648392285726</v>
      </c>
      <c r="DY114" s="564">
        <v>4000</v>
      </c>
      <c r="DZ114" s="565">
        <v>105.13863414013842</v>
      </c>
      <c r="EA114" s="649">
        <v>1.8086400000000002</v>
      </c>
      <c r="EB114" s="646">
        <v>16.56082965623105</v>
      </c>
      <c r="EC114" s="646">
        <v>0</v>
      </c>
      <c r="ED114" s="646">
        <v>0</v>
      </c>
      <c r="EE114" s="646">
        <v>14.763469891187686</v>
      </c>
      <c r="EF114" s="646">
        <v>0.38864611123281756</v>
      </c>
      <c r="EG114" s="646">
        <v>3600</v>
      </c>
      <c r="EH114" s="563" t="s">
        <v>1585</v>
      </c>
      <c r="EI114" s="563">
        <v>2</v>
      </c>
      <c r="EJ114" s="563">
        <v>0</v>
      </c>
      <c r="EK114" s="563">
        <v>0</v>
      </c>
      <c r="EL114" s="563">
        <v>0</v>
      </c>
      <c r="EM114" s="650">
        <v>8933.9394247892578</v>
      </c>
      <c r="EN114" s="563">
        <v>0</v>
      </c>
      <c r="EO114" s="563">
        <v>0</v>
      </c>
      <c r="EP114" s="563">
        <v>0</v>
      </c>
      <c r="EQ114" s="650">
        <v>8784.4648392285726</v>
      </c>
      <c r="ER114" s="564">
        <v>4000</v>
      </c>
      <c r="ES114" s="565">
        <v>105.13863414013842</v>
      </c>
      <c r="ET114" s="649">
        <v>1.8086400000000002</v>
      </c>
      <c r="EU114" s="646">
        <v>16.56082965623105</v>
      </c>
      <c r="EV114" s="646">
        <v>0</v>
      </c>
      <c r="EW114" s="646">
        <v>0</v>
      </c>
      <c r="EX114" s="646">
        <v>14.763469891187686</v>
      </c>
      <c r="EY114" s="646">
        <v>0.38864611123281756</v>
      </c>
      <c r="EZ114" s="646">
        <v>3600</v>
      </c>
      <c r="FA114" s="563" t="s">
        <v>1586</v>
      </c>
      <c r="FB114" s="563">
        <v>2</v>
      </c>
      <c r="FC114" s="563">
        <v>0</v>
      </c>
      <c r="FD114" s="563">
        <v>0</v>
      </c>
      <c r="FE114" s="563">
        <v>0</v>
      </c>
      <c r="FF114" s="650">
        <v>9118.1637431957315</v>
      </c>
      <c r="FG114" s="563">
        <v>0</v>
      </c>
      <c r="FH114" s="563">
        <v>0</v>
      </c>
      <c r="FI114" s="563">
        <v>0</v>
      </c>
      <c r="FJ114" s="650">
        <v>8965.6068831373395</v>
      </c>
      <c r="FK114" s="564">
        <v>4000</v>
      </c>
      <c r="FL114" s="565">
        <v>105.13863414013842</v>
      </c>
      <c r="FM114" s="649">
        <v>1.8086400000000002</v>
      </c>
      <c r="FN114" s="646">
        <v>16.56082965623105</v>
      </c>
      <c r="FO114" s="646">
        <v>0</v>
      </c>
      <c r="FP114" s="646">
        <v>0</v>
      </c>
      <c r="FQ114" s="646">
        <v>14.763469891187686</v>
      </c>
      <c r="FR114" s="646">
        <v>0.38864611123281756</v>
      </c>
      <c r="FS114" s="646">
        <v>3600</v>
      </c>
      <c r="FT114" s="563" t="s">
        <v>1586</v>
      </c>
      <c r="FU114" s="563">
        <v>2</v>
      </c>
      <c r="FV114" s="563">
        <v>0</v>
      </c>
      <c r="FW114" s="563">
        <v>0</v>
      </c>
      <c r="FX114" s="563">
        <v>0</v>
      </c>
      <c r="FY114" s="650">
        <v>9118.1637431957315</v>
      </c>
      <c r="FZ114" s="563">
        <v>0</v>
      </c>
      <c r="GA114" s="563">
        <v>0</v>
      </c>
      <c r="GB114" s="563">
        <v>0</v>
      </c>
      <c r="GC114" s="650">
        <v>8965.6068831373395</v>
      </c>
      <c r="GD114" s="564">
        <v>4000</v>
      </c>
      <c r="GE114" s="565">
        <v>105.13863414013842</v>
      </c>
      <c r="GF114" s="649">
        <v>1.8086400000000002</v>
      </c>
      <c r="GG114" s="646">
        <v>16.56082965623105</v>
      </c>
      <c r="GH114" s="646">
        <v>0</v>
      </c>
      <c r="GI114" s="646">
        <v>0</v>
      </c>
      <c r="GJ114" s="646">
        <v>14.763469891187686</v>
      </c>
      <c r="GK114" s="646">
        <v>0.38864611123281756</v>
      </c>
      <c r="GL114" s="646">
        <v>3600</v>
      </c>
      <c r="GM114" s="563" t="s">
        <v>1587</v>
      </c>
      <c r="GN114" s="563">
        <v>2</v>
      </c>
      <c r="GO114" s="563">
        <v>0</v>
      </c>
      <c r="GP114" s="563">
        <v>0</v>
      </c>
      <c r="GQ114" s="563">
        <v>0</v>
      </c>
      <c r="GR114" s="650">
        <v>12233.300375855342</v>
      </c>
      <c r="GS114" s="563">
        <v>0</v>
      </c>
      <c r="GT114" s="563">
        <v>0</v>
      </c>
      <c r="GU114" s="563">
        <v>0</v>
      </c>
      <c r="GV114" s="650">
        <v>12028.623870141178</v>
      </c>
      <c r="GW114" s="564">
        <v>4000</v>
      </c>
      <c r="GX114" s="565">
        <v>105.13863414013842</v>
      </c>
      <c r="GY114" s="649">
        <v>1.8086400000000002</v>
      </c>
      <c r="GZ114" s="646">
        <v>16.56082965623105</v>
      </c>
      <c r="HA114" s="646">
        <v>0</v>
      </c>
      <c r="HB114" s="646">
        <v>0</v>
      </c>
      <c r="HC114" s="646">
        <v>14.763469891187686</v>
      </c>
      <c r="HD114" s="646">
        <v>0.38864611123281756</v>
      </c>
      <c r="HE114" s="646">
        <v>3600</v>
      </c>
      <c r="HF114" s="563" t="s">
        <v>1587</v>
      </c>
      <c r="HG114" s="563">
        <v>2</v>
      </c>
      <c r="HH114" s="563">
        <v>0</v>
      </c>
      <c r="HI114" s="563">
        <v>0</v>
      </c>
      <c r="HJ114" s="563">
        <v>0</v>
      </c>
      <c r="HK114" s="650">
        <v>12233.300375855342</v>
      </c>
      <c r="HL114" s="563">
        <v>0</v>
      </c>
      <c r="HM114" s="563">
        <v>0</v>
      </c>
      <c r="HN114" s="563">
        <v>0</v>
      </c>
      <c r="HO114" s="650">
        <v>12028.623870141178</v>
      </c>
      <c r="HP114" s="564">
        <v>4000</v>
      </c>
      <c r="HQ114" s="565">
        <v>105.13863414013842</v>
      </c>
      <c r="HR114" s="649">
        <v>1.8086400000000002</v>
      </c>
      <c r="HS114" s="646">
        <v>16.56082965623105</v>
      </c>
      <c r="HT114" s="646">
        <v>0</v>
      </c>
      <c r="HU114" s="646">
        <v>0</v>
      </c>
      <c r="HV114" s="646">
        <v>14.763469891187686</v>
      </c>
      <c r="HW114" s="646">
        <v>0.38864611123281756</v>
      </c>
      <c r="HX114" s="646">
        <v>3600</v>
      </c>
      <c r="HY114" s="563" t="s">
        <v>68</v>
      </c>
      <c r="HZ114" s="563">
        <v>2</v>
      </c>
      <c r="IA114" s="563">
        <v>0</v>
      </c>
      <c r="IB114" s="563">
        <v>0</v>
      </c>
      <c r="IC114" s="563">
        <v>0</v>
      </c>
      <c r="ID114" s="650">
        <v>10788.756836022136</v>
      </c>
      <c r="IE114" s="563">
        <v>0</v>
      </c>
      <c r="IF114" s="563">
        <v>0</v>
      </c>
      <c r="IG114" s="563">
        <v>0</v>
      </c>
      <c r="IH114" s="650">
        <v>10608.24912490964</v>
      </c>
      <c r="II114" s="564">
        <v>4000</v>
      </c>
      <c r="IJ114" s="565">
        <v>105.13863414013842</v>
      </c>
      <c r="IK114" s="649">
        <v>1.8086400000000002</v>
      </c>
      <c r="IL114" s="646">
        <v>16.56082965623105</v>
      </c>
      <c r="IM114" s="646">
        <v>0</v>
      </c>
      <c r="IN114" s="646">
        <v>0</v>
      </c>
      <c r="IO114" s="646">
        <v>14.763469891187686</v>
      </c>
      <c r="IP114" s="646">
        <v>0.38864611123281756</v>
      </c>
      <c r="IQ114" s="646">
        <v>3600</v>
      </c>
      <c r="IR114" s="563" t="s">
        <v>68</v>
      </c>
      <c r="IS114" s="563">
        <v>2</v>
      </c>
      <c r="IT114" s="563">
        <v>0</v>
      </c>
      <c r="IU114" s="563">
        <v>0</v>
      </c>
      <c r="IV114" s="563">
        <v>0</v>
      </c>
      <c r="IW114" s="650">
        <v>10788.756836022136</v>
      </c>
      <c r="IX114" s="563">
        <v>0</v>
      </c>
      <c r="IY114" s="563">
        <v>0</v>
      </c>
      <c r="IZ114" s="563">
        <v>0</v>
      </c>
      <c r="JA114" s="650">
        <v>10608.24912490964</v>
      </c>
      <c r="JB114" s="564">
        <v>4000</v>
      </c>
      <c r="JC114" s="565">
        <v>105.13863414013842</v>
      </c>
      <c r="JD114" s="649">
        <v>1.8086400000000002</v>
      </c>
      <c r="JE114" s="646">
        <v>16.56082965623105</v>
      </c>
      <c r="JF114" s="646">
        <v>0</v>
      </c>
      <c r="JG114" s="646">
        <v>0</v>
      </c>
      <c r="JH114" s="646">
        <v>14.763469891187686</v>
      </c>
      <c r="JI114" s="646">
        <v>0.38864611123281756</v>
      </c>
      <c r="JJ114" s="646">
        <v>3600</v>
      </c>
      <c r="JK114" s="563" t="s">
        <v>67</v>
      </c>
      <c r="JL114" s="563">
        <v>2</v>
      </c>
      <c r="JM114" s="563">
        <v>0</v>
      </c>
      <c r="JN114" s="563">
        <v>0</v>
      </c>
      <c r="JO114" s="563">
        <v>0</v>
      </c>
      <c r="JP114" s="650">
        <v>14702.5972577664</v>
      </c>
      <c r="JQ114" s="563">
        <v>0</v>
      </c>
      <c r="JR114" s="563">
        <v>0</v>
      </c>
      <c r="JS114" s="563">
        <v>0</v>
      </c>
      <c r="JT114" s="650">
        <v>14456.606712354735</v>
      </c>
      <c r="JU114" s="564">
        <v>4000</v>
      </c>
      <c r="JV114" s="565">
        <v>105.13863414013842</v>
      </c>
      <c r="JW114" s="649">
        <v>1.8086400000000002</v>
      </c>
      <c r="JX114" s="646">
        <v>16.56082965623105</v>
      </c>
      <c r="JY114" s="646">
        <v>0</v>
      </c>
      <c r="JZ114" s="646">
        <v>0</v>
      </c>
      <c r="KA114" s="646">
        <v>14.763469891187686</v>
      </c>
      <c r="KB114" s="646">
        <v>0.38864611123281756</v>
      </c>
      <c r="KC114" s="646">
        <v>3600</v>
      </c>
      <c r="KD114" s="563" t="s">
        <v>67</v>
      </c>
      <c r="KE114" s="563">
        <v>2</v>
      </c>
      <c r="KF114" s="563">
        <v>0</v>
      </c>
      <c r="KG114" s="563">
        <v>0</v>
      </c>
      <c r="KH114" s="563">
        <v>0</v>
      </c>
      <c r="KI114" s="650">
        <v>14702.5972577664</v>
      </c>
      <c r="KJ114" s="563">
        <v>0</v>
      </c>
      <c r="KK114" s="563">
        <v>0</v>
      </c>
      <c r="KL114" s="563">
        <v>0</v>
      </c>
      <c r="KM114" s="650">
        <v>14456.606712354735</v>
      </c>
      <c r="KN114" s="564">
        <v>4000</v>
      </c>
      <c r="KO114" s="566">
        <v>105.13863414013842</v>
      </c>
    </row>
    <row r="115" spans="1:301" ht="15" customHeight="1">
      <c r="A115" s="663" t="s">
        <v>869</v>
      </c>
      <c r="B115" s="629" t="s">
        <v>382</v>
      </c>
      <c r="C115" s="629">
        <v>246</v>
      </c>
      <c r="D115" s="629">
        <v>502</v>
      </c>
      <c r="E115" s="629">
        <v>260</v>
      </c>
      <c r="F115" s="629">
        <v>246</v>
      </c>
      <c r="G115" s="629">
        <v>84</v>
      </c>
      <c r="H115" s="629">
        <v>70</v>
      </c>
      <c r="I115" s="629">
        <v>70</v>
      </c>
      <c r="J115" s="629">
        <v>21.3</v>
      </c>
      <c r="K115" s="629">
        <v>57.5</v>
      </c>
      <c r="L115" s="629">
        <v>16</v>
      </c>
      <c r="M115" s="629">
        <v>145</v>
      </c>
      <c r="N115" s="629">
        <v>2</v>
      </c>
      <c r="O115" s="623">
        <v>2.273839837893346</v>
      </c>
      <c r="P115" s="629">
        <v>2</v>
      </c>
      <c r="Q115" s="623">
        <v>1.3952854525299048</v>
      </c>
      <c r="R115" s="629">
        <v>13.000000000000002</v>
      </c>
      <c r="S115" s="629">
        <v>372.62455154018517</v>
      </c>
      <c r="T115" s="645">
        <v>11.12873556691274</v>
      </c>
      <c r="U115" s="645">
        <v>55.893682731027774</v>
      </c>
      <c r="V115" s="645">
        <v>60</v>
      </c>
      <c r="W115" s="793">
        <v>0.86675728934608809</v>
      </c>
      <c r="X115" s="646">
        <v>0</v>
      </c>
      <c r="Y115" s="646">
        <v>0</v>
      </c>
      <c r="Z115" s="646">
        <v>0</v>
      </c>
      <c r="AA115" s="646">
        <v>0</v>
      </c>
      <c r="AB115" s="647">
        <v>1.4520999382734194</v>
      </c>
      <c r="AC115" s="784">
        <v>4000</v>
      </c>
      <c r="AD115" s="631">
        <v>2.6612805773069872</v>
      </c>
      <c r="AE115" s="631">
        <v>0.3898837079472493</v>
      </c>
      <c r="AF115" s="631">
        <v>-0.38561894970024524</v>
      </c>
      <c r="AG115" s="631">
        <v>0.84939587513009307</v>
      </c>
      <c r="AH115" s="629"/>
      <c r="AI115" s="648">
        <v>1.0214356045629223</v>
      </c>
      <c r="AJ115" s="649">
        <v>3.8245200000000006</v>
      </c>
      <c r="AK115" s="646">
        <v>19.48913814668208</v>
      </c>
      <c r="AL115" s="646">
        <v>0</v>
      </c>
      <c r="AM115" s="646">
        <v>0</v>
      </c>
      <c r="AN115" s="646">
        <v>20.152854939726783</v>
      </c>
      <c r="AO115" s="646">
        <v>0.50156666426807417</v>
      </c>
      <c r="AP115" s="801">
        <v>3600</v>
      </c>
      <c r="AQ115" s="563" t="s">
        <v>71</v>
      </c>
      <c r="AR115" s="563">
        <v>3</v>
      </c>
      <c r="AS115" s="563">
        <v>0</v>
      </c>
      <c r="AT115" s="563">
        <v>0</v>
      </c>
      <c r="AU115" s="563">
        <v>0</v>
      </c>
      <c r="AV115" s="650">
        <v>5768.7788228239906</v>
      </c>
      <c r="AW115" s="563">
        <v>0</v>
      </c>
      <c r="AX115" s="563">
        <v>0</v>
      </c>
      <c r="AY115" s="563">
        <v>0</v>
      </c>
      <c r="AZ115" s="650">
        <v>6079.7489169828532</v>
      </c>
      <c r="BA115" s="564">
        <v>4000</v>
      </c>
      <c r="BB115" s="565">
        <v>105.13863414013842</v>
      </c>
      <c r="BC115" s="649">
        <v>3.8245200000000006</v>
      </c>
      <c r="BD115" s="646">
        <v>19.48913814668208</v>
      </c>
      <c r="BE115" s="646">
        <v>0</v>
      </c>
      <c r="BF115" s="646">
        <v>0</v>
      </c>
      <c r="BG115" s="646">
        <v>20.152854939726783</v>
      </c>
      <c r="BH115" s="646">
        <v>0.50156666426807417</v>
      </c>
      <c r="BI115" s="646">
        <v>3600</v>
      </c>
      <c r="BJ115" s="563" t="s">
        <v>71</v>
      </c>
      <c r="BK115" s="563">
        <v>3</v>
      </c>
      <c r="BL115" s="563">
        <v>0</v>
      </c>
      <c r="BM115" s="563">
        <v>0</v>
      </c>
      <c r="BN115" s="563">
        <v>0</v>
      </c>
      <c r="BO115" s="650">
        <v>5768.7788228239906</v>
      </c>
      <c r="BP115" s="563">
        <v>0</v>
      </c>
      <c r="BQ115" s="563">
        <v>0</v>
      </c>
      <c r="BR115" s="563">
        <v>0</v>
      </c>
      <c r="BS115" s="650">
        <v>6079.7489169828532</v>
      </c>
      <c r="BT115" s="564">
        <v>4000</v>
      </c>
      <c r="BU115" s="565">
        <v>105.13863414013842</v>
      </c>
      <c r="BV115" s="649">
        <v>2.5496800000000004</v>
      </c>
      <c r="BW115" s="646">
        <v>18.214298146682079</v>
      </c>
      <c r="BX115" s="646">
        <v>0</v>
      </c>
      <c r="BY115" s="646">
        <v>0</v>
      </c>
      <c r="BZ115" s="646">
        <v>19.113685916786057</v>
      </c>
      <c r="CA115" s="646">
        <v>0.45176503966807413</v>
      </c>
      <c r="CB115" s="646">
        <v>3600</v>
      </c>
      <c r="CC115" s="563" t="s">
        <v>1584</v>
      </c>
      <c r="CD115" s="563">
        <v>2</v>
      </c>
      <c r="CE115" s="563">
        <v>0</v>
      </c>
      <c r="CF115" s="563">
        <v>0</v>
      </c>
      <c r="CG115" s="563">
        <v>0</v>
      </c>
      <c r="CH115" s="650">
        <v>4078.5122049501065</v>
      </c>
      <c r="CI115" s="563">
        <v>0</v>
      </c>
      <c r="CJ115" s="563">
        <v>0</v>
      </c>
      <c r="CK115" s="563">
        <v>0</v>
      </c>
      <c r="CL115" s="650">
        <v>4019.0510344967079</v>
      </c>
      <c r="CM115" s="564">
        <v>4000</v>
      </c>
      <c r="CN115" s="565">
        <v>105.13863414013842</v>
      </c>
      <c r="CO115" s="649">
        <v>2.5496800000000004</v>
      </c>
      <c r="CP115" s="646">
        <v>18.214298146682079</v>
      </c>
      <c r="CQ115" s="646">
        <v>0</v>
      </c>
      <c r="CR115" s="646">
        <v>0</v>
      </c>
      <c r="CS115" s="646">
        <v>19.113685916786057</v>
      </c>
      <c r="CT115" s="646">
        <v>0.45176503966807413</v>
      </c>
      <c r="CU115" s="646">
        <v>3600</v>
      </c>
      <c r="CV115" s="563" t="s">
        <v>1584</v>
      </c>
      <c r="CW115" s="563">
        <v>2</v>
      </c>
      <c r="CX115" s="563">
        <v>0</v>
      </c>
      <c r="CY115" s="563">
        <v>0</v>
      </c>
      <c r="CZ115" s="563">
        <v>0</v>
      </c>
      <c r="DA115" s="650">
        <v>4078.5122049501065</v>
      </c>
      <c r="DB115" s="563">
        <v>0</v>
      </c>
      <c r="DC115" s="563">
        <v>0</v>
      </c>
      <c r="DD115" s="563">
        <v>0</v>
      </c>
      <c r="DE115" s="650">
        <v>4019.0510344967079</v>
      </c>
      <c r="DF115" s="564">
        <v>4000</v>
      </c>
      <c r="DG115" s="565">
        <v>105.13863414013842</v>
      </c>
      <c r="DH115" s="649">
        <v>2.5496800000000004</v>
      </c>
      <c r="DI115" s="646">
        <v>18.214298146682079</v>
      </c>
      <c r="DJ115" s="646">
        <v>0</v>
      </c>
      <c r="DK115" s="646">
        <v>0</v>
      </c>
      <c r="DL115" s="646">
        <v>19.113685916786057</v>
      </c>
      <c r="DM115" s="646">
        <v>0.45176503966807413</v>
      </c>
      <c r="DN115" s="646">
        <v>3600</v>
      </c>
      <c r="DO115" s="563" t="s">
        <v>1585</v>
      </c>
      <c r="DP115" s="563">
        <v>2</v>
      </c>
      <c r="DQ115" s="563">
        <v>0</v>
      </c>
      <c r="DR115" s="563">
        <v>0</v>
      </c>
      <c r="DS115" s="563">
        <v>0</v>
      </c>
      <c r="DT115" s="650">
        <v>4360.1129481995986</v>
      </c>
      <c r="DU115" s="563">
        <v>0</v>
      </c>
      <c r="DV115" s="563">
        <v>0</v>
      </c>
      <c r="DW115" s="563">
        <v>0</v>
      </c>
      <c r="DX115" s="650">
        <v>4296.5462831560162</v>
      </c>
      <c r="DY115" s="564">
        <v>4000</v>
      </c>
      <c r="DZ115" s="565">
        <v>105.13863414013842</v>
      </c>
      <c r="EA115" s="649">
        <v>2.5496800000000004</v>
      </c>
      <c r="EB115" s="646">
        <v>18.214298146682079</v>
      </c>
      <c r="EC115" s="646">
        <v>0</v>
      </c>
      <c r="ED115" s="646">
        <v>0</v>
      </c>
      <c r="EE115" s="646">
        <v>19.113685916786057</v>
      </c>
      <c r="EF115" s="646">
        <v>0.45176503966807413</v>
      </c>
      <c r="EG115" s="646">
        <v>3600</v>
      </c>
      <c r="EH115" s="563" t="s">
        <v>1585</v>
      </c>
      <c r="EI115" s="563">
        <v>2</v>
      </c>
      <c r="EJ115" s="563">
        <v>0</v>
      </c>
      <c r="EK115" s="563">
        <v>0</v>
      </c>
      <c r="EL115" s="563">
        <v>0</v>
      </c>
      <c r="EM115" s="650">
        <v>4360.1129481995986</v>
      </c>
      <c r="EN115" s="563">
        <v>0</v>
      </c>
      <c r="EO115" s="563">
        <v>0</v>
      </c>
      <c r="EP115" s="563">
        <v>0</v>
      </c>
      <c r="EQ115" s="650">
        <v>4296.5462831560162</v>
      </c>
      <c r="ER115" s="564">
        <v>4000</v>
      </c>
      <c r="ES115" s="565">
        <v>105.13863414013842</v>
      </c>
      <c r="ET115" s="649">
        <v>2.5496800000000004</v>
      </c>
      <c r="EU115" s="646">
        <v>18.214298146682079</v>
      </c>
      <c r="EV115" s="646">
        <v>0</v>
      </c>
      <c r="EW115" s="646">
        <v>0</v>
      </c>
      <c r="EX115" s="646">
        <v>19.113685916786057</v>
      </c>
      <c r="EY115" s="646">
        <v>0.45176503966807413</v>
      </c>
      <c r="EZ115" s="646">
        <v>3600</v>
      </c>
      <c r="FA115" s="563" t="s">
        <v>1586</v>
      </c>
      <c r="FB115" s="563">
        <v>2</v>
      </c>
      <c r="FC115" s="563">
        <v>0</v>
      </c>
      <c r="FD115" s="563">
        <v>0</v>
      </c>
      <c r="FE115" s="563">
        <v>0</v>
      </c>
      <c r="FF115" s="650">
        <v>4450.0216433295936</v>
      </c>
      <c r="FG115" s="563">
        <v>0</v>
      </c>
      <c r="FH115" s="563">
        <v>0</v>
      </c>
      <c r="FI115" s="563">
        <v>0</v>
      </c>
      <c r="FJ115" s="650">
        <v>4385.1441874932698</v>
      </c>
      <c r="FK115" s="564">
        <v>4000</v>
      </c>
      <c r="FL115" s="565">
        <v>105.13863414013842</v>
      </c>
      <c r="FM115" s="649">
        <v>2.5496800000000004</v>
      </c>
      <c r="FN115" s="646">
        <v>18.214298146682079</v>
      </c>
      <c r="FO115" s="646">
        <v>0</v>
      </c>
      <c r="FP115" s="646">
        <v>0</v>
      </c>
      <c r="FQ115" s="646">
        <v>19.113685916786057</v>
      </c>
      <c r="FR115" s="646">
        <v>0.45176503966807413</v>
      </c>
      <c r="FS115" s="646">
        <v>3600</v>
      </c>
      <c r="FT115" s="563" t="s">
        <v>1586</v>
      </c>
      <c r="FU115" s="563">
        <v>2</v>
      </c>
      <c r="FV115" s="563">
        <v>0</v>
      </c>
      <c r="FW115" s="563">
        <v>0</v>
      </c>
      <c r="FX115" s="563">
        <v>0</v>
      </c>
      <c r="FY115" s="650">
        <v>4450.0216433295936</v>
      </c>
      <c r="FZ115" s="563">
        <v>0</v>
      </c>
      <c r="GA115" s="563">
        <v>0</v>
      </c>
      <c r="GB115" s="563">
        <v>0</v>
      </c>
      <c r="GC115" s="650">
        <v>4385.1441874932698</v>
      </c>
      <c r="GD115" s="564">
        <v>4000</v>
      </c>
      <c r="GE115" s="565">
        <v>105.13863414013842</v>
      </c>
      <c r="GF115" s="649">
        <v>2.5496800000000004</v>
      </c>
      <c r="GG115" s="646">
        <v>18.214298146682079</v>
      </c>
      <c r="GH115" s="646">
        <v>0</v>
      </c>
      <c r="GI115" s="646">
        <v>0</v>
      </c>
      <c r="GJ115" s="646">
        <v>19.113685916786057</v>
      </c>
      <c r="GK115" s="646">
        <v>0.45176503966807413</v>
      </c>
      <c r="GL115" s="646">
        <v>3600</v>
      </c>
      <c r="GM115" s="563" t="s">
        <v>1587</v>
      </c>
      <c r="GN115" s="563">
        <v>2</v>
      </c>
      <c r="GO115" s="563">
        <v>0</v>
      </c>
      <c r="GP115" s="563">
        <v>0</v>
      </c>
      <c r="GQ115" s="563">
        <v>0</v>
      </c>
      <c r="GR115" s="650">
        <v>5970.3305374981874</v>
      </c>
      <c r="GS115" s="563">
        <v>0</v>
      </c>
      <c r="GT115" s="563">
        <v>0</v>
      </c>
      <c r="GU115" s="563">
        <v>0</v>
      </c>
      <c r="GV115" s="650">
        <v>5883.2882966238221</v>
      </c>
      <c r="GW115" s="564">
        <v>4000</v>
      </c>
      <c r="GX115" s="565">
        <v>105.13863414013842</v>
      </c>
      <c r="GY115" s="649">
        <v>2.5496800000000004</v>
      </c>
      <c r="GZ115" s="646">
        <v>18.214298146682079</v>
      </c>
      <c r="HA115" s="646">
        <v>0</v>
      </c>
      <c r="HB115" s="646">
        <v>0</v>
      </c>
      <c r="HC115" s="646">
        <v>19.113685916786057</v>
      </c>
      <c r="HD115" s="646">
        <v>0.45176503966807413</v>
      </c>
      <c r="HE115" s="646">
        <v>3600</v>
      </c>
      <c r="HF115" s="563" t="s">
        <v>1587</v>
      </c>
      <c r="HG115" s="563">
        <v>2</v>
      </c>
      <c r="HH115" s="563">
        <v>0</v>
      </c>
      <c r="HI115" s="563">
        <v>0</v>
      </c>
      <c r="HJ115" s="563">
        <v>0</v>
      </c>
      <c r="HK115" s="650">
        <v>5970.3305374981874</v>
      </c>
      <c r="HL115" s="563">
        <v>0</v>
      </c>
      <c r="HM115" s="563">
        <v>0</v>
      </c>
      <c r="HN115" s="563">
        <v>0</v>
      </c>
      <c r="HO115" s="650">
        <v>5883.2882966238221</v>
      </c>
      <c r="HP115" s="564">
        <v>4000</v>
      </c>
      <c r="HQ115" s="565">
        <v>105.13863414013842</v>
      </c>
      <c r="HR115" s="649">
        <v>2.5496800000000004</v>
      </c>
      <c r="HS115" s="646">
        <v>18.214298146682079</v>
      </c>
      <c r="HT115" s="646">
        <v>0</v>
      </c>
      <c r="HU115" s="646">
        <v>0</v>
      </c>
      <c r="HV115" s="646">
        <v>19.113685916786057</v>
      </c>
      <c r="HW115" s="646">
        <v>0.45176503966807413</v>
      </c>
      <c r="HX115" s="646">
        <v>3600</v>
      </c>
      <c r="HY115" s="563" t="s">
        <v>68</v>
      </c>
      <c r="HZ115" s="563">
        <v>2</v>
      </c>
      <c r="IA115" s="563">
        <v>0</v>
      </c>
      <c r="IB115" s="563">
        <v>0</v>
      </c>
      <c r="IC115" s="563">
        <v>0</v>
      </c>
      <c r="ID115" s="650">
        <v>5265.3366156915527</v>
      </c>
      <c r="IE115" s="563">
        <v>0</v>
      </c>
      <c r="IF115" s="563">
        <v>0</v>
      </c>
      <c r="IG115" s="563">
        <v>0</v>
      </c>
      <c r="IH115" s="650">
        <v>5188.5725747211363</v>
      </c>
      <c r="II115" s="564">
        <v>4000</v>
      </c>
      <c r="IJ115" s="565">
        <v>105.13863414013842</v>
      </c>
      <c r="IK115" s="649">
        <v>2.5496800000000004</v>
      </c>
      <c r="IL115" s="646">
        <v>18.214298146682079</v>
      </c>
      <c r="IM115" s="646">
        <v>0</v>
      </c>
      <c r="IN115" s="646">
        <v>0</v>
      </c>
      <c r="IO115" s="646">
        <v>19.113685916786057</v>
      </c>
      <c r="IP115" s="646">
        <v>0.45176503966807413</v>
      </c>
      <c r="IQ115" s="646">
        <v>3600</v>
      </c>
      <c r="IR115" s="563" t="s">
        <v>68</v>
      </c>
      <c r="IS115" s="563">
        <v>2</v>
      </c>
      <c r="IT115" s="563">
        <v>0</v>
      </c>
      <c r="IU115" s="563">
        <v>0</v>
      </c>
      <c r="IV115" s="563">
        <v>0</v>
      </c>
      <c r="IW115" s="650">
        <v>5265.3366156915527</v>
      </c>
      <c r="IX115" s="563">
        <v>0</v>
      </c>
      <c r="IY115" s="563">
        <v>0</v>
      </c>
      <c r="IZ115" s="563">
        <v>0</v>
      </c>
      <c r="JA115" s="650">
        <v>5188.5725747211363</v>
      </c>
      <c r="JB115" s="564">
        <v>4000</v>
      </c>
      <c r="JC115" s="565">
        <v>105.13863414013842</v>
      </c>
      <c r="JD115" s="649">
        <v>2.5496800000000004</v>
      </c>
      <c r="JE115" s="646">
        <v>18.214298146682079</v>
      </c>
      <c r="JF115" s="646">
        <v>0</v>
      </c>
      <c r="JG115" s="646">
        <v>0</v>
      </c>
      <c r="JH115" s="646">
        <v>19.113685916786057</v>
      </c>
      <c r="JI115" s="646">
        <v>0.45176503966807413</v>
      </c>
      <c r="JJ115" s="646">
        <v>3600</v>
      </c>
      <c r="JK115" s="563" t="s">
        <v>67</v>
      </c>
      <c r="JL115" s="563">
        <v>2</v>
      </c>
      <c r="JM115" s="563">
        <v>0</v>
      </c>
      <c r="JN115" s="563">
        <v>0</v>
      </c>
      <c r="JO115" s="563">
        <v>0</v>
      </c>
      <c r="JP115" s="650">
        <v>7175.4442948060623</v>
      </c>
      <c r="JQ115" s="563">
        <v>0</v>
      </c>
      <c r="JR115" s="563">
        <v>0</v>
      </c>
      <c r="JS115" s="563">
        <v>0</v>
      </c>
      <c r="JT115" s="650">
        <v>7070.8325406024378</v>
      </c>
      <c r="JU115" s="564">
        <v>4000</v>
      </c>
      <c r="JV115" s="565">
        <v>105.13863414013842</v>
      </c>
      <c r="JW115" s="649">
        <v>2.5496800000000004</v>
      </c>
      <c r="JX115" s="646">
        <v>18.214298146682079</v>
      </c>
      <c r="JY115" s="646">
        <v>0</v>
      </c>
      <c r="JZ115" s="646">
        <v>0</v>
      </c>
      <c r="KA115" s="646">
        <v>19.113685916786057</v>
      </c>
      <c r="KB115" s="646">
        <v>0.45176503966807413</v>
      </c>
      <c r="KC115" s="646">
        <v>3600</v>
      </c>
      <c r="KD115" s="563" t="s">
        <v>67</v>
      </c>
      <c r="KE115" s="563">
        <v>2</v>
      </c>
      <c r="KF115" s="563">
        <v>0</v>
      </c>
      <c r="KG115" s="563">
        <v>0</v>
      </c>
      <c r="KH115" s="563">
        <v>0</v>
      </c>
      <c r="KI115" s="650">
        <v>7175.4442948060623</v>
      </c>
      <c r="KJ115" s="563">
        <v>0</v>
      </c>
      <c r="KK115" s="563">
        <v>0</v>
      </c>
      <c r="KL115" s="563">
        <v>0</v>
      </c>
      <c r="KM115" s="650">
        <v>7070.8325406024378</v>
      </c>
      <c r="KN115" s="564">
        <v>4000</v>
      </c>
      <c r="KO115" s="566">
        <v>105.13863414013842</v>
      </c>
    </row>
    <row r="116" spans="1:301" ht="15" customHeight="1">
      <c r="A116" s="663" t="s">
        <v>870</v>
      </c>
      <c r="B116" s="629" t="s">
        <v>383</v>
      </c>
      <c r="C116" s="629">
        <v>280</v>
      </c>
      <c r="D116" s="629">
        <v>502</v>
      </c>
      <c r="E116" s="629">
        <v>320</v>
      </c>
      <c r="F116" s="629">
        <v>280</v>
      </c>
      <c r="G116" s="629">
        <v>99</v>
      </c>
      <c r="H116" s="629">
        <v>85</v>
      </c>
      <c r="I116" s="629">
        <v>85</v>
      </c>
      <c r="J116" s="629">
        <v>38.46</v>
      </c>
      <c r="K116" s="629">
        <v>60.02</v>
      </c>
      <c r="L116" s="629">
        <v>16</v>
      </c>
      <c r="M116" s="629">
        <v>146</v>
      </c>
      <c r="N116" s="629">
        <v>2</v>
      </c>
      <c r="O116" s="623">
        <v>1.8447296973395162</v>
      </c>
      <c r="P116" s="629">
        <v>2</v>
      </c>
      <c r="Q116" s="623">
        <v>1.3025357689272907</v>
      </c>
      <c r="R116" s="629">
        <v>13.000000000000002</v>
      </c>
      <c r="S116" s="629">
        <v>382.58446888558905</v>
      </c>
      <c r="T116" s="645">
        <v>11.731608510329732</v>
      </c>
      <c r="U116" s="645">
        <v>57.387670332838354</v>
      </c>
      <c r="V116" s="645">
        <v>72.5</v>
      </c>
      <c r="W116" s="793">
        <v>1.10406844514281</v>
      </c>
      <c r="X116" s="646">
        <v>0</v>
      </c>
      <c r="Y116" s="646">
        <v>0</v>
      </c>
      <c r="Z116" s="646">
        <v>0</v>
      </c>
      <c r="AA116" s="646">
        <v>0</v>
      </c>
      <c r="AB116" s="647">
        <v>1.7491825919503123</v>
      </c>
      <c r="AC116" s="784">
        <v>4000</v>
      </c>
      <c r="AD116" s="631">
        <v>3.3127993281467272</v>
      </c>
      <c r="AE116" s="631">
        <v>0.79429669671129366</v>
      </c>
      <c r="AF116" s="631">
        <v>-0.21125935899504536</v>
      </c>
      <c r="AG116" s="631">
        <v>0.43363456197596384</v>
      </c>
      <c r="AH116" s="629"/>
      <c r="AI116" s="648">
        <v>1.0656634830545222</v>
      </c>
      <c r="AJ116" s="649">
        <v>4.6760880000000009</v>
      </c>
      <c r="AK116" s="646">
        <v>20.659030421739349</v>
      </c>
      <c r="AL116" s="646">
        <v>0</v>
      </c>
      <c r="AM116" s="646">
        <v>0</v>
      </c>
      <c r="AN116" s="646">
        <v>22.901183009948983</v>
      </c>
      <c r="AO116" s="646">
        <v>0.5543551376252841</v>
      </c>
      <c r="AP116" s="801">
        <v>3600</v>
      </c>
      <c r="AQ116" s="563" t="s">
        <v>71</v>
      </c>
      <c r="AR116" s="563">
        <v>3</v>
      </c>
      <c r="AS116" s="563">
        <v>0</v>
      </c>
      <c r="AT116" s="563">
        <v>0</v>
      </c>
      <c r="AU116" s="563">
        <v>0</v>
      </c>
      <c r="AV116" s="650">
        <v>4791.1693916538024</v>
      </c>
      <c r="AW116" s="563">
        <v>0</v>
      </c>
      <c r="AX116" s="563">
        <v>0</v>
      </c>
      <c r="AY116" s="563">
        <v>0</v>
      </c>
      <c r="AZ116" s="650">
        <v>5024.5495680497552</v>
      </c>
      <c r="BA116" s="564">
        <v>4000</v>
      </c>
      <c r="BB116" s="565">
        <v>105.13863414013842</v>
      </c>
      <c r="BC116" s="649">
        <v>4.6760880000000009</v>
      </c>
      <c r="BD116" s="646">
        <v>20.659030421739349</v>
      </c>
      <c r="BE116" s="646">
        <v>0</v>
      </c>
      <c r="BF116" s="646">
        <v>0</v>
      </c>
      <c r="BG116" s="646">
        <v>22.901183009948983</v>
      </c>
      <c r="BH116" s="646">
        <v>0.5543551376252841</v>
      </c>
      <c r="BI116" s="646">
        <v>3600</v>
      </c>
      <c r="BJ116" s="563" t="s">
        <v>71</v>
      </c>
      <c r="BK116" s="563">
        <v>3</v>
      </c>
      <c r="BL116" s="563">
        <v>0</v>
      </c>
      <c r="BM116" s="563">
        <v>0</v>
      </c>
      <c r="BN116" s="563">
        <v>0</v>
      </c>
      <c r="BO116" s="650">
        <v>4791.1693916538024</v>
      </c>
      <c r="BP116" s="563">
        <v>0</v>
      </c>
      <c r="BQ116" s="563">
        <v>0</v>
      </c>
      <c r="BR116" s="563">
        <v>0</v>
      </c>
      <c r="BS116" s="650">
        <v>5024.5495680497552</v>
      </c>
      <c r="BT116" s="564">
        <v>4000</v>
      </c>
      <c r="BU116" s="565">
        <v>105.13863414013842</v>
      </c>
      <c r="BV116" s="649">
        <v>4.6760880000000009</v>
      </c>
      <c r="BW116" s="646">
        <v>20.659030421739349</v>
      </c>
      <c r="BX116" s="646">
        <v>0</v>
      </c>
      <c r="BY116" s="646">
        <v>0</v>
      </c>
      <c r="BZ116" s="646">
        <v>22.901183009948983</v>
      </c>
      <c r="CA116" s="646">
        <v>0.5543551376252841</v>
      </c>
      <c r="CB116" s="646">
        <v>3600</v>
      </c>
      <c r="CC116" s="563" t="s">
        <v>1584</v>
      </c>
      <c r="CD116" s="563">
        <v>3</v>
      </c>
      <c r="CE116" s="563">
        <v>0</v>
      </c>
      <c r="CF116" s="563">
        <v>0</v>
      </c>
      <c r="CG116" s="563">
        <v>0</v>
      </c>
      <c r="CH116" s="650">
        <v>4453.4686230561356</v>
      </c>
      <c r="CI116" s="563">
        <v>0</v>
      </c>
      <c r="CJ116" s="563">
        <v>0</v>
      </c>
      <c r="CK116" s="563">
        <v>0</v>
      </c>
      <c r="CL116" s="650">
        <v>4670.399231820089</v>
      </c>
      <c r="CM116" s="564">
        <v>4000</v>
      </c>
      <c r="CN116" s="565">
        <v>105.13863414013842</v>
      </c>
      <c r="CO116" s="649">
        <v>4.6760880000000009</v>
      </c>
      <c r="CP116" s="646">
        <v>20.659030421739349</v>
      </c>
      <c r="CQ116" s="646">
        <v>0</v>
      </c>
      <c r="CR116" s="646">
        <v>0</v>
      </c>
      <c r="CS116" s="646">
        <v>22.901183009948983</v>
      </c>
      <c r="CT116" s="646">
        <v>0.5543551376252841</v>
      </c>
      <c r="CU116" s="646">
        <v>3600</v>
      </c>
      <c r="CV116" s="563" t="s">
        <v>1584</v>
      </c>
      <c r="CW116" s="563">
        <v>3</v>
      </c>
      <c r="CX116" s="563">
        <v>0</v>
      </c>
      <c r="CY116" s="563">
        <v>0</v>
      </c>
      <c r="CZ116" s="563">
        <v>0</v>
      </c>
      <c r="DA116" s="650">
        <v>4453.4686230561356</v>
      </c>
      <c r="DB116" s="563">
        <v>0</v>
      </c>
      <c r="DC116" s="563">
        <v>0</v>
      </c>
      <c r="DD116" s="563">
        <v>0</v>
      </c>
      <c r="DE116" s="650">
        <v>4670.399231820089</v>
      </c>
      <c r="DF116" s="564">
        <v>4000</v>
      </c>
      <c r="DG116" s="565">
        <v>105.13863414013842</v>
      </c>
      <c r="DH116" s="649">
        <v>3.1173920000000006</v>
      </c>
      <c r="DI116" s="646">
        <v>19.100334421739348</v>
      </c>
      <c r="DJ116" s="646">
        <v>0</v>
      </c>
      <c r="DK116" s="646">
        <v>0</v>
      </c>
      <c r="DL116" s="646">
        <v>21.301807995218603</v>
      </c>
      <c r="DM116" s="646">
        <v>0.48998021347728415</v>
      </c>
      <c r="DN116" s="646">
        <v>3600</v>
      </c>
      <c r="DO116" s="563" t="s">
        <v>1585</v>
      </c>
      <c r="DP116" s="563">
        <v>2</v>
      </c>
      <c r="DQ116" s="563">
        <v>0</v>
      </c>
      <c r="DR116" s="563">
        <v>0</v>
      </c>
      <c r="DS116" s="563">
        <v>0</v>
      </c>
      <c r="DT116" s="650">
        <v>3824.0021950977261</v>
      </c>
      <c r="DU116" s="563">
        <v>0</v>
      </c>
      <c r="DV116" s="563">
        <v>0</v>
      </c>
      <c r="DW116" s="563">
        <v>0</v>
      </c>
      <c r="DX116" s="650">
        <v>3995.9017599252788</v>
      </c>
      <c r="DY116" s="564">
        <v>3824.0021950977261</v>
      </c>
      <c r="DZ116" s="565">
        <v>100.51259193536652</v>
      </c>
      <c r="EA116" s="649">
        <v>3.1173920000000006</v>
      </c>
      <c r="EB116" s="646">
        <v>19.100334421739348</v>
      </c>
      <c r="EC116" s="646">
        <v>0</v>
      </c>
      <c r="ED116" s="646">
        <v>0</v>
      </c>
      <c r="EE116" s="646">
        <v>21.301807995218603</v>
      </c>
      <c r="EF116" s="646">
        <v>0.48998021347728415</v>
      </c>
      <c r="EG116" s="646">
        <v>3600</v>
      </c>
      <c r="EH116" s="563" t="s">
        <v>1585</v>
      </c>
      <c r="EI116" s="563">
        <v>2</v>
      </c>
      <c r="EJ116" s="563">
        <v>0</v>
      </c>
      <c r="EK116" s="563">
        <v>0</v>
      </c>
      <c r="EL116" s="563">
        <v>0</v>
      </c>
      <c r="EM116" s="650">
        <v>3824.0021950977261</v>
      </c>
      <c r="EN116" s="563">
        <v>0</v>
      </c>
      <c r="EO116" s="563">
        <v>0</v>
      </c>
      <c r="EP116" s="563">
        <v>0</v>
      </c>
      <c r="EQ116" s="650">
        <v>3995.9017599252788</v>
      </c>
      <c r="ER116" s="564">
        <v>3824.0021950977261</v>
      </c>
      <c r="ES116" s="565">
        <v>100.51259193536652</v>
      </c>
      <c r="ET116" s="649">
        <v>3.1173920000000006</v>
      </c>
      <c r="EU116" s="646">
        <v>19.100334421739348</v>
      </c>
      <c r="EV116" s="646">
        <v>0</v>
      </c>
      <c r="EW116" s="646">
        <v>0</v>
      </c>
      <c r="EX116" s="646">
        <v>21.301807995218603</v>
      </c>
      <c r="EY116" s="646">
        <v>0.48998021347728415</v>
      </c>
      <c r="EZ116" s="646">
        <v>3600</v>
      </c>
      <c r="FA116" s="563" t="s">
        <v>1586</v>
      </c>
      <c r="FB116" s="563">
        <v>2</v>
      </c>
      <c r="FC116" s="563">
        <v>0</v>
      </c>
      <c r="FD116" s="563">
        <v>0</v>
      </c>
      <c r="FE116" s="563">
        <v>0</v>
      </c>
      <c r="FF116" s="650">
        <v>4013.7360152933111</v>
      </c>
      <c r="FG116" s="563">
        <v>0</v>
      </c>
      <c r="FH116" s="563">
        <v>0</v>
      </c>
      <c r="FI116" s="563">
        <v>0</v>
      </c>
      <c r="FJ116" s="650">
        <v>4194.1646445566803</v>
      </c>
      <c r="FK116" s="564">
        <v>4000</v>
      </c>
      <c r="FL116" s="565">
        <v>105.13863414013842</v>
      </c>
      <c r="FM116" s="649">
        <v>3.1173920000000006</v>
      </c>
      <c r="FN116" s="646">
        <v>19.100334421739348</v>
      </c>
      <c r="FO116" s="646">
        <v>0</v>
      </c>
      <c r="FP116" s="646">
        <v>0</v>
      </c>
      <c r="FQ116" s="646">
        <v>21.301807995218603</v>
      </c>
      <c r="FR116" s="646">
        <v>0.48998021347728415</v>
      </c>
      <c r="FS116" s="646">
        <v>3600</v>
      </c>
      <c r="FT116" s="563" t="s">
        <v>1586</v>
      </c>
      <c r="FU116" s="563">
        <v>2</v>
      </c>
      <c r="FV116" s="563">
        <v>0</v>
      </c>
      <c r="FW116" s="563">
        <v>0</v>
      </c>
      <c r="FX116" s="563">
        <v>0</v>
      </c>
      <c r="FY116" s="650">
        <v>4013.7360152933111</v>
      </c>
      <c r="FZ116" s="563">
        <v>0</v>
      </c>
      <c r="GA116" s="563">
        <v>0</v>
      </c>
      <c r="GB116" s="563">
        <v>0</v>
      </c>
      <c r="GC116" s="650">
        <v>4194.1646445566803</v>
      </c>
      <c r="GD116" s="564">
        <v>4000</v>
      </c>
      <c r="GE116" s="565">
        <v>105.13863414013842</v>
      </c>
      <c r="GF116" s="649">
        <v>3.1173920000000006</v>
      </c>
      <c r="GG116" s="646">
        <v>19.100334421739348</v>
      </c>
      <c r="GH116" s="646">
        <v>0</v>
      </c>
      <c r="GI116" s="646">
        <v>0</v>
      </c>
      <c r="GJ116" s="646">
        <v>21.301807995218603</v>
      </c>
      <c r="GK116" s="646">
        <v>0.48998021347728415</v>
      </c>
      <c r="GL116" s="646">
        <v>3600</v>
      </c>
      <c r="GM116" s="563" t="s">
        <v>1587</v>
      </c>
      <c r="GN116" s="563">
        <v>2</v>
      </c>
      <c r="GO116" s="563">
        <v>0</v>
      </c>
      <c r="GP116" s="563">
        <v>0</v>
      </c>
      <c r="GQ116" s="563">
        <v>0</v>
      </c>
      <c r="GR116" s="650">
        <v>4722.9503687055558</v>
      </c>
      <c r="GS116" s="563">
        <v>0</v>
      </c>
      <c r="GT116" s="563">
        <v>0</v>
      </c>
      <c r="GU116" s="563">
        <v>0</v>
      </c>
      <c r="GV116" s="650">
        <v>4935.2601613420293</v>
      </c>
      <c r="GW116" s="564">
        <v>4000</v>
      </c>
      <c r="GX116" s="565">
        <v>105.13863414013842</v>
      </c>
      <c r="GY116" s="649">
        <v>3.1173920000000006</v>
      </c>
      <c r="GZ116" s="646">
        <v>19.100334421739348</v>
      </c>
      <c r="HA116" s="646">
        <v>0</v>
      </c>
      <c r="HB116" s="646">
        <v>0</v>
      </c>
      <c r="HC116" s="646">
        <v>21.301807995218603</v>
      </c>
      <c r="HD116" s="646">
        <v>0.48998021347728415</v>
      </c>
      <c r="HE116" s="646">
        <v>3600</v>
      </c>
      <c r="HF116" s="563" t="s">
        <v>1587</v>
      </c>
      <c r="HG116" s="563">
        <v>2</v>
      </c>
      <c r="HH116" s="563">
        <v>0</v>
      </c>
      <c r="HI116" s="563">
        <v>0</v>
      </c>
      <c r="HJ116" s="563">
        <v>0</v>
      </c>
      <c r="HK116" s="650">
        <v>4722.9503687055558</v>
      </c>
      <c r="HL116" s="563">
        <v>0</v>
      </c>
      <c r="HM116" s="563">
        <v>0</v>
      </c>
      <c r="HN116" s="563">
        <v>0</v>
      </c>
      <c r="HO116" s="650">
        <v>4935.2601613420293</v>
      </c>
      <c r="HP116" s="564">
        <v>4000</v>
      </c>
      <c r="HQ116" s="565">
        <v>105.13863414013842</v>
      </c>
      <c r="HR116" s="649">
        <v>3.1173920000000006</v>
      </c>
      <c r="HS116" s="646">
        <v>19.100334421739348</v>
      </c>
      <c r="HT116" s="646">
        <v>0</v>
      </c>
      <c r="HU116" s="646">
        <v>0</v>
      </c>
      <c r="HV116" s="646">
        <v>21.301807995218603</v>
      </c>
      <c r="HW116" s="646">
        <v>0.48998021347728415</v>
      </c>
      <c r="HX116" s="646">
        <v>3600</v>
      </c>
      <c r="HY116" s="563" t="s">
        <v>68</v>
      </c>
      <c r="HZ116" s="563">
        <v>2</v>
      </c>
      <c r="IA116" s="563">
        <v>0</v>
      </c>
      <c r="IB116" s="563">
        <v>0</v>
      </c>
      <c r="IC116" s="563">
        <v>0</v>
      </c>
      <c r="ID116" s="650">
        <v>4165.2507100319053</v>
      </c>
      <c r="IE116" s="563">
        <v>0</v>
      </c>
      <c r="IF116" s="563">
        <v>0</v>
      </c>
      <c r="IG116" s="563">
        <v>0</v>
      </c>
      <c r="IH116" s="650">
        <v>4352.4903474385055</v>
      </c>
      <c r="II116" s="564">
        <v>4000</v>
      </c>
      <c r="IJ116" s="565">
        <v>105.13863414013842</v>
      </c>
      <c r="IK116" s="649">
        <v>3.1173920000000006</v>
      </c>
      <c r="IL116" s="646">
        <v>19.100334421739348</v>
      </c>
      <c r="IM116" s="646">
        <v>0</v>
      </c>
      <c r="IN116" s="646">
        <v>0</v>
      </c>
      <c r="IO116" s="646">
        <v>21.301807995218603</v>
      </c>
      <c r="IP116" s="646">
        <v>0.48998021347728415</v>
      </c>
      <c r="IQ116" s="646">
        <v>3600</v>
      </c>
      <c r="IR116" s="563" t="s">
        <v>68</v>
      </c>
      <c r="IS116" s="563">
        <v>2</v>
      </c>
      <c r="IT116" s="563">
        <v>0</v>
      </c>
      <c r="IU116" s="563">
        <v>0</v>
      </c>
      <c r="IV116" s="563">
        <v>0</v>
      </c>
      <c r="IW116" s="650">
        <v>4165.2507100319053</v>
      </c>
      <c r="IX116" s="563">
        <v>0</v>
      </c>
      <c r="IY116" s="563">
        <v>0</v>
      </c>
      <c r="IZ116" s="563">
        <v>0</v>
      </c>
      <c r="JA116" s="650">
        <v>4352.4903474385055</v>
      </c>
      <c r="JB116" s="564">
        <v>4000</v>
      </c>
      <c r="JC116" s="565">
        <v>105.13863414013842</v>
      </c>
      <c r="JD116" s="649">
        <v>3.1173920000000006</v>
      </c>
      <c r="JE116" s="646">
        <v>19.100334421739348</v>
      </c>
      <c r="JF116" s="646">
        <v>0</v>
      </c>
      <c r="JG116" s="646">
        <v>0</v>
      </c>
      <c r="JH116" s="646">
        <v>21.301807995218603</v>
      </c>
      <c r="JI116" s="646">
        <v>0.48998021347728415</v>
      </c>
      <c r="JJ116" s="646">
        <v>3600</v>
      </c>
      <c r="JK116" s="563" t="s">
        <v>67</v>
      </c>
      <c r="JL116" s="563">
        <v>2</v>
      </c>
      <c r="JM116" s="563">
        <v>0</v>
      </c>
      <c r="JN116" s="563">
        <v>0</v>
      </c>
      <c r="JO116" s="563">
        <v>0</v>
      </c>
      <c r="JP116" s="650">
        <v>5676.2799086131445</v>
      </c>
      <c r="JQ116" s="563">
        <v>0</v>
      </c>
      <c r="JR116" s="563">
        <v>0</v>
      </c>
      <c r="JS116" s="563">
        <v>0</v>
      </c>
      <c r="JT116" s="650">
        <v>5931.4445231577884</v>
      </c>
      <c r="JU116" s="564">
        <v>4000</v>
      </c>
      <c r="JV116" s="565">
        <v>105.13863414013842</v>
      </c>
      <c r="JW116" s="649">
        <v>3.1173920000000006</v>
      </c>
      <c r="JX116" s="646">
        <v>19.100334421739348</v>
      </c>
      <c r="JY116" s="646">
        <v>0</v>
      </c>
      <c r="JZ116" s="646">
        <v>0</v>
      </c>
      <c r="KA116" s="646">
        <v>21.301807995218603</v>
      </c>
      <c r="KB116" s="646">
        <v>0.48998021347728415</v>
      </c>
      <c r="KC116" s="646">
        <v>3600</v>
      </c>
      <c r="KD116" s="563" t="s">
        <v>67</v>
      </c>
      <c r="KE116" s="563">
        <v>2</v>
      </c>
      <c r="KF116" s="563">
        <v>0</v>
      </c>
      <c r="KG116" s="563">
        <v>0</v>
      </c>
      <c r="KH116" s="563">
        <v>0</v>
      </c>
      <c r="KI116" s="650">
        <v>5676.2799086131445</v>
      </c>
      <c r="KJ116" s="563">
        <v>0</v>
      </c>
      <c r="KK116" s="563">
        <v>0</v>
      </c>
      <c r="KL116" s="563">
        <v>0</v>
      </c>
      <c r="KM116" s="650">
        <v>5931.4445231577884</v>
      </c>
      <c r="KN116" s="564">
        <v>4000</v>
      </c>
      <c r="KO116" s="566">
        <v>105.13863414013842</v>
      </c>
    </row>
    <row r="117" spans="1:301" ht="15" customHeight="1">
      <c r="A117" s="663" t="s">
        <v>871</v>
      </c>
      <c r="B117" s="629" t="s">
        <v>382</v>
      </c>
      <c r="C117" s="629">
        <v>225</v>
      </c>
      <c r="D117" s="629">
        <v>602</v>
      </c>
      <c r="E117" s="629">
        <v>212</v>
      </c>
      <c r="F117" s="629">
        <v>225</v>
      </c>
      <c r="G117" s="629">
        <v>59</v>
      </c>
      <c r="H117" s="629">
        <v>45</v>
      </c>
      <c r="I117" s="629">
        <v>45</v>
      </c>
      <c r="J117" s="629">
        <v>43.87</v>
      </c>
      <c r="K117" s="629">
        <v>73.7</v>
      </c>
      <c r="L117" s="629">
        <v>16</v>
      </c>
      <c r="M117" s="629">
        <v>210</v>
      </c>
      <c r="N117" s="629">
        <v>2</v>
      </c>
      <c r="O117" s="623">
        <v>3.9145202649488167</v>
      </c>
      <c r="P117" s="629">
        <v>2</v>
      </c>
      <c r="Q117" s="623">
        <v>2.4941502219664105</v>
      </c>
      <c r="R117" s="629">
        <v>13.000000000000002</v>
      </c>
      <c r="S117" s="629">
        <v>400.1665343521849</v>
      </c>
      <c r="T117" s="645">
        <v>12.83466160182339</v>
      </c>
      <c r="U117" s="645">
        <v>60.02498015282773</v>
      </c>
      <c r="V117" s="645">
        <v>60</v>
      </c>
      <c r="W117" s="793">
        <v>0.99962268244970631</v>
      </c>
      <c r="X117" s="646">
        <v>0</v>
      </c>
      <c r="Y117" s="646">
        <v>0</v>
      </c>
      <c r="Z117" s="646">
        <v>0</v>
      </c>
      <c r="AA117" s="646">
        <v>0</v>
      </c>
      <c r="AB117" s="647">
        <v>1.3760009766411612</v>
      </c>
      <c r="AC117" s="784">
        <v>4000</v>
      </c>
      <c r="AD117" s="631">
        <v>2.860744241303204</v>
      </c>
      <c r="AE117" s="631">
        <v>0.96131352603905762</v>
      </c>
      <c r="AF117" s="631">
        <v>-0.12539442310662482</v>
      </c>
      <c r="AG117" s="631">
        <v>0.65488899089406027</v>
      </c>
      <c r="AH117" s="629"/>
      <c r="AI117" s="648">
        <v>1.3614041799875636</v>
      </c>
      <c r="AJ117" s="649">
        <v>3.5607600000000006</v>
      </c>
      <c r="AK117" s="646">
        <v>23.803714771188329</v>
      </c>
      <c r="AL117" s="646">
        <v>0</v>
      </c>
      <c r="AM117" s="646">
        <v>0</v>
      </c>
      <c r="AN117" s="646">
        <v>15.63531770597781</v>
      </c>
      <c r="AO117" s="646">
        <v>0.80297646198703099</v>
      </c>
      <c r="AP117" s="801">
        <v>3600</v>
      </c>
      <c r="AQ117" s="563" t="s">
        <v>71</v>
      </c>
      <c r="AR117" s="563">
        <v>3</v>
      </c>
      <c r="AS117" s="563">
        <v>0</v>
      </c>
      <c r="AT117" s="563">
        <v>0</v>
      </c>
      <c r="AU117" s="563">
        <v>0</v>
      </c>
      <c r="AV117" s="650">
        <v>12238.720505778318</v>
      </c>
      <c r="AW117" s="563">
        <v>0</v>
      </c>
      <c r="AX117" s="563">
        <v>0</v>
      </c>
      <c r="AY117" s="563">
        <v>0</v>
      </c>
      <c r="AZ117" s="650">
        <v>13412.556015673521</v>
      </c>
      <c r="BA117" s="564">
        <v>4000</v>
      </c>
      <c r="BB117" s="565">
        <v>126.08258516407037</v>
      </c>
      <c r="BC117" s="649">
        <v>3.5607600000000006</v>
      </c>
      <c r="BD117" s="646">
        <v>23.803714771188329</v>
      </c>
      <c r="BE117" s="646">
        <v>0</v>
      </c>
      <c r="BF117" s="646">
        <v>0</v>
      </c>
      <c r="BG117" s="646">
        <v>15.63531770597781</v>
      </c>
      <c r="BH117" s="646">
        <v>0.80297646198703099</v>
      </c>
      <c r="BI117" s="646">
        <v>3600</v>
      </c>
      <c r="BJ117" s="563" t="s">
        <v>71</v>
      </c>
      <c r="BK117" s="563">
        <v>3</v>
      </c>
      <c r="BL117" s="563">
        <v>0</v>
      </c>
      <c r="BM117" s="563">
        <v>0</v>
      </c>
      <c r="BN117" s="563">
        <v>0</v>
      </c>
      <c r="BO117" s="650">
        <v>12238.720505778318</v>
      </c>
      <c r="BP117" s="563">
        <v>0</v>
      </c>
      <c r="BQ117" s="563">
        <v>0</v>
      </c>
      <c r="BR117" s="563">
        <v>0</v>
      </c>
      <c r="BS117" s="650">
        <v>13412.556015673521</v>
      </c>
      <c r="BT117" s="564">
        <v>4000</v>
      </c>
      <c r="BU117" s="565">
        <v>126.08258516407037</v>
      </c>
      <c r="BV117" s="649">
        <v>2.3738400000000004</v>
      </c>
      <c r="BW117" s="646">
        <v>22.616794771188328</v>
      </c>
      <c r="BX117" s="646">
        <v>0</v>
      </c>
      <c r="BY117" s="646">
        <v>0</v>
      </c>
      <c r="BZ117" s="646">
        <v>15.275062029130074</v>
      </c>
      <c r="CA117" s="646">
        <v>0.74169741440203107</v>
      </c>
      <c r="CB117" s="646">
        <v>3600</v>
      </c>
      <c r="CC117" s="563" t="s">
        <v>1584</v>
      </c>
      <c r="CD117" s="563">
        <v>2</v>
      </c>
      <c r="CE117" s="563">
        <v>0</v>
      </c>
      <c r="CF117" s="563">
        <v>0</v>
      </c>
      <c r="CG117" s="563">
        <v>0</v>
      </c>
      <c r="CH117" s="650">
        <v>8537.5640170171264</v>
      </c>
      <c r="CI117" s="563">
        <v>0</v>
      </c>
      <c r="CJ117" s="563">
        <v>0</v>
      </c>
      <c r="CK117" s="563">
        <v>0</v>
      </c>
      <c r="CL117" s="650">
        <v>8379.0717435657916</v>
      </c>
      <c r="CM117" s="564">
        <v>4000</v>
      </c>
      <c r="CN117" s="565">
        <v>126.08258516407037</v>
      </c>
      <c r="CO117" s="649">
        <v>2.3738400000000004</v>
      </c>
      <c r="CP117" s="646">
        <v>22.616794771188328</v>
      </c>
      <c r="CQ117" s="646">
        <v>0</v>
      </c>
      <c r="CR117" s="646">
        <v>0</v>
      </c>
      <c r="CS117" s="646">
        <v>15.275062029130074</v>
      </c>
      <c r="CT117" s="646">
        <v>0.74169741440203107</v>
      </c>
      <c r="CU117" s="646">
        <v>3600</v>
      </c>
      <c r="CV117" s="563" t="s">
        <v>1584</v>
      </c>
      <c r="CW117" s="563">
        <v>2</v>
      </c>
      <c r="CX117" s="563">
        <v>0</v>
      </c>
      <c r="CY117" s="563">
        <v>0</v>
      </c>
      <c r="CZ117" s="563">
        <v>0</v>
      </c>
      <c r="DA117" s="650">
        <v>8537.5640170171264</v>
      </c>
      <c r="DB117" s="563">
        <v>0</v>
      </c>
      <c r="DC117" s="563">
        <v>0</v>
      </c>
      <c r="DD117" s="563">
        <v>0</v>
      </c>
      <c r="DE117" s="650">
        <v>8379.0717435657916</v>
      </c>
      <c r="DF117" s="564">
        <v>4000</v>
      </c>
      <c r="DG117" s="565">
        <v>126.08258516407037</v>
      </c>
      <c r="DH117" s="649">
        <v>2.3738400000000004</v>
      </c>
      <c r="DI117" s="646">
        <v>22.616794771188328</v>
      </c>
      <c r="DJ117" s="646">
        <v>0</v>
      </c>
      <c r="DK117" s="646">
        <v>0</v>
      </c>
      <c r="DL117" s="646">
        <v>15.275062029130074</v>
      </c>
      <c r="DM117" s="646">
        <v>0.74169741440203107</v>
      </c>
      <c r="DN117" s="646">
        <v>3600</v>
      </c>
      <c r="DO117" s="563" t="s">
        <v>1585</v>
      </c>
      <c r="DP117" s="563">
        <v>2</v>
      </c>
      <c r="DQ117" s="563">
        <v>0</v>
      </c>
      <c r="DR117" s="563">
        <v>0</v>
      </c>
      <c r="DS117" s="563">
        <v>0</v>
      </c>
      <c r="DT117" s="650">
        <v>9127.0398483797235</v>
      </c>
      <c r="DU117" s="563">
        <v>0</v>
      </c>
      <c r="DV117" s="563">
        <v>0</v>
      </c>
      <c r="DW117" s="563">
        <v>0</v>
      </c>
      <c r="DX117" s="650">
        <v>8957.604481034612</v>
      </c>
      <c r="DY117" s="564">
        <v>4000</v>
      </c>
      <c r="DZ117" s="565">
        <v>126.08258516407037</v>
      </c>
      <c r="EA117" s="649">
        <v>2.3738400000000004</v>
      </c>
      <c r="EB117" s="646">
        <v>22.616794771188328</v>
      </c>
      <c r="EC117" s="646">
        <v>0</v>
      </c>
      <c r="ED117" s="646">
        <v>0</v>
      </c>
      <c r="EE117" s="646">
        <v>15.275062029130074</v>
      </c>
      <c r="EF117" s="646">
        <v>0.74169741440203107</v>
      </c>
      <c r="EG117" s="646">
        <v>3600</v>
      </c>
      <c r="EH117" s="563" t="s">
        <v>1585</v>
      </c>
      <c r="EI117" s="563">
        <v>2</v>
      </c>
      <c r="EJ117" s="563">
        <v>0</v>
      </c>
      <c r="EK117" s="563">
        <v>0</v>
      </c>
      <c r="EL117" s="563">
        <v>0</v>
      </c>
      <c r="EM117" s="650">
        <v>9127.0398483797235</v>
      </c>
      <c r="EN117" s="563">
        <v>0</v>
      </c>
      <c r="EO117" s="563">
        <v>0</v>
      </c>
      <c r="EP117" s="563">
        <v>0</v>
      </c>
      <c r="EQ117" s="650">
        <v>8957.604481034612</v>
      </c>
      <c r="ER117" s="564">
        <v>4000</v>
      </c>
      <c r="ES117" s="565">
        <v>126.08258516407037</v>
      </c>
      <c r="ET117" s="649">
        <v>2.3738400000000004</v>
      </c>
      <c r="EU117" s="646">
        <v>22.616794771188328</v>
      </c>
      <c r="EV117" s="646">
        <v>0</v>
      </c>
      <c r="EW117" s="646">
        <v>0</v>
      </c>
      <c r="EX117" s="646">
        <v>15.275062029130074</v>
      </c>
      <c r="EY117" s="646">
        <v>0.74169741440203107</v>
      </c>
      <c r="EZ117" s="646">
        <v>3600</v>
      </c>
      <c r="FA117" s="563" t="s">
        <v>1586</v>
      </c>
      <c r="FB117" s="563">
        <v>2</v>
      </c>
      <c r="FC117" s="563">
        <v>0</v>
      </c>
      <c r="FD117" s="563">
        <v>0</v>
      </c>
      <c r="FE117" s="563">
        <v>0</v>
      </c>
      <c r="FF117" s="650">
        <v>9315.246037741008</v>
      </c>
      <c r="FG117" s="563">
        <v>0</v>
      </c>
      <c r="FH117" s="563">
        <v>0</v>
      </c>
      <c r="FI117" s="563">
        <v>0</v>
      </c>
      <c r="FJ117" s="650">
        <v>9142.3167900856606</v>
      </c>
      <c r="FK117" s="564">
        <v>4000</v>
      </c>
      <c r="FL117" s="565">
        <v>126.08258516407037</v>
      </c>
      <c r="FM117" s="649">
        <v>2.3738400000000004</v>
      </c>
      <c r="FN117" s="646">
        <v>22.616794771188328</v>
      </c>
      <c r="FO117" s="646">
        <v>0</v>
      </c>
      <c r="FP117" s="646">
        <v>0</v>
      </c>
      <c r="FQ117" s="646">
        <v>15.275062029130074</v>
      </c>
      <c r="FR117" s="646">
        <v>0.74169741440203107</v>
      </c>
      <c r="FS117" s="646">
        <v>3600</v>
      </c>
      <c r="FT117" s="563" t="s">
        <v>1586</v>
      </c>
      <c r="FU117" s="563">
        <v>2</v>
      </c>
      <c r="FV117" s="563">
        <v>0</v>
      </c>
      <c r="FW117" s="563">
        <v>0</v>
      </c>
      <c r="FX117" s="563">
        <v>0</v>
      </c>
      <c r="FY117" s="650">
        <v>9315.246037741008</v>
      </c>
      <c r="FZ117" s="563">
        <v>0</v>
      </c>
      <c r="GA117" s="563">
        <v>0</v>
      </c>
      <c r="GB117" s="563">
        <v>0</v>
      </c>
      <c r="GC117" s="650">
        <v>9142.3167900856606</v>
      </c>
      <c r="GD117" s="564">
        <v>4000</v>
      </c>
      <c r="GE117" s="565">
        <v>126.08258516407037</v>
      </c>
      <c r="GF117" s="649">
        <v>2.3738400000000004</v>
      </c>
      <c r="GG117" s="646">
        <v>22.616794771188328</v>
      </c>
      <c r="GH117" s="646">
        <v>0</v>
      </c>
      <c r="GI117" s="646">
        <v>0</v>
      </c>
      <c r="GJ117" s="646">
        <v>15.275062029130074</v>
      </c>
      <c r="GK117" s="646">
        <v>0.74169741440203107</v>
      </c>
      <c r="GL117" s="646">
        <v>3600</v>
      </c>
      <c r="GM117" s="563" t="s">
        <v>1587</v>
      </c>
      <c r="GN117" s="563">
        <v>2</v>
      </c>
      <c r="GO117" s="563">
        <v>0</v>
      </c>
      <c r="GP117" s="563">
        <v>0</v>
      </c>
      <c r="GQ117" s="563">
        <v>0</v>
      </c>
      <c r="GR117" s="650">
        <v>12497.714020514468</v>
      </c>
      <c r="GS117" s="563">
        <v>0</v>
      </c>
      <c r="GT117" s="563">
        <v>0</v>
      </c>
      <c r="GU117" s="563">
        <v>0</v>
      </c>
      <c r="GV117" s="650">
        <v>12265.705088680201</v>
      </c>
      <c r="GW117" s="564">
        <v>4000</v>
      </c>
      <c r="GX117" s="565">
        <v>126.08258516407037</v>
      </c>
      <c r="GY117" s="649">
        <v>2.3738400000000004</v>
      </c>
      <c r="GZ117" s="646">
        <v>22.616794771188328</v>
      </c>
      <c r="HA117" s="646">
        <v>0</v>
      </c>
      <c r="HB117" s="646">
        <v>0</v>
      </c>
      <c r="HC117" s="646">
        <v>15.275062029130074</v>
      </c>
      <c r="HD117" s="646">
        <v>0.74169741440203107</v>
      </c>
      <c r="HE117" s="646">
        <v>3600</v>
      </c>
      <c r="HF117" s="563" t="s">
        <v>1587</v>
      </c>
      <c r="HG117" s="563">
        <v>2</v>
      </c>
      <c r="HH117" s="563">
        <v>0</v>
      </c>
      <c r="HI117" s="563">
        <v>0</v>
      </c>
      <c r="HJ117" s="563">
        <v>0</v>
      </c>
      <c r="HK117" s="650">
        <v>12497.714020514468</v>
      </c>
      <c r="HL117" s="563">
        <v>0</v>
      </c>
      <c r="HM117" s="563">
        <v>0</v>
      </c>
      <c r="HN117" s="563">
        <v>0</v>
      </c>
      <c r="HO117" s="650">
        <v>12265.705088680201</v>
      </c>
      <c r="HP117" s="564">
        <v>4000</v>
      </c>
      <c r="HQ117" s="565">
        <v>126.08258516407037</v>
      </c>
      <c r="HR117" s="649">
        <v>2.3738400000000004</v>
      </c>
      <c r="HS117" s="646">
        <v>22.616794771188328</v>
      </c>
      <c r="HT117" s="646">
        <v>0</v>
      </c>
      <c r="HU117" s="646">
        <v>0</v>
      </c>
      <c r="HV117" s="646">
        <v>15.275062029130074</v>
      </c>
      <c r="HW117" s="646">
        <v>0.74169741440203107</v>
      </c>
      <c r="HX117" s="646">
        <v>3600</v>
      </c>
      <c r="HY117" s="563" t="s">
        <v>68</v>
      </c>
      <c r="HZ117" s="563">
        <v>2</v>
      </c>
      <c r="IA117" s="563">
        <v>0</v>
      </c>
      <c r="IB117" s="563">
        <v>0</v>
      </c>
      <c r="IC117" s="563">
        <v>0</v>
      </c>
      <c r="ID117" s="650">
        <v>11021.947751695679</v>
      </c>
      <c r="IE117" s="563">
        <v>0</v>
      </c>
      <c r="IF117" s="563">
        <v>0</v>
      </c>
      <c r="IG117" s="563">
        <v>0</v>
      </c>
      <c r="IH117" s="650">
        <v>10817.335106502493</v>
      </c>
      <c r="II117" s="564">
        <v>4000</v>
      </c>
      <c r="IJ117" s="565">
        <v>126.08258516407037</v>
      </c>
      <c r="IK117" s="649">
        <v>2.3738400000000004</v>
      </c>
      <c r="IL117" s="646">
        <v>22.616794771188328</v>
      </c>
      <c r="IM117" s="646">
        <v>0</v>
      </c>
      <c r="IN117" s="646">
        <v>0</v>
      </c>
      <c r="IO117" s="646">
        <v>15.275062029130074</v>
      </c>
      <c r="IP117" s="646">
        <v>0.74169741440203107</v>
      </c>
      <c r="IQ117" s="646">
        <v>3600</v>
      </c>
      <c r="IR117" s="563" t="s">
        <v>68</v>
      </c>
      <c r="IS117" s="563">
        <v>2</v>
      </c>
      <c r="IT117" s="563">
        <v>0</v>
      </c>
      <c r="IU117" s="563">
        <v>0</v>
      </c>
      <c r="IV117" s="563">
        <v>0</v>
      </c>
      <c r="IW117" s="650">
        <v>11021.947751695679</v>
      </c>
      <c r="IX117" s="563">
        <v>0</v>
      </c>
      <c r="IY117" s="563">
        <v>0</v>
      </c>
      <c r="IZ117" s="563">
        <v>0</v>
      </c>
      <c r="JA117" s="650">
        <v>10817.335106502493</v>
      </c>
      <c r="JB117" s="564">
        <v>4000</v>
      </c>
      <c r="JC117" s="565">
        <v>126.08258516407037</v>
      </c>
      <c r="JD117" s="649">
        <v>2.3738400000000004</v>
      </c>
      <c r="JE117" s="646">
        <v>22.616794771188328</v>
      </c>
      <c r="JF117" s="646">
        <v>0</v>
      </c>
      <c r="JG117" s="646">
        <v>0</v>
      </c>
      <c r="JH117" s="646">
        <v>15.275062029130074</v>
      </c>
      <c r="JI117" s="646">
        <v>0.74169741440203107</v>
      </c>
      <c r="JJ117" s="646">
        <v>3600</v>
      </c>
      <c r="JK117" s="563" t="s">
        <v>67</v>
      </c>
      <c r="JL117" s="563">
        <v>2</v>
      </c>
      <c r="JM117" s="563">
        <v>0</v>
      </c>
      <c r="JN117" s="563">
        <v>0</v>
      </c>
      <c r="JO117" s="563">
        <v>0</v>
      </c>
      <c r="JP117" s="650">
        <v>15020.382909028125</v>
      </c>
      <c r="JQ117" s="563">
        <v>0</v>
      </c>
      <c r="JR117" s="563">
        <v>0</v>
      </c>
      <c r="JS117" s="563">
        <v>0</v>
      </c>
      <c r="JT117" s="650">
        <v>14741.542875652098</v>
      </c>
      <c r="JU117" s="564">
        <v>4000</v>
      </c>
      <c r="JV117" s="565">
        <v>126.08258516407037</v>
      </c>
      <c r="JW117" s="649">
        <v>2.3738400000000004</v>
      </c>
      <c r="JX117" s="646">
        <v>22.616794771188328</v>
      </c>
      <c r="JY117" s="646">
        <v>0</v>
      </c>
      <c r="JZ117" s="646">
        <v>0</v>
      </c>
      <c r="KA117" s="646">
        <v>15.275062029130074</v>
      </c>
      <c r="KB117" s="646">
        <v>0.74169741440203107</v>
      </c>
      <c r="KC117" s="646">
        <v>3600</v>
      </c>
      <c r="KD117" s="563" t="s">
        <v>67</v>
      </c>
      <c r="KE117" s="563">
        <v>2</v>
      </c>
      <c r="KF117" s="563">
        <v>0</v>
      </c>
      <c r="KG117" s="563">
        <v>0</v>
      </c>
      <c r="KH117" s="563">
        <v>0</v>
      </c>
      <c r="KI117" s="650">
        <v>15020.382909028125</v>
      </c>
      <c r="KJ117" s="563">
        <v>0</v>
      </c>
      <c r="KK117" s="563">
        <v>0</v>
      </c>
      <c r="KL117" s="563">
        <v>0</v>
      </c>
      <c r="KM117" s="650">
        <v>14741.542875652098</v>
      </c>
      <c r="KN117" s="564">
        <v>4000</v>
      </c>
      <c r="KO117" s="566">
        <v>126.08258516407037</v>
      </c>
    </row>
    <row r="118" spans="1:301" ht="15" customHeight="1">
      <c r="A118" s="663" t="s">
        <v>872</v>
      </c>
      <c r="B118" s="629" t="s">
        <v>382</v>
      </c>
      <c r="C118" s="629">
        <v>290</v>
      </c>
      <c r="D118" s="629">
        <v>602</v>
      </c>
      <c r="E118" s="629">
        <v>260</v>
      </c>
      <c r="F118" s="629">
        <v>290</v>
      </c>
      <c r="G118" s="629">
        <v>74</v>
      </c>
      <c r="H118" s="629">
        <v>60</v>
      </c>
      <c r="I118" s="629">
        <v>60</v>
      </c>
      <c r="J118" s="629">
        <v>32</v>
      </c>
      <c r="K118" s="629">
        <v>66.06</v>
      </c>
      <c r="L118" s="629">
        <v>16</v>
      </c>
      <c r="M118" s="629">
        <v>200</v>
      </c>
      <c r="N118" s="629">
        <v>2</v>
      </c>
      <c r="O118" s="623">
        <v>3.6351547665468753</v>
      </c>
      <c r="P118" s="629">
        <v>2</v>
      </c>
      <c r="Q118" s="623">
        <v>2.2516198459711028</v>
      </c>
      <c r="R118" s="629">
        <v>13.000000000000002</v>
      </c>
      <c r="S118" s="629">
        <v>424.03065719589267</v>
      </c>
      <c r="T118" s="645">
        <v>14.411109045792893</v>
      </c>
      <c r="U118" s="645">
        <v>63.604598579383897</v>
      </c>
      <c r="V118" s="645">
        <v>72.5</v>
      </c>
      <c r="W118" s="793">
        <v>1.3562377864009414</v>
      </c>
      <c r="X118" s="646">
        <v>0</v>
      </c>
      <c r="Y118" s="646">
        <v>0</v>
      </c>
      <c r="Z118" s="646">
        <v>0</v>
      </c>
      <c r="AA118" s="646">
        <v>0</v>
      </c>
      <c r="AB118" s="647">
        <v>1.8443047567949147</v>
      </c>
      <c r="AC118" s="784">
        <v>4000</v>
      </c>
      <c r="AD118" s="631">
        <v>2.4388087866738268</v>
      </c>
      <c r="AE118" s="631">
        <v>0.62486935190932746</v>
      </c>
      <c r="AF118" s="631">
        <v>-0.20670568529120789</v>
      </c>
      <c r="AG118" s="631">
        <v>0.75081863964512641</v>
      </c>
      <c r="AH118" s="629"/>
      <c r="AI118" s="648">
        <v>1.3904217729481045</v>
      </c>
      <c r="AJ118" s="649">
        <v>4.5216000000000003</v>
      </c>
      <c r="AK118" s="646">
        <v>26.175721444711815</v>
      </c>
      <c r="AL118" s="646">
        <v>0</v>
      </c>
      <c r="AM118" s="646">
        <v>0</v>
      </c>
      <c r="AN118" s="646">
        <v>19.057535260188647</v>
      </c>
      <c r="AO118" s="646">
        <v>0.92425394577463549</v>
      </c>
      <c r="AP118" s="801">
        <v>3600</v>
      </c>
      <c r="AQ118" s="563" t="s">
        <v>71</v>
      </c>
      <c r="AR118" s="563">
        <v>3</v>
      </c>
      <c r="AS118" s="563">
        <v>0</v>
      </c>
      <c r="AT118" s="563">
        <v>0</v>
      </c>
      <c r="AU118" s="563">
        <v>0</v>
      </c>
      <c r="AV118" s="650">
        <v>7121.6437151947848</v>
      </c>
      <c r="AW118" s="563">
        <v>0</v>
      </c>
      <c r="AX118" s="563">
        <v>0</v>
      </c>
      <c r="AY118" s="563">
        <v>0</v>
      </c>
      <c r="AZ118" s="650">
        <v>7697.4372825079781</v>
      </c>
      <c r="BA118" s="564">
        <v>4000</v>
      </c>
      <c r="BB118" s="565">
        <v>126.08258516407037</v>
      </c>
      <c r="BC118" s="649">
        <v>4.5216000000000003</v>
      </c>
      <c r="BD118" s="646">
        <v>26.175721444711815</v>
      </c>
      <c r="BE118" s="646">
        <v>0</v>
      </c>
      <c r="BF118" s="646">
        <v>0</v>
      </c>
      <c r="BG118" s="646">
        <v>19.057535260188647</v>
      </c>
      <c r="BH118" s="646">
        <v>0.92425394577463549</v>
      </c>
      <c r="BI118" s="646">
        <v>3600</v>
      </c>
      <c r="BJ118" s="563" t="s">
        <v>71</v>
      </c>
      <c r="BK118" s="563">
        <v>3</v>
      </c>
      <c r="BL118" s="563">
        <v>0</v>
      </c>
      <c r="BM118" s="563">
        <v>0</v>
      </c>
      <c r="BN118" s="563">
        <v>0</v>
      </c>
      <c r="BO118" s="650">
        <v>7121.6437151947848</v>
      </c>
      <c r="BP118" s="563">
        <v>0</v>
      </c>
      <c r="BQ118" s="563">
        <v>0</v>
      </c>
      <c r="BR118" s="563">
        <v>0</v>
      </c>
      <c r="BS118" s="650">
        <v>7697.4372825079781</v>
      </c>
      <c r="BT118" s="564">
        <v>4000</v>
      </c>
      <c r="BU118" s="565">
        <v>126.08258516407037</v>
      </c>
      <c r="BV118" s="649">
        <v>3.0144000000000002</v>
      </c>
      <c r="BW118" s="646">
        <v>24.668521444711814</v>
      </c>
      <c r="BX118" s="646">
        <v>0</v>
      </c>
      <c r="BY118" s="646">
        <v>0</v>
      </c>
      <c r="BZ118" s="646">
        <v>18.388971362153356</v>
      </c>
      <c r="CA118" s="646">
        <v>0.84013259217463554</v>
      </c>
      <c r="CB118" s="646">
        <v>3600</v>
      </c>
      <c r="CC118" s="563" t="s">
        <v>1584</v>
      </c>
      <c r="CD118" s="563">
        <v>2</v>
      </c>
      <c r="CE118" s="563">
        <v>0</v>
      </c>
      <c r="CF118" s="563">
        <v>0</v>
      </c>
      <c r="CG118" s="563">
        <v>0</v>
      </c>
      <c r="CH118" s="650">
        <v>5074.2782138411176</v>
      </c>
      <c r="CI118" s="563">
        <v>0</v>
      </c>
      <c r="CJ118" s="563">
        <v>0</v>
      </c>
      <c r="CK118" s="563">
        <v>0</v>
      </c>
      <c r="CL118" s="650">
        <v>5011.2113323972098</v>
      </c>
      <c r="CM118" s="564">
        <v>4000</v>
      </c>
      <c r="CN118" s="565">
        <v>126.08258516407037</v>
      </c>
      <c r="CO118" s="649">
        <v>3.0144000000000002</v>
      </c>
      <c r="CP118" s="646">
        <v>24.668521444711814</v>
      </c>
      <c r="CQ118" s="646">
        <v>0</v>
      </c>
      <c r="CR118" s="646">
        <v>0</v>
      </c>
      <c r="CS118" s="646">
        <v>18.388971362153356</v>
      </c>
      <c r="CT118" s="646">
        <v>0.84013259217463554</v>
      </c>
      <c r="CU118" s="646">
        <v>3600</v>
      </c>
      <c r="CV118" s="563" t="s">
        <v>1584</v>
      </c>
      <c r="CW118" s="563">
        <v>2</v>
      </c>
      <c r="CX118" s="563">
        <v>0</v>
      </c>
      <c r="CY118" s="563">
        <v>0</v>
      </c>
      <c r="CZ118" s="563">
        <v>0</v>
      </c>
      <c r="DA118" s="650">
        <v>5074.2782138411176</v>
      </c>
      <c r="DB118" s="563">
        <v>0</v>
      </c>
      <c r="DC118" s="563">
        <v>0</v>
      </c>
      <c r="DD118" s="563">
        <v>0</v>
      </c>
      <c r="DE118" s="650">
        <v>5011.2113323972098</v>
      </c>
      <c r="DF118" s="564">
        <v>4000</v>
      </c>
      <c r="DG118" s="565">
        <v>126.08258516407037</v>
      </c>
      <c r="DH118" s="649">
        <v>3.0144000000000002</v>
      </c>
      <c r="DI118" s="646">
        <v>24.668521444711814</v>
      </c>
      <c r="DJ118" s="646">
        <v>0</v>
      </c>
      <c r="DK118" s="646">
        <v>0</v>
      </c>
      <c r="DL118" s="646">
        <v>18.388971362153356</v>
      </c>
      <c r="DM118" s="646">
        <v>0.84013259217463554</v>
      </c>
      <c r="DN118" s="646">
        <v>3600</v>
      </c>
      <c r="DO118" s="563" t="s">
        <v>1585</v>
      </c>
      <c r="DP118" s="563">
        <v>2</v>
      </c>
      <c r="DQ118" s="563">
        <v>0</v>
      </c>
      <c r="DR118" s="563">
        <v>0</v>
      </c>
      <c r="DS118" s="563">
        <v>0</v>
      </c>
      <c r="DT118" s="650">
        <v>5424.6315889608486</v>
      </c>
      <c r="DU118" s="563">
        <v>0</v>
      </c>
      <c r="DV118" s="563">
        <v>0</v>
      </c>
      <c r="DW118" s="563">
        <v>0</v>
      </c>
      <c r="DX118" s="650">
        <v>5357.2102567281863</v>
      </c>
      <c r="DY118" s="564">
        <v>4000</v>
      </c>
      <c r="DZ118" s="565">
        <v>126.08258516407037</v>
      </c>
      <c r="EA118" s="649">
        <v>3.0144000000000002</v>
      </c>
      <c r="EB118" s="646">
        <v>24.668521444711814</v>
      </c>
      <c r="EC118" s="646">
        <v>0</v>
      </c>
      <c r="ED118" s="646">
        <v>0</v>
      </c>
      <c r="EE118" s="646">
        <v>18.388971362153356</v>
      </c>
      <c r="EF118" s="646">
        <v>0.84013259217463554</v>
      </c>
      <c r="EG118" s="646">
        <v>3600</v>
      </c>
      <c r="EH118" s="563" t="s">
        <v>1585</v>
      </c>
      <c r="EI118" s="563">
        <v>2</v>
      </c>
      <c r="EJ118" s="563">
        <v>0</v>
      </c>
      <c r="EK118" s="563">
        <v>0</v>
      </c>
      <c r="EL118" s="563">
        <v>0</v>
      </c>
      <c r="EM118" s="650">
        <v>5424.6315889608486</v>
      </c>
      <c r="EN118" s="563">
        <v>0</v>
      </c>
      <c r="EO118" s="563">
        <v>0</v>
      </c>
      <c r="EP118" s="563">
        <v>0</v>
      </c>
      <c r="EQ118" s="650">
        <v>5357.2102567281863</v>
      </c>
      <c r="ER118" s="564">
        <v>4000</v>
      </c>
      <c r="ES118" s="565">
        <v>126.08258516407037</v>
      </c>
      <c r="ET118" s="649">
        <v>3.0144000000000002</v>
      </c>
      <c r="EU118" s="646">
        <v>24.668521444711814</v>
      </c>
      <c r="EV118" s="646">
        <v>0</v>
      </c>
      <c r="EW118" s="646">
        <v>0</v>
      </c>
      <c r="EX118" s="646">
        <v>18.388971362153356</v>
      </c>
      <c r="EY118" s="646">
        <v>0.84013259217463554</v>
      </c>
      <c r="EZ118" s="646">
        <v>3600</v>
      </c>
      <c r="FA118" s="563" t="s">
        <v>1586</v>
      </c>
      <c r="FB118" s="563">
        <v>2</v>
      </c>
      <c r="FC118" s="563">
        <v>0</v>
      </c>
      <c r="FD118" s="563">
        <v>0</v>
      </c>
      <c r="FE118" s="563">
        <v>0</v>
      </c>
      <c r="FF118" s="650">
        <v>5536.4914314722892</v>
      </c>
      <c r="FG118" s="563">
        <v>0</v>
      </c>
      <c r="FH118" s="563">
        <v>0</v>
      </c>
      <c r="FI118" s="563">
        <v>0</v>
      </c>
      <c r="FJ118" s="650">
        <v>5467.6798224112026</v>
      </c>
      <c r="FK118" s="564">
        <v>4000</v>
      </c>
      <c r="FL118" s="565">
        <v>126.08258516407037</v>
      </c>
      <c r="FM118" s="649">
        <v>3.0144000000000002</v>
      </c>
      <c r="FN118" s="646">
        <v>24.668521444711814</v>
      </c>
      <c r="FO118" s="646">
        <v>0</v>
      </c>
      <c r="FP118" s="646">
        <v>0</v>
      </c>
      <c r="FQ118" s="646">
        <v>18.388971362153356</v>
      </c>
      <c r="FR118" s="646">
        <v>0.84013259217463554</v>
      </c>
      <c r="FS118" s="646">
        <v>3600</v>
      </c>
      <c r="FT118" s="563" t="s">
        <v>1586</v>
      </c>
      <c r="FU118" s="563">
        <v>2</v>
      </c>
      <c r="FV118" s="563">
        <v>0</v>
      </c>
      <c r="FW118" s="563">
        <v>0</v>
      </c>
      <c r="FX118" s="563">
        <v>0</v>
      </c>
      <c r="FY118" s="650">
        <v>5536.4914314722892</v>
      </c>
      <c r="FZ118" s="563">
        <v>0</v>
      </c>
      <c r="GA118" s="563">
        <v>0</v>
      </c>
      <c r="GB118" s="563">
        <v>0</v>
      </c>
      <c r="GC118" s="650">
        <v>5467.6798224112026</v>
      </c>
      <c r="GD118" s="564">
        <v>4000</v>
      </c>
      <c r="GE118" s="565">
        <v>126.08258516407037</v>
      </c>
      <c r="GF118" s="649">
        <v>3.0144000000000002</v>
      </c>
      <c r="GG118" s="646">
        <v>24.668521444711814</v>
      </c>
      <c r="GH118" s="646">
        <v>0</v>
      </c>
      <c r="GI118" s="646">
        <v>0</v>
      </c>
      <c r="GJ118" s="646">
        <v>18.388971362153356</v>
      </c>
      <c r="GK118" s="646">
        <v>0.84013259217463554</v>
      </c>
      <c r="GL118" s="646">
        <v>3600</v>
      </c>
      <c r="GM118" s="563" t="s">
        <v>1587</v>
      </c>
      <c r="GN118" s="563">
        <v>2</v>
      </c>
      <c r="GO118" s="563">
        <v>0</v>
      </c>
      <c r="GP118" s="563">
        <v>0</v>
      </c>
      <c r="GQ118" s="563">
        <v>0</v>
      </c>
      <c r="GR118" s="650">
        <v>7427.9827185730492</v>
      </c>
      <c r="GS118" s="563">
        <v>0</v>
      </c>
      <c r="GT118" s="563">
        <v>0</v>
      </c>
      <c r="GU118" s="563">
        <v>0</v>
      </c>
      <c r="GV118" s="650">
        <v>7335.6622572704309</v>
      </c>
      <c r="GW118" s="564">
        <v>4000</v>
      </c>
      <c r="GX118" s="565">
        <v>126.08258516407037</v>
      </c>
      <c r="GY118" s="649">
        <v>3.0144000000000002</v>
      </c>
      <c r="GZ118" s="646">
        <v>24.668521444711814</v>
      </c>
      <c r="HA118" s="646">
        <v>0</v>
      </c>
      <c r="HB118" s="646">
        <v>0</v>
      </c>
      <c r="HC118" s="646">
        <v>18.388971362153356</v>
      </c>
      <c r="HD118" s="646">
        <v>0.84013259217463554</v>
      </c>
      <c r="HE118" s="646">
        <v>3600</v>
      </c>
      <c r="HF118" s="563" t="s">
        <v>1587</v>
      </c>
      <c r="HG118" s="563">
        <v>2</v>
      </c>
      <c r="HH118" s="563">
        <v>0</v>
      </c>
      <c r="HI118" s="563">
        <v>0</v>
      </c>
      <c r="HJ118" s="563">
        <v>0</v>
      </c>
      <c r="HK118" s="650">
        <v>7427.9827185730492</v>
      </c>
      <c r="HL118" s="563">
        <v>0</v>
      </c>
      <c r="HM118" s="563">
        <v>0</v>
      </c>
      <c r="HN118" s="563">
        <v>0</v>
      </c>
      <c r="HO118" s="650">
        <v>7335.6622572704309</v>
      </c>
      <c r="HP118" s="564">
        <v>4000</v>
      </c>
      <c r="HQ118" s="565">
        <v>126.08258516407037</v>
      </c>
      <c r="HR118" s="649">
        <v>3.0144000000000002</v>
      </c>
      <c r="HS118" s="646">
        <v>24.668521444711814</v>
      </c>
      <c r="HT118" s="646">
        <v>0</v>
      </c>
      <c r="HU118" s="646">
        <v>0</v>
      </c>
      <c r="HV118" s="646">
        <v>18.388971362153356</v>
      </c>
      <c r="HW118" s="646">
        <v>0.84013259217463554</v>
      </c>
      <c r="HX118" s="646">
        <v>3600</v>
      </c>
      <c r="HY118" s="563" t="s">
        <v>68</v>
      </c>
      <c r="HZ118" s="563">
        <v>2</v>
      </c>
      <c r="IA118" s="563">
        <v>0</v>
      </c>
      <c r="IB118" s="563">
        <v>0</v>
      </c>
      <c r="IC118" s="563">
        <v>0</v>
      </c>
      <c r="ID118" s="650">
        <v>6550.8650054099207</v>
      </c>
      <c r="IE118" s="563">
        <v>0</v>
      </c>
      <c r="IF118" s="563">
        <v>0</v>
      </c>
      <c r="IG118" s="563">
        <v>0</v>
      </c>
      <c r="IH118" s="650">
        <v>6469.4460115667589</v>
      </c>
      <c r="II118" s="564">
        <v>4000</v>
      </c>
      <c r="IJ118" s="565">
        <v>126.08258516407037</v>
      </c>
      <c r="IK118" s="649">
        <v>3.0144000000000002</v>
      </c>
      <c r="IL118" s="646">
        <v>24.668521444711814</v>
      </c>
      <c r="IM118" s="646">
        <v>0</v>
      </c>
      <c r="IN118" s="646">
        <v>0</v>
      </c>
      <c r="IO118" s="646">
        <v>18.388971362153356</v>
      </c>
      <c r="IP118" s="646">
        <v>0.84013259217463554</v>
      </c>
      <c r="IQ118" s="646">
        <v>3600</v>
      </c>
      <c r="IR118" s="563" t="s">
        <v>68</v>
      </c>
      <c r="IS118" s="563">
        <v>2</v>
      </c>
      <c r="IT118" s="563">
        <v>0</v>
      </c>
      <c r="IU118" s="563">
        <v>0</v>
      </c>
      <c r="IV118" s="563">
        <v>0</v>
      </c>
      <c r="IW118" s="650">
        <v>6550.8650054099207</v>
      </c>
      <c r="IX118" s="563">
        <v>0</v>
      </c>
      <c r="IY118" s="563">
        <v>0</v>
      </c>
      <c r="IZ118" s="563">
        <v>0</v>
      </c>
      <c r="JA118" s="650">
        <v>6469.4460115667589</v>
      </c>
      <c r="JB118" s="564">
        <v>4000</v>
      </c>
      <c r="JC118" s="565">
        <v>126.08258516407037</v>
      </c>
      <c r="JD118" s="649">
        <v>3.0144000000000002</v>
      </c>
      <c r="JE118" s="646">
        <v>24.668521444711814</v>
      </c>
      <c r="JF118" s="646">
        <v>0</v>
      </c>
      <c r="JG118" s="646">
        <v>0</v>
      </c>
      <c r="JH118" s="646">
        <v>18.388971362153356</v>
      </c>
      <c r="JI118" s="646">
        <v>0.84013259217463554</v>
      </c>
      <c r="JJ118" s="646">
        <v>3600</v>
      </c>
      <c r="JK118" s="563" t="s">
        <v>67</v>
      </c>
      <c r="JL118" s="563">
        <v>2</v>
      </c>
      <c r="JM118" s="563">
        <v>0</v>
      </c>
      <c r="JN118" s="563">
        <v>0</v>
      </c>
      <c r="JO118" s="563">
        <v>0</v>
      </c>
      <c r="JP118" s="650">
        <v>8927.324188357612</v>
      </c>
      <c r="JQ118" s="563">
        <v>0</v>
      </c>
      <c r="JR118" s="563">
        <v>0</v>
      </c>
      <c r="JS118" s="563">
        <v>0</v>
      </c>
      <c r="JT118" s="650">
        <v>8816.3688026914824</v>
      </c>
      <c r="JU118" s="564">
        <v>4000</v>
      </c>
      <c r="JV118" s="565">
        <v>126.08258516407037</v>
      </c>
      <c r="JW118" s="649">
        <v>3.0144000000000002</v>
      </c>
      <c r="JX118" s="646">
        <v>24.668521444711814</v>
      </c>
      <c r="JY118" s="646">
        <v>0</v>
      </c>
      <c r="JZ118" s="646">
        <v>0</v>
      </c>
      <c r="KA118" s="646">
        <v>18.388971362153356</v>
      </c>
      <c r="KB118" s="646">
        <v>0.84013259217463554</v>
      </c>
      <c r="KC118" s="646">
        <v>3600</v>
      </c>
      <c r="KD118" s="563" t="s">
        <v>67</v>
      </c>
      <c r="KE118" s="563">
        <v>2</v>
      </c>
      <c r="KF118" s="563">
        <v>0</v>
      </c>
      <c r="KG118" s="563">
        <v>0</v>
      </c>
      <c r="KH118" s="563">
        <v>0</v>
      </c>
      <c r="KI118" s="650">
        <v>8927.324188357612</v>
      </c>
      <c r="KJ118" s="563">
        <v>0</v>
      </c>
      <c r="KK118" s="563">
        <v>0</v>
      </c>
      <c r="KL118" s="563">
        <v>0</v>
      </c>
      <c r="KM118" s="650">
        <v>8816.3688026914824</v>
      </c>
      <c r="KN118" s="564">
        <v>4000</v>
      </c>
      <c r="KO118" s="566">
        <v>126.08258516407037</v>
      </c>
    </row>
    <row r="119" spans="1:301" ht="15" customHeight="1">
      <c r="A119" s="663" t="s">
        <v>873</v>
      </c>
      <c r="B119" s="629" t="s">
        <v>382</v>
      </c>
      <c r="C119" s="629">
        <v>290</v>
      </c>
      <c r="D119" s="629">
        <v>602</v>
      </c>
      <c r="E119" s="629">
        <v>260</v>
      </c>
      <c r="F119" s="629">
        <v>290</v>
      </c>
      <c r="G119" s="629">
        <v>74</v>
      </c>
      <c r="H119" s="629">
        <v>60</v>
      </c>
      <c r="I119" s="629">
        <v>60</v>
      </c>
      <c r="J119" s="629">
        <v>32</v>
      </c>
      <c r="K119" s="629">
        <v>66.06</v>
      </c>
      <c r="L119" s="629">
        <v>16</v>
      </c>
      <c r="M119" s="629">
        <v>200</v>
      </c>
      <c r="N119" s="629">
        <v>2</v>
      </c>
      <c r="O119" s="623">
        <v>3.6351547665468753</v>
      </c>
      <c r="P119" s="629">
        <v>2</v>
      </c>
      <c r="Q119" s="623">
        <v>2.2516198459711028</v>
      </c>
      <c r="R119" s="629">
        <v>13.000000000000002</v>
      </c>
      <c r="S119" s="629">
        <v>424.03065719589267</v>
      </c>
      <c r="T119" s="645">
        <v>14.411109045792893</v>
      </c>
      <c r="U119" s="645">
        <v>63.604598579383897</v>
      </c>
      <c r="V119" s="645">
        <v>72.5</v>
      </c>
      <c r="W119" s="793">
        <v>1.3562377864009414</v>
      </c>
      <c r="X119" s="646">
        <v>0</v>
      </c>
      <c r="Y119" s="646">
        <v>0</v>
      </c>
      <c r="Z119" s="646">
        <v>0</v>
      </c>
      <c r="AA119" s="646">
        <v>0</v>
      </c>
      <c r="AB119" s="647">
        <v>1.8443047567949147</v>
      </c>
      <c r="AC119" s="784">
        <v>4000</v>
      </c>
      <c r="AD119" s="631">
        <v>2.4388087866738268</v>
      </c>
      <c r="AE119" s="631">
        <v>0.62486935190932746</v>
      </c>
      <c r="AF119" s="631">
        <v>-0.20670568529120789</v>
      </c>
      <c r="AG119" s="631">
        <v>0.75081863964512641</v>
      </c>
      <c r="AH119" s="629"/>
      <c r="AI119" s="648">
        <v>1.3904217729481045</v>
      </c>
      <c r="AJ119" s="649">
        <v>4.5216000000000003</v>
      </c>
      <c r="AK119" s="646">
        <v>26.175721444711815</v>
      </c>
      <c r="AL119" s="646">
        <v>0</v>
      </c>
      <c r="AM119" s="646">
        <v>0</v>
      </c>
      <c r="AN119" s="646">
        <v>19.057535260188647</v>
      </c>
      <c r="AO119" s="646">
        <v>0.92425394577463549</v>
      </c>
      <c r="AP119" s="801">
        <v>3600</v>
      </c>
      <c r="AQ119" s="563" t="s">
        <v>71</v>
      </c>
      <c r="AR119" s="563">
        <v>3</v>
      </c>
      <c r="AS119" s="563">
        <v>0</v>
      </c>
      <c r="AT119" s="563">
        <v>0</v>
      </c>
      <c r="AU119" s="563">
        <v>0</v>
      </c>
      <c r="AV119" s="650">
        <v>7121.6437151947848</v>
      </c>
      <c r="AW119" s="563">
        <v>0</v>
      </c>
      <c r="AX119" s="563">
        <v>0</v>
      </c>
      <c r="AY119" s="563">
        <v>0</v>
      </c>
      <c r="AZ119" s="650">
        <v>7697.4372825079781</v>
      </c>
      <c r="BA119" s="564">
        <v>4000</v>
      </c>
      <c r="BB119" s="565">
        <v>126.08258516407037</v>
      </c>
      <c r="BC119" s="649">
        <v>4.5216000000000003</v>
      </c>
      <c r="BD119" s="646">
        <v>26.175721444711815</v>
      </c>
      <c r="BE119" s="646">
        <v>0</v>
      </c>
      <c r="BF119" s="646">
        <v>0</v>
      </c>
      <c r="BG119" s="646">
        <v>19.057535260188647</v>
      </c>
      <c r="BH119" s="646">
        <v>0.92425394577463549</v>
      </c>
      <c r="BI119" s="646">
        <v>3600</v>
      </c>
      <c r="BJ119" s="563" t="s">
        <v>71</v>
      </c>
      <c r="BK119" s="563">
        <v>3</v>
      </c>
      <c r="BL119" s="563">
        <v>0</v>
      </c>
      <c r="BM119" s="563">
        <v>0</v>
      </c>
      <c r="BN119" s="563">
        <v>0</v>
      </c>
      <c r="BO119" s="650">
        <v>7121.6437151947848</v>
      </c>
      <c r="BP119" s="563">
        <v>0</v>
      </c>
      <c r="BQ119" s="563">
        <v>0</v>
      </c>
      <c r="BR119" s="563">
        <v>0</v>
      </c>
      <c r="BS119" s="650">
        <v>7697.4372825079781</v>
      </c>
      <c r="BT119" s="564">
        <v>4000</v>
      </c>
      <c r="BU119" s="565">
        <v>126.08258516407037</v>
      </c>
      <c r="BV119" s="649">
        <v>3.0144000000000002</v>
      </c>
      <c r="BW119" s="646">
        <v>24.668521444711814</v>
      </c>
      <c r="BX119" s="646">
        <v>0</v>
      </c>
      <c r="BY119" s="646">
        <v>0</v>
      </c>
      <c r="BZ119" s="646">
        <v>18.388971362153356</v>
      </c>
      <c r="CA119" s="646">
        <v>0.84013259217463554</v>
      </c>
      <c r="CB119" s="646">
        <v>3600</v>
      </c>
      <c r="CC119" s="563" t="s">
        <v>1584</v>
      </c>
      <c r="CD119" s="563">
        <v>2</v>
      </c>
      <c r="CE119" s="563">
        <v>0</v>
      </c>
      <c r="CF119" s="563">
        <v>0</v>
      </c>
      <c r="CG119" s="563">
        <v>0</v>
      </c>
      <c r="CH119" s="650">
        <v>5074.2782138411176</v>
      </c>
      <c r="CI119" s="563">
        <v>0</v>
      </c>
      <c r="CJ119" s="563">
        <v>0</v>
      </c>
      <c r="CK119" s="563">
        <v>0</v>
      </c>
      <c r="CL119" s="650">
        <v>5011.2113323972098</v>
      </c>
      <c r="CM119" s="564">
        <v>4000</v>
      </c>
      <c r="CN119" s="565">
        <v>126.08258516407037</v>
      </c>
      <c r="CO119" s="649">
        <v>3.0144000000000002</v>
      </c>
      <c r="CP119" s="646">
        <v>24.668521444711814</v>
      </c>
      <c r="CQ119" s="646">
        <v>0</v>
      </c>
      <c r="CR119" s="646">
        <v>0</v>
      </c>
      <c r="CS119" s="646">
        <v>18.388971362153356</v>
      </c>
      <c r="CT119" s="646">
        <v>0.84013259217463554</v>
      </c>
      <c r="CU119" s="646">
        <v>3600</v>
      </c>
      <c r="CV119" s="563" t="s">
        <v>1584</v>
      </c>
      <c r="CW119" s="563">
        <v>2</v>
      </c>
      <c r="CX119" s="563">
        <v>0</v>
      </c>
      <c r="CY119" s="563">
        <v>0</v>
      </c>
      <c r="CZ119" s="563">
        <v>0</v>
      </c>
      <c r="DA119" s="650">
        <v>5074.2782138411176</v>
      </c>
      <c r="DB119" s="563">
        <v>0</v>
      </c>
      <c r="DC119" s="563">
        <v>0</v>
      </c>
      <c r="DD119" s="563">
        <v>0</v>
      </c>
      <c r="DE119" s="650">
        <v>5011.2113323972098</v>
      </c>
      <c r="DF119" s="564">
        <v>4000</v>
      </c>
      <c r="DG119" s="565">
        <v>126.08258516407037</v>
      </c>
      <c r="DH119" s="649">
        <v>3.0144000000000002</v>
      </c>
      <c r="DI119" s="646">
        <v>24.668521444711814</v>
      </c>
      <c r="DJ119" s="646">
        <v>0</v>
      </c>
      <c r="DK119" s="646">
        <v>0</v>
      </c>
      <c r="DL119" s="646">
        <v>18.388971362153356</v>
      </c>
      <c r="DM119" s="646">
        <v>0.84013259217463554</v>
      </c>
      <c r="DN119" s="646">
        <v>3600</v>
      </c>
      <c r="DO119" s="563" t="s">
        <v>1585</v>
      </c>
      <c r="DP119" s="563">
        <v>2</v>
      </c>
      <c r="DQ119" s="563">
        <v>0</v>
      </c>
      <c r="DR119" s="563">
        <v>0</v>
      </c>
      <c r="DS119" s="563">
        <v>0</v>
      </c>
      <c r="DT119" s="650">
        <v>5424.6315889608486</v>
      </c>
      <c r="DU119" s="563">
        <v>0</v>
      </c>
      <c r="DV119" s="563">
        <v>0</v>
      </c>
      <c r="DW119" s="563">
        <v>0</v>
      </c>
      <c r="DX119" s="650">
        <v>5357.2102567281863</v>
      </c>
      <c r="DY119" s="564">
        <v>4000</v>
      </c>
      <c r="DZ119" s="565">
        <v>126.08258516407037</v>
      </c>
      <c r="EA119" s="649">
        <v>3.0144000000000002</v>
      </c>
      <c r="EB119" s="646">
        <v>24.668521444711814</v>
      </c>
      <c r="EC119" s="646">
        <v>0</v>
      </c>
      <c r="ED119" s="646">
        <v>0</v>
      </c>
      <c r="EE119" s="646">
        <v>18.388971362153356</v>
      </c>
      <c r="EF119" s="646">
        <v>0.84013259217463554</v>
      </c>
      <c r="EG119" s="646">
        <v>3600</v>
      </c>
      <c r="EH119" s="563" t="s">
        <v>1585</v>
      </c>
      <c r="EI119" s="563">
        <v>2</v>
      </c>
      <c r="EJ119" s="563">
        <v>0</v>
      </c>
      <c r="EK119" s="563">
        <v>0</v>
      </c>
      <c r="EL119" s="563">
        <v>0</v>
      </c>
      <c r="EM119" s="650">
        <v>5424.6315889608486</v>
      </c>
      <c r="EN119" s="563">
        <v>0</v>
      </c>
      <c r="EO119" s="563">
        <v>0</v>
      </c>
      <c r="EP119" s="563">
        <v>0</v>
      </c>
      <c r="EQ119" s="650">
        <v>5357.2102567281863</v>
      </c>
      <c r="ER119" s="564">
        <v>4000</v>
      </c>
      <c r="ES119" s="565">
        <v>126.08258516407037</v>
      </c>
      <c r="ET119" s="649">
        <v>3.0144000000000002</v>
      </c>
      <c r="EU119" s="646">
        <v>24.668521444711814</v>
      </c>
      <c r="EV119" s="646">
        <v>0</v>
      </c>
      <c r="EW119" s="646">
        <v>0</v>
      </c>
      <c r="EX119" s="646">
        <v>18.388971362153356</v>
      </c>
      <c r="EY119" s="646">
        <v>0.84013259217463554</v>
      </c>
      <c r="EZ119" s="646">
        <v>3600</v>
      </c>
      <c r="FA119" s="563" t="s">
        <v>1586</v>
      </c>
      <c r="FB119" s="563">
        <v>2</v>
      </c>
      <c r="FC119" s="563">
        <v>0</v>
      </c>
      <c r="FD119" s="563">
        <v>0</v>
      </c>
      <c r="FE119" s="563">
        <v>0</v>
      </c>
      <c r="FF119" s="650">
        <v>5536.4914314722892</v>
      </c>
      <c r="FG119" s="563">
        <v>0</v>
      </c>
      <c r="FH119" s="563">
        <v>0</v>
      </c>
      <c r="FI119" s="563">
        <v>0</v>
      </c>
      <c r="FJ119" s="650">
        <v>5467.6798224112026</v>
      </c>
      <c r="FK119" s="564">
        <v>4000</v>
      </c>
      <c r="FL119" s="565">
        <v>126.08258516407037</v>
      </c>
      <c r="FM119" s="649">
        <v>3.0144000000000002</v>
      </c>
      <c r="FN119" s="646">
        <v>24.668521444711814</v>
      </c>
      <c r="FO119" s="646">
        <v>0</v>
      </c>
      <c r="FP119" s="646">
        <v>0</v>
      </c>
      <c r="FQ119" s="646">
        <v>18.388971362153356</v>
      </c>
      <c r="FR119" s="646">
        <v>0.84013259217463554</v>
      </c>
      <c r="FS119" s="646">
        <v>3600</v>
      </c>
      <c r="FT119" s="563" t="s">
        <v>1586</v>
      </c>
      <c r="FU119" s="563">
        <v>2</v>
      </c>
      <c r="FV119" s="563">
        <v>0</v>
      </c>
      <c r="FW119" s="563">
        <v>0</v>
      </c>
      <c r="FX119" s="563">
        <v>0</v>
      </c>
      <c r="FY119" s="650">
        <v>5536.4914314722892</v>
      </c>
      <c r="FZ119" s="563">
        <v>0</v>
      </c>
      <c r="GA119" s="563">
        <v>0</v>
      </c>
      <c r="GB119" s="563">
        <v>0</v>
      </c>
      <c r="GC119" s="650">
        <v>5467.6798224112026</v>
      </c>
      <c r="GD119" s="564">
        <v>4000</v>
      </c>
      <c r="GE119" s="565">
        <v>126.08258516407037</v>
      </c>
      <c r="GF119" s="649">
        <v>3.0144000000000002</v>
      </c>
      <c r="GG119" s="646">
        <v>24.668521444711814</v>
      </c>
      <c r="GH119" s="646">
        <v>0</v>
      </c>
      <c r="GI119" s="646">
        <v>0</v>
      </c>
      <c r="GJ119" s="646">
        <v>18.388971362153356</v>
      </c>
      <c r="GK119" s="646">
        <v>0.84013259217463554</v>
      </c>
      <c r="GL119" s="646">
        <v>3600</v>
      </c>
      <c r="GM119" s="563" t="s">
        <v>1587</v>
      </c>
      <c r="GN119" s="563">
        <v>2</v>
      </c>
      <c r="GO119" s="563">
        <v>0</v>
      </c>
      <c r="GP119" s="563">
        <v>0</v>
      </c>
      <c r="GQ119" s="563">
        <v>0</v>
      </c>
      <c r="GR119" s="650">
        <v>7427.9827185730492</v>
      </c>
      <c r="GS119" s="563">
        <v>0</v>
      </c>
      <c r="GT119" s="563">
        <v>0</v>
      </c>
      <c r="GU119" s="563">
        <v>0</v>
      </c>
      <c r="GV119" s="650">
        <v>7335.6622572704309</v>
      </c>
      <c r="GW119" s="564">
        <v>4000</v>
      </c>
      <c r="GX119" s="565">
        <v>126.08258516407037</v>
      </c>
      <c r="GY119" s="649">
        <v>3.0144000000000002</v>
      </c>
      <c r="GZ119" s="646">
        <v>24.668521444711814</v>
      </c>
      <c r="HA119" s="646">
        <v>0</v>
      </c>
      <c r="HB119" s="646">
        <v>0</v>
      </c>
      <c r="HC119" s="646">
        <v>18.388971362153356</v>
      </c>
      <c r="HD119" s="646">
        <v>0.84013259217463554</v>
      </c>
      <c r="HE119" s="646">
        <v>3600</v>
      </c>
      <c r="HF119" s="563" t="s">
        <v>1587</v>
      </c>
      <c r="HG119" s="563">
        <v>2</v>
      </c>
      <c r="HH119" s="563">
        <v>0</v>
      </c>
      <c r="HI119" s="563">
        <v>0</v>
      </c>
      <c r="HJ119" s="563">
        <v>0</v>
      </c>
      <c r="HK119" s="650">
        <v>7427.9827185730492</v>
      </c>
      <c r="HL119" s="563">
        <v>0</v>
      </c>
      <c r="HM119" s="563">
        <v>0</v>
      </c>
      <c r="HN119" s="563">
        <v>0</v>
      </c>
      <c r="HO119" s="650">
        <v>7335.6622572704309</v>
      </c>
      <c r="HP119" s="564">
        <v>4000</v>
      </c>
      <c r="HQ119" s="565">
        <v>126.08258516407037</v>
      </c>
      <c r="HR119" s="649">
        <v>3.0144000000000002</v>
      </c>
      <c r="HS119" s="646">
        <v>24.668521444711814</v>
      </c>
      <c r="HT119" s="646">
        <v>0</v>
      </c>
      <c r="HU119" s="646">
        <v>0</v>
      </c>
      <c r="HV119" s="646">
        <v>18.388971362153356</v>
      </c>
      <c r="HW119" s="646">
        <v>0.84013259217463554</v>
      </c>
      <c r="HX119" s="646">
        <v>3600</v>
      </c>
      <c r="HY119" s="563" t="s">
        <v>68</v>
      </c>
      <c r="HZ119" s="563">
        <v>2</v>
      </c>
      <c r="IA119" s="563">
        <v>0</v>
      </c>
      <c r="IB119" s="563">
        <v>0</v>
      </c>
      <c r="IC119" s="563">
        <v>0</v>
      </c>
      <c r="ID119" s="650">
        <v>6550.8650054099207</v>
      </c>
      <c r="IE119" s="563">
        <v>0</v>
      </c>
      <c r="IF119" s="563">
        <v>0</v>
      </c>
      <c r="IG119" s="563">
        <v>0</v>
      </c>
      <c r="IH119" s="650">
        <v>6469.4460115667589</v>
      </c>
      <c r="II119" s="564">
        <v>4000</v>
      </c>
      <c r="IJ119" s="565">
        <v>126.08258516407037</v>
      </c>
      <c r="IK119" s="649">
        <v>3.0144000000000002</v>
      </c>
      <c r="IL119" s="646">
        <v>24.668521444711814</v>
      </c>
      <c r="IM119" s="646">
        <v>0</v>
      </c>
      <c r="IN119" s="646">
        <v>0</v>
      </c>
      <c r="IO119" s="646">
        <v>18.388971362153356</v>
      </c>
      <c r="IP119" s="646">
        <v>0.84013259217463554</v>
      </c>
      <c r="IQ119" s="646">
        <v>3600</v>
      </c>
      <c r="IR119" s="563" t="s">
        <v>68</v>
      </c>
      <c r="IS119" s="563">
        <v>2</v>
      </c>
      <c r="IT119" s="563">
        <v>0</v>
      </c>
      <c r="IU119" s="563">
        <v>0</v>
      </c>
      <c r="IV119" s="563">
        <v>0</v>
      </c>
      <c r="IW119" s="650">
        <v>6550.8650054099207</v>
      </c>
      <c r="IX119" s="563">
        <v>0</v>
      </c>
      <c r="IY119" s="563">
        <v>0</v>
      </c>
      <c r="IZ119" s="563">
        <v>0</v>
      </c>
      <c r="JA119" s="650">
        <v>6469.4460115667589</v>
      </c>
      <c r="JB119" s="564">
        <v>4000</v>
      </c>
      <c r="JC119" s="565">
        <v>126.08258516407037</v>
      </c>
      <c r="JD119" s="649">
        <v>3.0144000000000002</v>
      </c>
      <c r="JE119" s="646">
        <v>24.668521444711814</v>
      </c>
      <c r="JF119" s="646">
        <v>0</v>
      </c>
      <c r="JG119" s="646">
        <v>0</v>
      </c>
      <c r="JH119" s="646">
        <v>18.388971362153356</v>
      </c>
      <c r="JI119" s="646">
        <v>0.84013259217463554</v>
      </c>
      <c r="JJ119" s="646">
        <v>3600</v>
      </c>
      <c r="JK119" s="563" t="s">
        <v>67</v>
      </c>
      <c r="JL119" s="563">
        <v>2</v>
      </c>
      <c r="JM119" s="563">
        <v>0</v>
      </c>
      <c r="JN119" s="563">
        <v>0</v>
      </c>
      <c r="JO119" s="563">
        <v>0</v>
      </c>
      <c r="JP119" s="650">
        <v>8927.324188357612</v>
      </c>
      <c r="JQ119" s="563">
        <v>0</v>
      </c>
      <c r="JR119" s="563">
        <v>0</v>
      </c>
      <c r="JS119" s="563">
        <v>0</v>
      </c>
      <c r="JT119" s="650">
        <v>8816.3688026914824</v>
      </c>
      <c r="JU119" s="564">
        <v>4000</v>
      </c>
      <c r="JV119" s="565">
        <v>126.08258516407037</v>
      </c>
      <c r="JW119" s="649">
        <v>3.0144000000000002</v>
      </c>
      <c r="JX119" s="646">
        <v>24.668521444711814</v>
      </c>
      <c r="JY119" s="646">
        <v>0</v>
      </c>
      <c r="JZ119" s="646">
        <v>0</v>
      </c>
      <c r="KA119" s="646">
        <v>18.388971362153356</v>
      </c>
      <c r="KB119" s="646">
        <v>0.84013259217463554</v>
      </c>
      <c r="KC119" s="646">
        <v>3600</v>
      </c>
      <c r="KD119" s="563" t="s">
        <v>67</v>
      </c>
      <c r="KE119" s="563">
        <v>2</v>
      </c>
      <c r="KF119" s="563">
        <v>0</v>
      </c>
      <c r="KG119" s="563">
        <v>0</v>
      </c>
      <c r="KH119" s="563">
        <v>0</v>
      </c>
      <c r="KI119" s="650">
        <v>8927.324188357612</v>
      </c>
      <c r="KJ119" s="563">
        <v>0</v>
      </c>
      <c r="KK119" s="563">
        <v>0</v>
      </c>
      <c r="KL119" s="563">
        <v>0</v>
      </c>
      <c r="KM119" s="650">
        <v>8816.3688026914824</v>
      </c>
      <c r="KN119" s="564">
        <v>4000</v>
      </c>
      <c r="KO119" s="566">
        <v>126.08258516407037</v>
      </c>
    </row>
    <row r="120" spans="1:301" ht="15" customHeight="1">
      <c r="A120" s="663" t="s">
        <v>874</v>
      </c>
      <c r="B120" s="629" t="s">
        <v>382</v>
      </c>
      <c r="C120" s="629">
        <v>290</v>
      </c>
      <c r="D120" s="629">
        <v>602</v>
      </c>
      <c r="E120" s="629">
        <v>260</v>
      </c>
      <c r="F120" s="629">
        <v>290</v>
      </c>
      <c r="G120" s="629">
        <v>74</v>
      </c>
      <c r="H120" s="629">
        <v>60</v>
      </c>
      <c r="I120" s="629">
        <v>60</v>
      </c>
      <c r="J120" s="629">
        <v>32</v>
      </c>
      <c r="K120" s="629">
        <v>66.06</v>
      </c>
      <c r="L120" s="629">
        <v>16</v>
      </c>
      <c r="M120" s="629">
        <v>200</v>
      </c>
      <c r="N120" s="629">
        <v>2</v>
      </c>
      <c r="O120" s="623">
        <v>3.6351547665468753</v>
      </c>
      <c r="P120" s="629">
        <v>2</v>
      </c>
      <c r="Q120" s="623">
        <v>2.2516198459711028</v>
      </c>
      <c r="R120" s="629">
        <v>13.000000000000002</v>
      </c>
      <c r="S120" s="629">
        <v>424.03065719589267</v>
      </c>
      <c r="T120" s="645">
        <v>14.411109045792893</v>
      </c>
      <c r="U120" s="645">
        <v>63.604598579383897</v>
      </c>
      <c r="V120" s="645">
        <v>72.5</v>
      </c>
      <c r="W120" s="793">
        <v>1.3562377864009414</v>
      </c>
      <c r="X120" s="646">
        <v>0</v>
      </c>
      <c r="Y120" s="646">
        <v>0</v>
      </c>
      <c r="Z120" s="646">
        <v>0</v>
      </c>
      <c r="AA120" s="646">
        <v>0</v>
      </c>
      <c r="AB120" s="647">
        <v>1.8443047567949147</v>
      </c>
      <c r="AC120" s="784">
        <v>4000</v>
      </c>
      <c r="AD120" s="631">
        <v>2.4388087866738268</v>
      </c>
      <c r="AE120" s="631">
        <v>0.62486935190932746</v>
      </c>
      <c r="AF120" s="631">
        <v>-0.20670568529120789</v>
      </c>
      <c r="AG120" s="631">
        <v>0.75081863964512641</v>
      </c>
      <c r="AH120" s="629"/>
      <c r="AI120" s="648">
        <v>1.3904217729481045</v>
      </c>
      <c r="AJ120" s="649">
        <v>4.5216000000000003</v>
      </c>
      <c r="AK120" s="646">
        <v>26.175721444711815</v>
      </c>
      <c r="AL120" s="646">
        <v>0</v>
      </c>
      <c r="AM120" s="646">
        <v>0</v>
      </c>
      <c r="AN120" s="646">
        <v>19.057535260188647</v>
      </c>
      <c r="AO120" s="646">
        <v>0.92425394577463549</v>
      </c>
      <c r="AP120" s="801">
        <v>3600</v>
      </c>
      <c r="AQ120" s="563" t="s">
        <v>71</v>
      </c>
      <c r="AR120" s="563">
        <v>3</v>
      </c>
      <c r="AS120" s="563">
        <v>0</v>
      </c>
      <c r="AT120" s="563">
        <v>0</v>
      </c>
      <c r="AU120" s="563">
        <v>0</v>
      </c>
      <c r="AV120" s="650">
        <v>7121.6437151947848</v>
      </c>
      <c r="AW120" s="563">
        <v>0</v>
      </c>
      <c r="AX120" s="563">
        <v>0</v>
      </c>
      <c r="AY120" s="563">
        <v>0</v>
      </c>
      <c r="AZ120" s="650">
        <v>7697.4372825079781</v>
      </c>
      <c r="BA120" s="564">
        <v>4000</v>
      </c>
      <c r="BB120" s="565">
        <v>126.08258516407037</v>
      </c>
      <c r="BC120" s="649">
        <v>4.5216000000000003</v>
      </c>
      <c r="BD120" s="646">
        <v>26.175721444711815</v>
      </c>
      <c r="BE120" s="646">
        <v>0</v>
      </c>
      <c r="BF120" s="646">
        <v>0</v>
      </c>
      <c r="BG120" s="646">
        <v>19.057535260188647</v>
      </c>
      <c r="BH120" s="646">
        <v>0.92425394577463549</v>
      </c>
      <c r="BI120" s="646">
        <v>3600</v>
      </c>
      <c r="BJ120" s="563" t="s">
        <v>71</v>
      </c>
      <c r="BK120" s="563">
        <v>3</v>
      </c>
      <c r="BL120" s="563">
        <v>0</v>
      </c>
      <c r="BM120" s="563">
        <v>0</v>
      </c>
      <c r="BN120" s="563">
        <v>0</v>
      </c>
      <c r="BO120" s="650">
        <v>7121.6437151947848</v>
      </c>
      <c r="BP120" s="563">
        <v>0</v>
      </c>
      <c r="BQ120" s="563">
        <v>0</v>
      </c>
      <c r="BR120" s="563">
        <v>0</v>
      </c>
      <c r="BS120" s="650">
        <v>7697.4372825079781</v>
      </c>
      <c r="BT120" s="564">
        <v>4000</v>
      </c>
      <c r="BU120" s="565">
        <v>126.08258516407037</v>
      </c>
      <c r="BV120" s="649">
        <v>3.0144000000000002</v>
      </c>
      <c r="BW120" s="646">
        <v>24.668521444711814</v>
      </c>
      <c r="BX120" s="646">
        <v>0</v>
      </c>
      <c r="BY120" s="646">
        <v>0</v>
      </c>
      <c r="BZ120" s="646">
        <v>18.388971362153356</v>
      </c>
      <c r="CA120" s="646">
        <v>0.84013259217463554</v>
      </c>
      <c r="CB120" s="646">
        <v>3600</v>
      </c>
      <c r="CC120" s="563" t="s">
        <v>1584</v>
      </c>
      <c r="CD120" s="563">
        <v>2</v>
      </c>
      <c r="CE120" s="563">
        <v>0</v>
      </c>
      <c r="CF120" s="563">
        <v>0</v>
      </c>
      <c r="CG120" s="563">
        <v>0</v>
      </c>
      <c r="CH120" s="650">
        <v>5074.2782138411176</v>
      </c>
      <c r="CI120" s="563">
        <v>0</v>
      </c>
      <c r="CJ120" s="563">
        <v>0</v>
      </c>
      <c r="CK120" s="563">
        <v>0</v>
      </c>
      <c r="CL120" s="650">
        <v>5011.2113323972098</v>
      </c>
      <c r="CM120" s="564">
        <v>4000</v>
      </c>
      <c r="CN120" s="565">
        <v>126.08258516407037</v>
      </c>
      <c r="CO120" s="649">
        <v>3.0144000000000002</v>
      </c>
      <c r="CP120" s="646">
        <v>24.668521444711814</v>
      </c>
      <c r="CQ120" s="646">
        <v>0</v>
      </c>
      <c r="CR120" s="646">
        <v>0</v>
      </c>
      <c r="CS120" s="646">
        <v>18.388971362153356</v>
      </c>
      <c r="CT120" s="646">
        <v>0.84013259217463554</v>
      </c>
      <c r="CU120" s="646">
        <v>3600</v>
      </c>
      <c r="CV120" s="563" t="s">
        <v>1584</v>
      </c>
      <c r="CW120" s="563">
        <v>2</v>
      </c>
      <c r="CX120" s="563">
        <v>0</v>
      </c>
      <c r="CY120" s="563">
        <v>0</v>
      </c>
      <c r="CZ120" s="563">
        <v>0</v>
      </c>
      <c r="DA120" s="650">
        <v>5074.2782138411176</v>
      </c>
      <c r="DB120" s="563">
        <v>0</v>
      </c>
      <c r="DC120" s="563">
        <v>0</v>
      </c>
      <c r="DD120" s="563">
        <v>0</v>
      </c>
      <c r="DE120" s="650">
        <v>5011.2113323972098</v>
      </c>
      <c r="DF120" s="564">
        <v>4000</v>
      </c>
      <c r="DG120" s="565">
        <v>126.08258516407037</v>
      </c>
      <c r="DH120" s="649">
        <v>3.0144000000000002</v>
      </c>
      <c r="DI120" s="646">
        <v>24.668521444711814</v>
      </c>
      <c r="DJ120" s="646">
        <v>0</v>
      </c>
      <c r="DK120" s="646">
        <v>0</v>
      </c>
      <c r="DL120" s="646">
        <v>18.388971362153356</v>
      </c>
      <c r="DM120" s="646">
        <v>0.84013259217463554</v>
      </c>
      <c r="DN120" s="646">
        <v>3600</v>
      </c>
      <c r="DO120" s="563" t="s">
        <v>1585</v>
      </c>
      <c r="DP120" s="563">
        <v>2</v>
      </c>
      <c r="DQ120" s="563">
        <v>0</v>
      </c>
      <c r="DR120" s="563">
        <v>0</v>
      </c>
      <c r="DS120" s="563">
        <v>0</v>
      </c>
      <c r="DT120" s="650">
        <v>5424.6315889608486</v>
      </c>
      <c r="DU120" s="563">
        <v>0</v>
      </c>
      <c r="DV120" s="563">
        <v>0</v>
      </c>
      <c r="DW120" s="563">
        <v>0</v>
      </c>
      <c r="DX120" s="650">
        <v>5357.2102567281863</v>
      </c>
      <c r="DY120" s="564">
        <v>4000</v>
      </c>
      <c r="DZ120" s="565">
        <v>126.08258516407037</v>
      </c>
      <c r="EA120" s="649">
        <v>3.0144000000000002</v>
      </c>
      <c r="EB120" s="646">
        <v>24.668521444711814</v>
      </c>
      <c r="EC120" s="646">
        <v>0</v>
      </c>
      <c r="ED120" s="646">
        <v>0</v>
      </c>
      <c r="EE120" s="646">
        <v>18.388971362153356</v>
      </c>
      <c r="EF120" s="646">
        <v>0.84013259217463554</v>
      </c>
      <c r="EG120" s="646">
        <v>3600</v>
      </c>
      <c r="EH120" s="563" t="s">
        <v>1585</v>
      </c>
      <c r="EI120" s="563">
        <v>2</v>
      </c>
      <c r="EJ120" s="563">
        <v>0</v>
      </c>
      <c r="EK120" s="563">
        <v>0</v>
      </c>
      <c r="EL120" s="563">
        <v>0</v>
      </c>
      <c r="EM120" s="650">
        <v>5424.6315889608486</v>
      </c>
      <c r="EN120" s="563">
        <v>0</v>
      </c>
      <c r="EO120" s="563">
        <v>0</v>
      </c>
      <c r="EP120" s="563">
        <v>0</v>
      </c>
      <c r="EQ120" s="650">
        <v>5357.2102567281863</v>
      </c>
      <c r="ER120" s="564">
        <v>4000</v>
      </c>
      <c r="ES120" s="565">
        <v>126.08258516407037</v>
      </c>
      <c r="ET120" s="649">
        <v>3.0144000000000002</v>
      </c>
      <c r="EU120" s="646">
        <v>24.668521444711814</v>
      </c>
      <c r="EV120" s="646">
        <v>0</v>
      </c>
      <c r="EW120" s="646">
        <v>0</v>
      </c>
      <c r="EX120" s="646">
        <v>18.388971362153356</v>
      </c>
      <c r="EY120" s="646">
        <v>0.84013259217463554</v>
      </c>
      <c r="EZ120" s="646">
        <v>3600</v>
      </c>
      <c r="FA120" s="563" t="s">
        <v>1586</v>
      </c>
      <c r="FB120" s="563">
        <v>2</v>
      </c>
      <c r="FC120" s="563">
        <v>0</v>
      </c>
      <c r="FD120" s="563">
        <v>0</v>
      </c>
      <c r="FE120" s="563">
        <v>0</v>
      </c>
      <c r="FF120" s="650">
        <v>5536.4914314722892</v>
      </c>
      <c r="FG120" s="563">
        <v>0</v>
      </c>
      <c r="FH120" s="563">
        <v>0</v>
      </c>
      <c r="FI120" s="563">
        <v>0</v>
      </c>
      <c r="FJ120" s="650">
        <v>5467.6798224112026</v>
      </c>
      <c r="FK120" s="564">
        <v>4000</v>
      </c>
      <c r="FL120" s="565">
        <v>126.08258516407037</v>
      </c>
      <c r="FM120" s="649">
        <v>3.0144000000000002</v>
      </c>
      <c r="FN120" s="646">
        <v>24.668521444711814</v>
      </c>
      <c r="FO120" s="646">
        <v>0</v>
      </c>
      <c r="FP120" s="646">
        <v>0</v>
      </c>
      <c r="FQ120" s="646">
        <v>18.388971362153356</v>
      </c>
      <c r="FR120" s="646">
        <v>0.84013259217463554</v>
      </c>
      <c r="FS120" s="646">
        <v>3600</v>
      </c>
      <c r="FT120" s="563" t="s">
        <v>1586</v>
      </c>
      <c r="FU120" s="563">
        <v>2</v>
      </c>
      <c r="FV120" s="563">
        <v>0</v>
      </c>
      <c r="FW120" s="563">
        <v>0</v>
      </c>
      <c r="FX120" s="563">
        <v>0</v>
      </c>
      <c r="FY120" s="650">
        <v>5536.4914314722892</v>
      </c>
      <c r="FZ120" s="563">
        <v>0</v>
      </c>
      <c r="GA120" s="563">
        <v>0</v>
      </c>
      <c r="GB120" s="563">
        <v>0</v>
      </c>
      <c r="GC120" s="650">
        <v>5467.6798224112026</v>
      </c>
      <c r="GD120" s="564">
        <v>4000</v>
      </c>
      <c r="GE120" s="565">
        <v>126.08258516407037</v>
      </c>
      <c r="GF120" s="649">
        <v>3.0144000000000002</v>
      </c>
      <c r="GG120" s="646">
        <v>24.668521444711814</v>
      </c>
      <c r="GH120" s="646">
        <v>0</v>
      </c>
      <c r="GI120" s="646">
        <v>0</v>
      </c>
      <c r="GJ120" s="646">
        <v>18.388971362153356</v>
      </c>
      <c r="GK120" s="646">
        <v>0.84013259217463554</v>
      </c>
      <c r="GL120" s="646">
        <v>3600</v>
      </c>
      <c r="GM120" s="563" t="s">
        <v>1587</v>
      </c>
      <c r="GN120" s="563">
        <v>2</v>
      </c>
      <c r="GO120" s="563">
        <v>0</v>
      </c>
      <c r="GP120" s="563">
        <v>0</v>
      </c>
      <c r="GQ120" s="563">
        <v>0</v>
      </c>
      <c r="GR120" s="650">
        <v>7427.9827185730492</v>
      </c>
      <c r="GS120" s="563">
        <v>0</v>
      </c>
      <c r="GT120" s="563">
        <v>0</v>
      </c>
      <c r="GU120" s="563">
        <v>0</v>
      </c>
      <c r="GV120" s="650">
        <v>7335.6622572704309</v>
      </c>
      <c r="GW120" s="564">
        <v>4000</v>
      </c>
      <c r="GX120" s="565">
        <v>126.08258516407037</v>
      </c>
      <c r="GY120" s="649">
        <v>3.0144000000000002</v>
      </c>
      <c r="GZ120" s="646">
        <v>24.668521444711814</v>
      </c>
      <c r="HA120" s="646">
        <v>0</v>
      </c>
      <c r="HB120" s="646">
        <v>0</v>
      </c>
      <c r="HC120" s="646">
        <v>18.388971362153356</v>
      </c>
      <c r="HD120" s="646">
        <v>0.84013259217463554</v>
      </c>
      <c r="HE120" s="646">
        <v>3600</v>
      </c>
      <c r="HF120" s="563" t="s">
        <v>1587</v>
      </c>
      <c r="HG120" s="563">
        <v>2</v>
      </c>
      <c r="HH120" s="563">
        <v>0</v>
      </c>
      <c r="HI120" s="563">
        <v>0</v>
      </c>
      <c r="HJ120" s="563">
        <v>0</v>
      </c>
      <c r="HK120" s="650">
        <v>7427.9827185730492</v>
      </c>
      <c r="HL120" s="563">
        <v>0</v>
      </c>
      <c r="HM120" s="563">
        <v>0</v>
      </c>
      <c r="HN120" s="563">
        <v>0</v>
      </c>
      <c r="HO120" s="650">
        <v>7335.6622572704309</v>
      </c>
      <c r="HP120" s="564">
        <v>4000</v>
      </c>
      <c r="HQ120" s="565">
        <v>126.08258516407037</v>
      </c>
      <c r="HR120" s="649">
        <v>3.0144000000000002</v>
      </c>
      <c r="HS120" s="646">
        <v>24.668521444711814</v>
      </c>
      <c r="HT120" s="646">
        <v>0</v>
      </c>
      <c r="HU120" s="646">
        <v>0</v>
      </c>
      <c r="HV120" s="646">
        <v>18.388971362153356</v>
      </c>
      <c r="HW120" s="646">
        <v>0.84013259217463554</v>
      </c>
      <c r="HX120" s="646">
        <v>3600</v>
      </c>
      <c r="HY120" s="563" t="s">
        <v>68</v>
      </c>
      <c r="HZ120" s="563">
        <v>2</v>
      </c>
      <c r="IA120" s="563">
        <v>0</v>
      </c>
      <c r="IB120" s="563">
        <v>0</v>
      </c>
      <c r="IC120" s="563">
        <v>0</v>
      </c>
      <c r="ID120" s="650">
        <v>6550.8650054099207</v>
      </c>
      <c r="IE120" s="563">
        <v>0</v>
      </c>
      <c r="IF120" s="563">
        <v>0</v>
      </c>
      <c r="IG120" s="563">
        <v>0</v>
      </c>
      <c r="IH120" s="650">
        <v>6469.4460115667589</v>
      </c>
      <c r="II120" s="564">
        <v>4000</v>
      </c>
      <c r="IJ120" s="565">
        <v>126.08258516407037</v>
      </c>
      <c r="IK120" s="649">
        <v>3.0144000000000002</v>
      </c>
      <c r="IL120" s="646">
        <v>24.668521444711814</v>
      </c>
      <c r="IM120" s="646">
        <v>0</v>
      </c>
      <c r="IN120" s="646">
        <v>0</v>
      </c>
      <c r="IO120" s="646">
        <v>18.388971362153356</v>
      </c>
      <c r="IP120" s="646">
        <v>0.84013259217463554</v>
      </c>
      <c r="IQ120" s="646">
        <v>3600</v>
      </c>
      <c r="IR120" s="563" t="s">
        <v>68</v>
      </c>
      <c r="IS120" s="563">
        <v>2</v>
      </c>
      <c r="IT120" s="563">
        <v>0</v>
      </c>
      <c r="IU120" s="563">
        <v>0</v>
      </c>
      <c r="IV120" s="563">
        <v>0</v>
      </c>
      <c r="IW120" s="650">
        <v>6550.8650054099207</v>
      </c>
      <c r="IX120" s="563">
        <v>0</v>
      </c>
      <c r="IY120" s="563">
        <v>0</v>
      </c>
      <c r="IZ120" s="563">
        <v>0</v>
      </c>
      <c r="JA120" s="650">
        <v>6469.4460115667589</v>
      </c>
      <c r="JB120" s="564">
        <v>4000</v>
      </c>
      <c r="JC120" s="565">
        <v>126.08258516407037</v>
      </c>
      <c r="JD120" s="649">
        <v>3.0144000000000002</v>
      </c>
      <c r="JE120" s="646">
        <v>24.668521444711814</v>
      </c>
      <c r="JF120" s="646">
        <v>0</v>
      </c>
      <c r="JG120" s="646">
        <v>0</v>
      </c>
      <c r="JH120" s="646">
        <v>18.388971362153356</v>
      </c>
      <c r="JI120" s="646">
        <v>0.84013259217463554</v>
      </c>
      <c r="JJ120" s="646">
        <v>3600</v>
      </c>
      <c r="JK120" s="563" t="s">
        <v>67</v>
      </c>
      <c r="JL120" s="563">
        <v>2</v>
      </c>
      <c r="JM120" s="563">
        <v>0</v>
      </c>
      <c r="JN120" s="563">
        <v>0</v>
      </c>
      <c r="JO120" s="563">
        <v>0</v>
      </c>
      <c r="JP120" s="650">
        <v>8927.324188357612</v>
      </c>
      <c r="JQ120" s="563">
        <v>0</v>
      </c>
      <c r="JR120" s="563">
        <v>0</v>
      </c>
      <c r="JS120" s="563">
        <v>0</v>
      </c>
      <c r="JT120" s="650">
        <v>8816.3688026914824</v>
      </c>
      <c r="JU120" s="564">
        <v>4000</v>
      </c>
      <c r="JV120" s="565">
        <v>126.08258516407037</v>
      </c>
      <c r="JW120" s="649">
        <v>3.0144000000000002</v>
      </c>
      <c r="JX120" s="646">
        <v>24.668521444711814</v>
      </c>
      <c r="JY120" s="646">
        <v>0</v>
      </c>
      <c r="JZ120" s="646">
        <v>0</v>
      </c>
      <c r="KA120" s="646">
        <v>18.388971362153356</v>
      </c>
      <c r="KB120" s="646">
        <v>0.84013259217463554</v>
      </c>
      <c r="KC120" s="646">
        <v>3600</v>
      </c>
      <c r="KD120" s="563" t="s">
        <v>67</v>
      </c>
      <c r="KE120" s="563">
        <v>2</v>
      </c>
      <c r="KF120" s="563">
        <v>0</v>
      </c>
      <c r="KG120" s="563">
        <v>0</v>
      </c>
      <c r="KH120" s="563">
        <v>0</v>
      </c>
      <c r="KI120" s="650">
        <v>8927.324188357612</v>
      </c>
      <c r="KJ120" s="563">
        <v>0</v>
      </c>
      <c r="KK120" s="563">
        <v>0</v>
      </c>
      <c r="KL120" s="563">
        <v>0</v>
      </c>
      <c r="KM120" s="650">
        <v>8816.3688026914824</v>
      </c>
      <c r="KN120" s="564">
        <v>4000</v>
      </c>
      <c r="KO120" s="566">
        <v>126.08258516407037</v>
      </c>
    </row>
    <row r="121" spans="1:301" ht="15" customHeight="1">
      <c r="A121" s="663" t="s">
        <v>875</v>
      </c>
      <c r="B121" s="629" t="s">
        <v>383</v>
      </c>
      <c r="C121" s="629">
        <v>305</v>
      </c>
      <c r="D121" s="629">
        <v>602</v>
      </c>
      <c r="E121" s="629">
        <v>320</v>
      </c>
      <c r="F121" s="629">
        <v>305</v>
      </c>
      <c r="G121" s="629">
        <v>99</v>
      </c>
      <c r="H121" s="629">
        <v>85</v>
      </c>
      <c r="I121" s="629">
        <v>85</v>
      </c>
      <c r="J121" s="629">
        <v>40.69</v>
      </c>
      <c r="K121" s="629">
        <v>65.11</v>
      </c>
      <c r="L121" s="629">
        <v>16</v>
      </c>
      <c r="M121" s="629">
        <v>181</v>
      </c>
      <c r="N121" s="629">
        <v>2</v>
      </c>
      <c r="O121" s="623">
        <v>3.2060446259930453</v>
      </c>
      <c r="P121" s="629">
        <v>2</v>
      </c>
      <c r="Q121" s="623">
        <v>2.0515141596585096</v>
      </c>
      <c r="R121" s="629">
        <v>13.000000000000002</v>
      </c>
      <c r="S121" s="629">
        <v>442.75295733824493</v>
      </c>
      <c r="T121" s="645">
        <v>15.711796006824745</v>
      </c>
      <c r="U121" s="645">
        <v>66.412943600736739</v>
      </c>
      <c r="V121" s="645">
        <v>72.5</v>
      </c>
      <c r="W121" s="793">
        <v>1.4786461866999729</v>
      </c>
      <c r="X121" s="646">
        <v>0</v>
      </c>
      <c r="Y121" s="646">
        <v>0</v>
      </c>
      <c r="Z121" s="646">
        <v>0</v>
      </c>
      <c r="AA121" s="646">
        <v>0</v>
      </c>
      <c r="AB121" s="647">
        <v>2.501745473999466</v>
      </c>
      <c r="AC121" s="784">
        <v>4000</v>
      </c>
      <c r="AD121" s="631">
        <v>2.8183037862581872</v>
      </c>
      <c r="AE121" s="631">
        <v>0.85983208191463634</v>
      </c>
      <c r="AF121" s="631">
        <v>-0.15084823504160252</v>
      </c>
      <c r="AG121" s="631">
        <v>0.49631509208355018</v>
      </c>
      <c r="AH121" s="629"/>
      <c r="AI121" s="648">
        <v>1.48472241573146</v>
      </c>
      <c r="AJ121" s="649">
        <v>5.7970680000000003</v>
      </c>
      <c r="AK121" s="646">
        <v>28.245068979176271</v>
      </c>
      <c r="AL121" s="646">
        <v>0</v>
      </c>
      <c r="AM121" s="646">
        <v>0</v>
      </c>
      <c r="AN121" s="646">
        <v>23.957041711605559</v>
      </c>
      <c r="AO121" s="646">
        <v>1.0444946371550827</v>
      </c>
      <c r="AP121" s="801">
        <v>3600</v>
      </c>
      <c r="AQ121" s="563" t="s">
        <v>71</v>
      </c>
      <c r="AR121" s="563">
        <v>3</v>
      </c>
      <c r="AS121" s="563">
        <v>0</v>
      </c>
      <c r="AT121" s="563">
        <v>0</v>
      </c>
      <c r="AU121" s="563">
        <v>0</v>
      </c>
      <c r="AV121" s="650">
        <v>4839.2426024087999</v>
      </c>
      <c r="AW121" s="563">
        <v>0</v>
      </c>
      <c r="AX121" s="563">
        <v>0</v>
      </c>
      <c r="AY121" s="563">
        <v>0</v>
      </c>
      <c r="AZ121" s="650">
        <v>4997.8396771630314</v>
      </c>
      <c r="BA121" s="564">
        <v>4000</v>
      </c>
      <c r="BB121" s="565">
        <v>126.08258516407037</v>
      </c>
      <c r="BC121" s="649">
        <v>5.7970680000000003</v>
      </c>
      <c r="BD121" s="646">
        <v>28.245068979176271</v>
      </c>
      <c r="BE121" s="646">
        <v>0</v>
      </c>
      <c r="BF121" s="646">
        <v>0</v>
      </c>
      <c r="BG121" s="646">
        <v>23.957041711605559</v>
      </c>
      <c r="BH121" s="646">
        <v>1.0444946371550827</v>
      </c>
      <c r="BI121" s="646">
        <v>3600</v>
      </c>
      <c r="BJ121" s="563" t="s">
        <v>71</v>
      </c>
      <c r="BK121" s="563">
        <v>3</v>
      </c>
      <c r="BL121" s="563">
        <v>0</v>
      </c>
      <c r="BM121" s="563">
        <v>0</v>
      </c>
      <c r="BN121" s="563">
        <v>0</v>
      </c>
      <c r="BO121" s="650">
        <v>4839.2426024087999</v>
      </c>
      <c r="BP121" s="563">
        <v>0</v>
      </c>
      <c r="BQ121" s="563">
        <v>0</v>
      </c>
      <c r="BR121" s="563">
        <v>0</v>
      </c>
      <c r="BS121" s="650">
        <v>4997.8396771630314</v>
      </c>
      <c r="BT121" s="564">
        <v>4000</v>
      </c>
      <c r="BU121" s="565">
        <v>126.08258516407037</v>
      </c>
      <c r="BV121" s="649">
        <v>5.7970680000000003</v>
      </c>
      <c r="BW121" s="646">
        <v>28.245068979176271</v>
      </c>
      <c r="BX121" s="646">
        <v>0</v>
      </c>
      <c r="BY121" s="646">
        <v>0</v>
      </c>
      <c r="BZ121" s="646">
        <v>23.957041711605559</v>
      </c>
      <c r="CA121" s="646">
        <v>1.0444946371550827</v>
      </c>
      <c r="CB121" s="646">
        <v>3600</v>
      </c>
      <c r="CC121" s="563" t="s">
        <v>1584</v>
      </c>
      <c r="CD121" s="563">
        <v>3</v>
      </c>
      <c r="CE121" s="563">
        <v>0</v>
      </c>
      <c r="CF121" s="563">
        <v>0</v>
      </c>
      <c r="CG121" s="563">
        <v>0</v>
      </c>
      <c r="CH121" s="650">
        <v>4498.1534417728126</v>
      </c>
      <c r="CI121" s="563">
        <v>0</v>
      </c>
      <c r="CJ121" s="563">
        <v>0</v>
      </c>
      <c r="CK121" s="563">
        <v>0</v>
      </c>
      <c r="CL121" s="650">
        <v>4645.5719608000973</v>
      </c>
      <c r="CM121" s="564">
        <v>4000</v>
      </c>
      <c r="CN121" s="565">
        <v>126.08258516407037</v>
      </c>
      <c r="CO121" s="649">
        <v>5.7970680000000003</v>
      </c>
      <c r="CP121" s="646">
        <v>28.245068979176271</v>
      </c>
      <c r="CQ121" s="646">
        <v>0</v>
      </c>
      <c r="CR121" s="646">
        <v>0</v>
      </c>
      <c r="CS121" s="646">
        <v>23.957041711605559</v>
      </c>
      <c r="CT121" s="646">
        <v>1.0444946371550827</v>
      </c>
      <c r="CU121" s="646">
        <v>3600</v>
      </c>
      <c r="CV121" s="563" t="s">
        <v>1584</v>
      </c>
      <c r="CW121" s="563">
        <v>3</v>
      </c>
      <c r="CX121" s="563">
        <v>0</v>
      </c>
      <c r="CY121" s="563">
        <v>0</v>
      </c>
      <c r="CZ121" s="563">
        <v>0</v>
      </c>
      <c r="DA121" s="650">
        <v>4498.1534417728126</v>
      </c>
      <c r="DB121" s="563">
        <v>0</v>
      </c>
      <c r="DC121" s="563">
        <v>0</v>
      </c>
      <c r="DD121" s="563">
        <v>0</v>
      </c>
      <c r="DE121" s="650">
        <v>4645.5719608000973</v>
      </c>
      <c r="DF121" s="564">
        <v>4000</v>
      </c>
      <c r="DG121" s="565">
        <v>126.08258516407037</v>
      </c>
      <c r="DH121" s="649">
        <v>3.8647120000000004</v>
      </c>
      <c r="DI121" s="646">
        <v>26.312712979176272</v>
      </c>
      <c r="DJ121" s="646">
        <v>0</v>
      </c>
      <c r="DK121" s="646">
        <v>0</v>
      </c>
      <c r="DL121" s="646">
        <v>22.595281837787699</v>
      </c>
      <c r="DM121" s="646">
        <v>0.93448826706458288</v>
      </c>
      <c r="DN121" s="646">
        <v>3600</v>
      </c>
      <c r="DO121" s="563" t="s">
        <v>1585</v>
      </c>
      <c r="DP121" s="563">
        <v>2</v>
      </c>
      <c r="DQ121" s="563">
        <v>0</v>
      </c>
      <c r="DR121" s="563">
        <v>0</v>
      </c>
      <c r="DS121" s="563">
        <v>0</v>
      </c>
      <c r="DT121" s="650">
        <v>3859.0899596222011</v>
      </c>
      <c r="DU121" s="563">
        <v>0</v>
      </c>
      <c r="DV121" s="563">
        <v>0</v>
      </c>
      <c r="DW121" s="563">
        <v>0</v>
      </c>
      <c r="DX121" s="650">
        <v>3974.6600349594542</v>
      </c>
      <c r="DY121" s="564">
        <v>3859.0899596222011</v>
      </c>
      <c r="DZ121" s="565">
        <v>121.64100962246877</v>
      </c>
      <c r="EA121" s="649">
        <v>3.8647120000000004</v>
      </c>
      <c r="EB121" s="646">
        <v>26.312712979176272</v>
      </c>
      <c r="EC121" s="646">
        <v>0</v>
      </c>
      <c r="ED121" s="646">
        <v>0</v>
      </c>
      <c r="EE121" s="646">
        <v>22.595281837787699</v>
      </c>
      <c r="EF121" s="646">
        <v>0.93448826706458288</v>
      </c>
      <c r="EG121" s="646">
        <v>3600</v>
      </c>
      <c r="EH121" s="563" t="s">
        <v>1585</v>
      </c>
      <c r="EI121" s="563">
        <v>2</v>
      </c>
      <c r="EJ121" s="563">
        <v>0</v>
      </c>
      <c r="EK121" s="563">
        <v>0</v>
      </c>
      <c r="EL121" s="563">
        <v>0</v>
      </c>
      <c r="EM121" s="650">
        <v>3859.0899596222011</v>
      </c>
      <c r="EN121" s="563">
        <v>0</v>
      </c>
      <c r="EO121" s="563">
        <v>0</v>
      </c>
      <c r="EP121" s="563">
        <v>0</v>
      </c>
      <c r="EQ121" s="650">
        <v>3974.6600349594542</v>
      </c>
      <c r="ER121" s="564">
        <v>3859.0899596222011</v>
      </c>
      <c r="ES121" s="565">
        <v>121.64100962246877</v>
      </c>
      <c r="ET121" s="649">
        <v>3.8647120000000004</v>
      </c>
      <c r="EU121" s="646">
        <v>26.312712979176272</v>
      </c>
      <c r="EV121" s="646">
        <v>0</v>
      </c>
      <c r="EW121" s="646">
        <v>0</v>
      </c>
      <c r="EX121" s="646">
        <v>22.595281837787699</v>
      </c>
      <c r="EY121" s="646">
        <v>0.93448826706458288</v>
      </c>
      <c r="EZ121" s="646">
        <v>3600</v>
      </c>
      <c r="FA121" s="563" t="s">
        <v>1586</v>
      </c>
      <c r="FB121" s="563">
        <v>2</v>
      </c>
      <c r="FC121" s="563">
        <v>0</v>
      </c>
      <c r="FD121" s="563">
        <v>0</v>
      </c>
      <c r="FE121" s="563">
        <v>0</v>
      </c>
      <c r="FF121" s="650">
        <v>4050.564713861675</v>
      </c>
      <c r="FG121" s="563">
        <v>0</v>
      </c>
      <c r="FH121" s="563">
        <v>0</v>
      </c>
      <c r="FI121" s="563">
        <v>0</v>
      </c>
      <c r="FJ121" s="650">
        <v>4171.8689783482278</v>
      </c>
      <c r="FK121" s="564">
        <v>4000</v>
      </c>
      <c r="FL121" s="565">
        <v>126.08258516407037</v>
      </c>
      <c r="FM121" s="649">
        <v>3.8647120000000004</v>
      </c>
      <c r="FN121" s="646">
        <v>26.312712979176272</v>
      </c>
      <c r="FO121" s="646">
        <v>0</v>
      </c>
      <c r="FP121" s="646">
        <v>0</v>
      </c>
      <c r="FQ121" s="646">
        <v>22.595281837787699</v>
      </c>
      <c r="FR121" s="646">
        <v>0.93448826706458288</v>
      </c>
      <c r="FS121" s="646">
        <v>3600</v>
      </c>
      <c r="FT121" s="563" t="s">
        <v>1586</v>
      </c>
      <c r="FU121" s="563">
        <v>2</v>
      </c>
      <c r="FV121" s="563">
        <v>0</v>
      </c>
      <c r="FW121" s="563">
        <v>0</v>
      </c>
      <c r="FX121" s="563">
        <v>0</v>
      </c>
      <c r="FY121" s="650">
        <v>4050.564713861675</v>
      </c>
      <c r="FZ121" s="563">
        <v>0</v>
      </c>
      <c r="GA121" s="563">
        <v>0</v>
      </c>
      <c r="GB121" s="563">
        <v>0</v>
      </c>
      <c r="GC121" s="650">
        <v>4171.8689783482278</v>
      </c>
      <c r="GD121" s="564">
        <v>4000</v>
      </c>
      <c r="GE121" s="565">
        <v>126.08258516407037</v>
      </c>
      <c r="GF121" s="649">
        <v>3.8647120000000004</v>
      </c>
      <c r="GG121" s="646">
        <v>26.312712979176272</v>
      </c>
      <c r="GH121" s="646">
        <v>0</v>
      </c>
      <c r="GI121" s="646">
        <v>0</v>
      </c>
      <c r="GJ121" s="646">
        <v>22.595281837787699</v>
      </c>
      <c r="GK121" s="646">
        <v>0.93448826706458288</v>
      </c>
      <c r="GL121" s="646">
        <v>3600</v>
      </c>
      <c r="GM121" s="563" t="s">
        <v>1587</v>
      </c>
      <c r="GN121" s="563">
        <v>2</v>
      </c>
      <c r="GO121" s="563">
        <v>0</v>
      </c>
      <c r="GP121" s="563">
        <v>0</v>
      </c>
      <c r="GQ121" s="563">
        <v>0</v>
      </c>
      <c r="GR121" s="650">
        <v>4766.2865808579354</v>
      </c>
      <c r="GS121" s="563">
        <v>0</v>
      </c>
      <c r="GT121" s="563">
        <v>0</v>
      </c>
      <c r="GU121" s="563">
        <v>0</v>
      </c>
      <c r="GV121" s="650">
        <v>4909.0249220192336</v>
      </c>
      <c r="GW121" s="564">
        <v>4000</v>
      </c>
      <c r="GX121" s="565">
        <v>126.08258516407037</v>
      </c>
      <c r="GY121" s="649">
        <v>3.8647120000000004</v>
      </c>
      <c r="GZ121" s="646">
        <v>26.312712979176272</v>
      </c>
      <c r="HA121" s="646">
        <v>0</v>
      </c>
      <c r="HB121" s="646">
        <v>0</v>
      </c>
      <c r="HC121" s="646">
        <v>22.595281837787699</v>
      </c>
      <c r="HD121" s="646">
        <v>0.93448826706458288</v>
      </c>
      <c r="HE121" s="646">
        <v>3600</v>
      </c>
      <c r="HF121" s="563" t="s">
        <v>1587</v>
      </c>
      <c r="HG121" s="563">
        <v>2</v>
      </c>
      <c r="HH121" s="563">
        <v>0</v>
      </c>
      <c r="HI121" s="563">
        <v>0</v>
      </c>
      <c r="HJ121" s="563">
        <v>0</v>
      </c>
      <c r="HK121" s="650">
        <v>4766.2865808579354</v>
      </c>
      <c r="HL121" s="563">
        <v>0</v>
      </c>
      <c r="HM121" s="563">
        <v>0</v>
      </c>
      <c r="HN121" s="563">
        <v>0</v>
      </c>
      <c r="HO121" s="650">
        <v>4909.0249220192336</v>
      </c>
      <c r="HP121" s="564">
        <v>4000</v>
      </c>
      <c r="HQ121" s="565">
        <v>126.08258516407037</v>
      </c>
      <c r="HR121" s="649">
        <v>3.8647120000000004</v>
      </c>
      <c r="HS121" s="646">
        <v>26.312712979176272</v>
      </c>
      <c r="HT121" s="646">
        <v>0</v>
      </c>
      <c r="HU121" s="646">
        <v>0</v>
      </c>
      <c r="HV121" s="646">
        <v>22.595281837787699</v>
      </c>
      <c r="HW121" s="646">
        <v>0.93448826706458288</v>
      </c>
      <c r="HX121" s="646">
        <v>3600</v>
      </c>
      <c r="HY121" s="563" t="s">
        <v>68</v>
      </c>
      <c r="HZ121" s="563">
        <v>2</v>
      </c>
      <c r="IA121" s="563">
        <v>0</v>
      </c>
      <c r="IB121" s="563">
        <v>0</v>
      </c>
      <c r="IC121" s="563">
        <v>0</v>
      </c>
      <c r="ID121" s="650">
        <v>4203.4696567381498</v>
      </c>
      <c r="IE121" s="563">
        <v>0</v>
      </c>
      <c r="IF121" s="563">
        <v>0</v>
      </c>
      <c r="IG121" s="563">
        <v>0</v>
      </c>
      <c r="IH121" s="650">
        <v>4329.3530411603788</v>
      </c>
      <c r="II121" s="564">
        <v>4000</v>
      </c>
      <c r="IJ121" s="565">
        <v>126.08258516407037</v>
      </c>
      <c r="IK121" s="649">
        <v>3.8647120000000004</v>
      </c>
      <c r="IL121" s="646">
        <v>26.312712979176272</v>
      </c>
      <c r="IM121" s="646">
        <v>0</v>
      </c>
      <c r="IN121" s="646">
        <v>0</v>
      </c>
      <c r="IO121" s="646">
        <v>22.595281837787699</v>
      </c>
      <c r="IP121" s="646">
        <v>0.93448826706458288</v>
      </c>
      <c r="IQ121" s="646">
        <v>3600</v>
      </c>
      <c r="IR121" s="563" t="s">
        <v>68</v>
      </c>
      <c r="IS121" s="563">
        <v>2</v>
      </c>
      <c r="IT121" s="563">
        <v>0</v>
      </c>
      <c r="IU121" s="563">
        <v>0</v>
      </c>
      <c r="IV121" s="563">
        <v>0</v>
      </c>
      <c r="IW121" s="650">
        <v>4203.4696567381498</v>
      </c>
      <c r="IX121" s="563">
        <v>0</v>
      </c>
      <c r="IY121" s="563">
        <v>0</v>
      </c>
      <c r="IZ121" s="563">
        <v>0</v>
      </c>
      <c r="JA121" s="650">
        <v>4329.3530411603788</v>
      </c>
      <c r="JB121" s="564">
        <v>4000</v>
      </c>
      <c r="JC121" s="565">
        <v>126.08258516407037</v>
      </c>
      <c r="JD121" s="649">
        <v>3.8647120000000004</v>
      </c>
      <c r="JE121" s="646">
        <v>26.312712979176272</v>
      </c>
      <c r="JF121" s="646">
        <v>0</v>
      </c>
      <c r="JG121" s="646">
        <v>0</v>
      </c>
      <c r="JH121" s="646">
        <v>22.595281837787699</v>
      </c>
      <c r="JI121" s="646">
        <v>0.93448826706458288</v>
      </c>
      <c r="JJ121" s="646">
        <v>3600</v>
      </c>
      <c r="JK121" s="563" t="s">
        <v>67</v>
      </c>
      <c r="JL121" s="563">
        <v>2</v>
      </c>
      <c r="JM121" s="563">
        <v>0</v>
      </c>
      <c r="JN121" s="563">
        <v>0</v>
      </c>
      <c r="JO121" s="563">
        <v>0</v>
      </c>
      <c r="JP121" s="650">
        <v>5728.3635536130769</v>
      </c>
      <c r="JQ121" s="563">
        <v>0</v>
      </c>
      <c r="JR121" s="563">
        <v>0</v>
      </c>
      <c r="JS121" s="563">
        <v>0</v>
      </c>
      <c r="JT121" s="650">
        <v>5899.9136896236514</v>
      </c>
      <c r="JU121" s="564">
        <v>4000</v>
      </c>
      <c r="JV121" s="565">
        <v>126.08258516407037</v>
      </c>
      <c r="JW121" s="649">
        <v>3.8647120000000004</v>
      </c>
      <c r="JX121" s="646">
        <v>26.312712979176272</v>
      </c>
      <c r="JY121" s="646">
        <v>0</v>
      </c>
      <c r="JZ121" s="646">
        <v>0</v>
      </c>
      <c r="KA121" s="646">
        <v>22.595281837787699</v>
      </c>
      <c r="KB121" s="646">
        <v>0.93448826706458288</v>
      </c>
      <c r="KC121" s="646">
        <v>3600</v>
      </c>
      <c r="KD121" s="563" t="s">
        <v>67</v>
      </c>
      <c r="KE121" s="563">
        <v>2</v>
      </c>
      <c r="KF121" s="563">
        <v>0</v>
      </c>
      <c r="KG121" s="563">
        <v>0</v>
      </c>
      <c r="KH121" s="563">
        <v>0</v>
      </c>
      <c r="KI121" s="650">
        <v>5728.3635536130769</v>
      </c>
      <c r="KJ121" s="563">
        <v>0</v>
      </c>
      <c r="KK121" s="563">
        <v>0</v>
      </c>
      <c r="KL121" s="563">
        <v>0</v>
      </c>
      <c r="KM121" s="650">
        <v>5899.9136896236514</v>
      </c>
      <c r="KN121" s="564">
        <v>4000</v>
      </c>
      <c r="KO121" s="566">
        <v>126.08258516407037</v>
      </c>
    </row>
    <row r="122" spans="1:301" ht="15" customHeight="1">
      <c r="A122" s="663" t="s">
        <v>876</v>
      </c>
      <c r="B122" s="629" t="s">
        <v>383</v>
      </c>
      <c r="C122" s="629">
        <v>305</v>
      </c>
      <c r="D122" s="629">
        <v>602</v>
      </c>
      <c r="E122" s="629">
        <v>320</v>
      </c>
      <c r="F122" s="629">
        <v>305</v>
      </c>
      <c r="G122" s="629">
        <v>99</v>
      </c>
      <c r="H122" s="629">
        <v>85</v>
      </c>
      <c r="I122" s="629">
        <v>85</v>
      </c>
      <c r="J122" s="629">
        <v>40.69</v>
      </c>
      <c r="K122" s="629">
        <v>65.11</v>
      </c>
      <c r="L122" s="629">
        <v>16</v>
      </c>
      <c r="M122" s="629">
        <v>181</v>
      </c>
      <c r="N122" s="629">
        <v>2</v>
      </c>
      <c r="O122" s="623">
        <v>3.2060446259930453</v>
      </c>
      <c r="P122" s="629">
        <v>2</v>
      </c>
      <c r="Q122" s="623">
        <v>2.0515141596585096</v>
      </c>
      <c r="R122" s="629">
        <v>13.000000000000002</v>
      </c>
      <c r="S122" s="629">
        <v>442.75295733824493</v>
      </c>
      <c r="T122" s="645">
        <v>15.711796006824745</v>
      </c>
      <c r="U122" s="645">
        <v>66.412943600736739</v>
      </c>
      <c r="V122" s="645">
        <v>72.5</v>
      </c>
      <c r="W122" s="793">
        <v>1.4786461866999729</v>
      </c>
      <c r="X122" s="646">
        <v>0</v>
      </c>
      <c r="Y122" s="646">
        <v>0</v>
      </c>
      <c r="Z122" s="646">
        <v>0</v>
      </c>
      <c r="AA122" s="646">
        <v>0</v>
      </c>
      <c r="AB122" s="647">
        <v>2.501745473999466</v>
      </c>
      <c r="AC122" s="784">
        <v>4000</v>
      </c>
      <c r="AD122" s="631">
        <v>2.8183037862581872</v>
      </c>
      <c r="AE122" s="631">
        <v>0.85983208191463634</v>
      </c>
      <c r="AF122" s="631">
        <v>-0.15084823504160252</v>
      </c>
      <c r="AG122" s="631">
        <v>0.49631509208355018</v>
      </c>
      <c r="AH122" s="629"/>
      <c r="AI122" s="648">
        <v>1.48472241573146</v>
      </c>
      <c r="AJ122" s="649">
        <v>5.7970680000000003</v>
      </c>
      <c r="AK122" s="646">
        <v>28.245068979176271</v>
      </c>
      <c r="AL122" s="646">
        <v>0</v>
      </c>
      <c r="AM122" s="646">
        <v>0</v>
      </c>
      <c r="AN122" s="646">
        <v>23.957041711605559</v>
      </c>
      <c r="AO122" s="646">
        <v>1.0444946371550827</v>
      </c>
      <c r="AP122" s="801">
        <v>3600</v>
      </c>
      <c r="AQ122" s="563" t="s">
        <v>71</v>
      </c>
      <c r="AR122" s="563">
        <v>3</v>
      </c>
      <c r="AS122" s="563">
        <v>0</v>
      </c>
      <c r="AT122" s="563">
        <v>0</v>
      </c>
      <c r="AU122" s="563">
        <v>0</v>
      </c>
      <c r="AV122" s="650">
        <v>4839.2426024087999</v>
      </c>
      <c r="AW122" s="563">
        <v>0</v>
      </c>
      <c r="AX122" s="563">
        <v>0</v>
      </c>
      <c r="AY122" s="563">
        <v>0</v>
      </c>
      <c r="AZ122" s="650">
        <v>4997.8396771630314</v>
      </c>
      <c r="BA122" s="564">
        <v>4000</v>
      </c>
      <c r="BB122" s="565">
        <v>126.08258516407037</v>
      </c>
      <c r="BC122" s="649">
        <v>5.7970680000000003</v>
      </c>
      <c r="BD122" s="646">
        <v>28.245068979176271</v>
      </c>
      <c r="BE122" s="646">
        <v>0</v>
      </c>
      <c r="BF122" s="646">
        <v>0</v>
      </c>
      <c r="BG122" s="646">
        <v>23.957041711605559</v>
      </c>
      <c r="BH122" s="646">
        <v>1.0444946371550827</v>
      </c>
      <c r="BI122" s="646">
        <v>3600</v>
      </c>
      <c r="BJ122" s="563" t="s">
        <v>71</v>
      </c>
      <c r="BK122" s="563">
        <v>3</v>
      </c>
      <c r="BL122" s="563">
        <v>0</v>
      </c>
      <c r="BM122" s="563">
        <v>0</v>
      </c>
      <c r="BN122" s="563">
        <v>0</v>
      </c>
      <c r="BO122" s="650">
        <v>4839.2426024087999</v>
      </c>
      <c r="BP122" s="563">
        <v>0</v>
      </c>
      <c r="BQ122" s="563">
        <v>0</v>
      </c>
      <c r="BR122" s="563">
        <v>0</v>
      </c>
      <c r="BS122" s="650">
        <v>4997.8396771630314</v>
      </c>
      <c r="BT122" s="564">
        <v>4000</v>
      </c>
      <c r="BU122" s="565">
        <v>126.08258516407037</v>
      </c>
      <c r="BV122" s="649">
        <v>5.7970680000000003</v>
      </c>
      <c r="BW122" s="646">
        <v>28.245068979176271</v>
      </c>
      <c r="BX122" s="646">
        <v>0</v>
      </c>
      <c r="BY122" s="646">
        <v>0</v>
      </c>
      <c r="BZ122" s="646">
        <v>23.957041711605559</v>
      </c>
      <c r="CA122" s="646">
        <v>1.0444946371550827</v>
      </c>
      <c r="CB122" s="646">
        <v>3600</v>
      </c>
      <c r="CC122" s="563" t="s">
        <v>1584</v>
      </c>
      <c r="CD122" s="563">
        <v>3</v>
      </c>
      <c r="CE122" s="563">
        <v>0</v>
      </c>
      <c r="CF122" s="563">
        <v>0</v>
      </c>
      <c r="CG122" s="563">
        <v>0</v>
      </c>
      <c r="CH122" s="650">
        <v>4415.970478598405</v>
      </c>
      <c r="CI122" s="563">
        <v>0</v>
      </c>
      <c r="CJ122" s="563">
        <v>0</v>
      </c>
      <c r="CK122" s="563">
        <v>0</v>
      </c>
      <c r="CL122" s="650">
        <v>4345.534660729365</v>
      </c>
      <c r="CM122" s="564">
        <v>4000</v>
      </c>
      <c r="CN122" s="565">
        <v>126.08258516407037</v>
      </c>
      <c r="CO122" s="649">
        <v>5.7970680000000003</v>
      </c>
      <c r="CP122" s="646">
        <v>28.245068979176271</v>
      </c>
      <c r="CQ122" s="646">
        <v>0</v>
      </c>
      <c r="CR122" s="646">
        <v>0</v>
      </c>
      <c r="CS122" s="646">
        <v>23.957041711605559</v>
      </c>
      <c r="CT122" s="646">
        <v>1.0444946371550827</v>
      </c>
      <c r="CU122" s="646">
        <v>3600</v>
      </c>
      <c r="CV122" s="563" t="s">
        <v>1584</v>
      </c>
      <c r="CW122" s="563">
        <v>3</v>
      </c>
      <c r="CX122" s="563">
        <v>0</v>
      </c>
      <c r="CY122" s="563">
        <v>0</v>
      </c>
      <c r="CZ122" s="563">
        <v>0</v>
      </c>
      <c r="DA122" s="650">
        <v>4415.970478598405</v>
      </c>
      <c r="DB122" s="563">
        <v>0</v>
      </c>
      <c r="DC122" s="563">
        <v>0</v>
      </c>
      <c r="DD122" s="563">
        <v>0</v>
      </c>
      <c r="DE122" s="650">
        <v>4345.534660729365</v>
      </c>
      <c r="DF122" s="564">
        <v>4000</v>
      </c>
      <c r="DG122" s="565">
        <v>126.08258516407037</v>
      </c>
      <c r="DH122" s="649">
        <v>5.7970680000000003</v>
      </c>
      <c r="DI122" s="646">
        <v>28.245068979176271</v>
      </c>
      <c r="DJ122" s="646">
        <v>0</v>
      </c>
      <c r="DK122" s="646">
        <v>0</v>
      </c>
      <c r="DL122" s="646">
        <v>23.957041711605559</v>
      </c>
      <c r="DM122" s="646">
        <v>1.0444946371550827</v>
      </c>
      <c r="DN122" s="646">
        <v>3600</v>
      </c>
      <c r="DO122" s="563" t="s">
        <v>1585</v>
      </c>
      <c r="DP122" s="563">
        <v>3</v>
      </c>
      <c r="DQ122" s="563">
        <v>0</v>
      </c>
      <c r="DR122" s="563">
        <v>0</v>
      </c>
      <c r="DS122" s="563">
        <v>0</v>
      </c>
      <c r="DT122" s="650">
        <v>4720.8710174262751</v>
      </c>
      <c r="DU122" s="563">
        <v>0</v>
      </c>
      <c r="DV122" s="563">
        <v>0</v>
      </c>
      <c r="DW122" s="563">
        <v>0</v>
      </c>
      <c r="DX122" s="650">
        <v>4645.571960799969</v>
      </c>
      <c r="DY122" s="564">
        <v>4000</v>
      </c>
      <c r="DZ122" s="565">
        <v>126.08258516407037</v>
      </c>
      <c r="EA122" s="649">
        <v>5.7970680000000003</v>
      </c>
      <c r="EB122" s="646">
        <v>28.245068979176271</v>
      </c>
      <c r="EC122" s="646">
        <v>0</v>
      </c>
      <c r="ED122" s="646">
        <v>0</v>
      </c>
      <c r="EE122" s="646">
        <v>23.957041711605559</v>
      </c>
      <c r="EF122" s="646">
        <v>1.0444946371550827</v>
      </c>
      <c r="EG122" s="646">
        <v>3600</v>
      </c>
      <c r="EH122" s="563" t="s">
        <v>1585</v>
      </c>
      <c r="EI122" s="563">
        <v>3</v>
      </c>
      <c r="EJ122" s="563">
        <v>0</v>
      </c>
      <c r="EK122" s="563">
        <v>0</v>
      </c>
      <c r="EL122" s="563">
        <v>0</v>
      </c>
      <c r="EM122" s="650">
        <v>4720.8710174262751</v>
      </c>
      <c r="EN122" s="563">
        <v>0</v>
      </c>
      <c r="EO122" s="563">
        <v>0</v>
      </c>
      <c r="EP122" s="563">
        <v>0</v>
      </c>
      <c r="EQ122" s="650">
        <v>4645.571960799969</v>
      </c>
      <c r="ER122" s="564">
        <v>4000</v>
      </c>
      <c r="ES122" s="565">
        <v>126.08258516407037</v>
      </c>
      <c r="ET122" s="649">
        <v>5.7970680000000003</v>
      </c>
      <c r="EU122" s="646">
        <v>28.245068979176271</v>
      </c>
      <c r="EV122" s="646">
        <v>0</v>
      </c>
      <c r="EW122" s="646">
        <v>0</v>
      </c>
      <c r="EX122" s="646">
        <v>23.957041711605559</v>
      </c>
      <c r="EY122" s="646">
        <v>1.0444946371550827</v>
      </c>
      <c r="EZ122" s="646">
        <v>3600</v>
      </c>
      <c r="FA122" s="563" t="s">
        <v>1586</v>
      </c>
      <c r="FB122" s="563">
        <v>3</v>
      </c>
      <c r="FC122" s="563">
        <v>0</v>
      </c>
      <c r="FD122" s="563">
        <v>0</v>
      </c>
      <c r="FE122" s="563">
        <v>0</v>
      </c>
      <c r="FF122" s="650">
        <v>4818.2188059219598</v>
      </c>
      <c r="FG122" s="563">
        <v>0</v>
      </c>
      <c r="FH122" s="563">
        <v>0</v>
      </c>
      <c r="FI122" s="563">
        <v>0</v>
      </c>
      <c r="FJ122" s="650">
        <v>4741.3670280587066</v>
      </c>
      <c r="FK122" s="564">
        <v>4000</v>
      </c>
      <c r="FL122" s="565">
        <v>126.08258516407037</v>
      </c>
      <c r="FM122" s="649">
        <v>5.7970680000000003</v>
      </c>
      <c r="FN122" s="646">
        <v>28.245068979176271</v>
      </c>
      <c r="FO122" s="646">
        <v>0</v>
      </c>
      <c r="FP122" s="646">
        <v>0</v>
      </c>
      <c r="FQ122" s="646">
        <v>23.957041711605559</v>
      </c>
      <c r="FR122" s="646">
        <v>1.0444946371550827</v>
      </c>
      <c r="FS122" s="646">
        <v>3600</v>
      </c>
      <c r="FT122" s="563" t="s">
        <v>1586</v>
      </c>
      <c r="FU122" s="563">
        <v>3</v>
      </c>
      <c r="FV122" s="563">
        <v>0</v>
      </c>
      <c r="FW122" s="563">
        <v>0</v>
      </c>
      <c r="FX122" s="563">
        <v>0</v>
      </c>
      <c r="FY122" s="650">
        <v>4818.2188059219598</v>
      </c>
      <c r="FZ122" s="563">
        <v>0</v>
      </c>
      <c r="GA122" s="563">
        <v>0</v>
      </c>
      <c r="GB122" s="563">
        <v>0</v>
      </c>
      <c r="GC122" s="650">
        <v>4741.3670280587066</v>
      </c>
      <c r="GD122" s="564">
        <v>4000</v>
      </c>
      <c r="GE122" s="565">
        <v>126.08258516407037</v>
      </c>
      <c r="GF122" s="649">
        <v>3.8647120000000004</v>
      </c>
      <c r="GG122" s="646">
        <v>26.312712979176272</v>
      </c>
      <c r="GH122" s="646">
        <v>0</v>
      </c>
      <c r="GI122" s="646">
        <v>0</v>
      </c>
      <c r="GJ122" s="646">
        <v>22.595281837787699</v>
      </c>
      <c r="GK122" s="646">
        <v>0.93448826706458288</v>
      </c>
      <c r="GL122" s="646">
        <v>3600</v>
      </c>
      <c r="GM122" s="563" t="s">
        <v>1587</v>
      </c>
      <c r="GN122" s="563">
        <v>2</v>
      </c>
      <c r="GO122" s="563">
        <v>0</v>
      </c>
      <c r="GP122" s="563">
        <v>0</v>
      </c>
      <c r="GQ122" s="563">
        <v>0</v>
      </c>
      <c r="GR122" s="650">
        <v>4988.5942298988448</v>
      </c>
      <c r="GS122" s="563">
        <v>0</v>
      </c>
      <c r="GT122" s="563">
        <v>0</v>
      </c>
      <c r="GU122" s="563">
        <v>0</v>
      </c>
      <c r="GV122" s="650">
        <v>4909.0249220190426</v>
      </c>
      <c r="GW122" s="564">
        <v>4000</v>
      </c>
      <c r="GX122" s="565">
        <v>126.08258516407037</v>
      </c>
      <c r="GY122" s="649">
        <v>3.8647120000000004</v>
      </c>
      <c r="GZ122" s="646">
        <v>26.312712979176272</v>
      </c>
      <c r="HA122" s="646">
        <v>0</v>
      </c>
      <c r="HB122" s="646">
        <v>0</v>
      </c>
      <c r="HC122" s="646">
        <v>22.595281837787699</v>
      </c>
      <c r="HD122" s="646">
        <v>0.93448826706458288</v>
      </c>
      <c r="HE122" s="646">
        <v>3600</v>
      </c>
      <c r="HF122" s="563" t="s">
        <v>1587</v>
      </c>
      <c r="HG122" s="563">
        <v>2</v>
      </c>
      <c r="HH122" s="563">
        <v>0</v>
      </c>
      <c r="HI122" s="563">
        <v>0</v>
      </c>
      <c r="HJ122" s="563">
        <v>0</v>
      </c>
      <c r="HK122" s="650">
        <v>4988.5942298988448</v>
      </c>
      <c r="HL122" s="563">
        <v>0</v>
      </c>
      <c r="HM122" s="563">
        <v>0</v>
      </c>
      <c r="HN122" s="563">
        <v>0</v>
      </c>
      <c r="HO122" s="650">
        <v>4909.0249220190426</v>
      </c>
      <c r="HP122" s="564">
        <v>4000</v>
      </c>
      <c r="HQ122" s="565">
        <v>126.08258516407037</v>
      </c>
      <c r="HR122" s="649">
        <v>3.8647120000000004</v>
      </c>
      <c r="HS122" s="646">
        <v>26.312712979176272</v>
      </c>
      <c r="HT122" s="646">
        <v>0</v>
      </c>
      <c r="HU122" s="646">
        <v>0</v>
      </c>
      <c r="HV122" s="646">
        <v>22.595281837787699</v>
      </c>
      <c r="HW122" s="646">
        <v>0.93448826706458288</v>
      </c>
      <c r="HX122" s="646">
        <v>3600</v>
      </c>
      <c r="HY122" s="563" t="s">
        <v>68</v>
      </c>
      <c r="HZ122" s="563">
        <v>2</v>
      </c>
      <c r="IA122" s="563">
        <v>0</v>
      </c>
      <c r="IB122" s="563">
        <v>0</v>
      </c>
      <c r="IC122" s="563">
        <v>0</v>
      </c>
      <c r="ID122" s="650">
        <v>4399.5265747080384</v>
      </c>
      <c r="IE122" s="563">
        <v>0</v>
      </c>
      <c r="IF122" s="563">
        <v>0</v>
      </c>
      <c r="IG122" s="563">
        <v>0</v>
      </c>
      <c r="IH122" s="650">
        <v>4329.3530411602114</v>
      </c>
      <c r="II122" s="564">
        <v>4000</v>
      </c>
      <c r="IJ122" s="565">
        <v>126.08258516407037</v>
      </c>
      <c r="IK122" s="649">
        <v>3.8647120000000004</v>
      </c>
      <c r="IL122" s="646">
        <v>26.312712979176272</v>
      </c>
      <c r="IM122" s="646">
        <v>0</v>
      </c>
      <c r="IN122" s="646">
        <v>0</v>
      </c>
      <c r="IO122" s="646">
        <v>22.595281837787699</v>
      </c>
      <c r="IP122" s="646">
        <v>0.93448826706458288</v>
      </c>
      <c r="IQ122" s="646">
        <v>3600</v>
      </c>
      <c r="IR122" s="563" t="s">
        <v>68</v>
      </c>
      <c r="IS122" s="563">
        <v>2</v>
      </c>
      <c r="IT122" s="563">
        <v>0</v>
      </c>
      <c r="IU122" s="563">
        <v>0</v>
      </c>
      <c r="IV122" s="563">
        <v>0</v>
      </c>
      <c r="IW122" s="650">
        <v>4399.5265747080384</v>
      </c>
      <c r="IX122" s="563">
        <v>0</v>
      </c>
      <c r="IY122" s="563">
        <v>0</v>
      </c>
      <c r="IZ122" s="563">
        <v>0</v>
      </c>
      <c r="JA122" s="650">
        <v>4329.3530411602114</v>
      </c>
      <c r="JB122" s="564">
        <v>4000</v>
      </c>
      <c r="JC122" s="565">
        <v>126.08258516407037</v>
      </c>
      <c r="JD122" s="649">
        <v>3.8647120000000004</v>
      </c>
      <c r="JE122" s="646">
        <v>26.312712979176272</v>
      </c>
      <c r="JF122" s="646">
        <v>0</v>
      </c>
      <c r="JG122" s="646">
        <v>0</v>
      </c>
      <c r="JH122" s="646">
        <v>22.595281837787699</v>
      </c>
      <c r="JI122" s="646">
        <v>0.93448826706458288</v>
      </c>
      <c r="JJ122" s="646">
        <v>3600</v>
      </c>
      <c r="JK122" s="563" t="s">
        <v>67</v>
      </c>
      <c r="JL122" s="563">
        <v>2</v>
      </c>
      <c r="JM122" s="563">
        <v>0</v>
      </c>
      <c r="JN122" s="563">
        <v>0</v>
      </c>
      <c r="JO122" s="563">
        <v>0</v>
      </c>
      <c r="JP122" s="650">
        <v>5995.5440961280265</v>
      </c>
      <c r="JQ122" s="563">
        <v>0</v>
      </c>
      <c r="JR122" s="563">
        <v>0</v>
      </c>
      <c r="JS122" s="563">
        <v>0</v>
      </c>
      <c r="JT122" s="650">
        <v>5899.9136896234231</v>
      </c>
      <c r="JU122" s="564">
        <v>4000</v>
      </c>
      <c r="JV122" s="565">
        <v>126.08258516407037</v>
      </c>
      <c r="JW122" s="649">
        <v>3.8647120000000004</v>
      </c>
      <c r="JX122" s="646">
        <v>26.312712979176272</v>
      </c>
      <c r="JY122" s="646">
        <v>0</v>
      </c>
      <c r="JZ122" s="646">
        <v>0</v>
      </c>
      <c r="KA122" s="646">
        <v>22.595281837787699</v>
      </c>
      <c r="KB122" s="646">
        <v>0.93448826706458288</v>
      </c>
      <c r="KC122" s="646">
        <v>3600</v>
      </c>
      <c r="KD122" s="563" t="s">
        <v>67</v>
      </c>
      <c r="KE122" s="563">
        <v>2</v>
      </c>
      <c r="KF122" s="563">
        <v>0</v>
      </c>
      <c r="KG122" s="563">
        <v>0</v>
      </c>
      <c r="KH122" s="563">
        <v>0</v>
      </c>
      <c r="KI122" s="650">
        <v>5995.5440961280265</v>
      </c>
      <c r="KJ122" s="563">
        <v>0</v>
      </c>
      <c r="KK122" s="563">
        <v>0</v>
      </c>
      <c r="KL122" s="563">
        <v>0</v>
      </c>
      <c r="KM122" s="650">
        <v>5899.9136896234231</v>
      </c>
      <c r="KN122" s="564">
        <v>4000</v>
      </c>
      <c r="KO122" s="566">
        <v>126.08258516407037</v>
      </c>
    </row>
    <row r="123" spans="1:301" ht="15" customHeight="1">
      <c r="A123" s="802" t="s">
        <v>877</v>
      </c>
      <c r="B123" s="629" t="s">
        <v>383</v>
      </c>
      <c r="C123" s="629">
        <v>322.5</v>
      </c>
      <c r="D123" s="629">
        <v>600</v>
      </c>
      <c r="E123" s="629">
        <v>315</v>
      </c>
      <c r="F123" s="629">
        <v>285.50591467648985</v>
      </c>
      <c r="G123" s="629">
        <v>114.01691167933802</v>
      </c>
      <c r="H123" s="629">
        <v>88.663747568309105</v>
      </c>
      <c r="I123" s="629">
        <v>85</v>
      </c>
      <c r="J123" s="629">
        <v>40.69</v>
      </c>
      <c r="K123" s="629">
        <v>65.11</v>
      </c>
      <c r="L123" s="629">
        <v>16</v>
      </c>
      <c r="M123" s="629">
        <v>177.00265862424703</v>
      </c>
      <c r="N123" s="629">
        <v>4</v>
      </c>
      <c r="O123" s="623">
        <v>6.4311032702830451</v>
      </c>
      <c r="P123" s="629">
        <v>4</v>
      </c>
      <c r="Q123" s="623">
        <v>4.0437420677140654</v>
      </c>
      <c r="R123" s="629">
        <v>13.000000000000002</v>
      </c>
      <c r="S123" s="629">
        <v>442.75295733824493</v>
      </c>
      <c r="T123" s="645">
        <v>15.711796006824745</v>
      </c>
      <c r="U123" s="645">
        <v>66.412943600736739</v>
      </c>
      <c r="V123" s="645">
        <v>72.5</v>
      </c>
      <c r="W123" s="793">
        <v>1.4786461866999729</v>
      </c>
      <c r="X123" s="646">
        <v>0</v>
      </c>
      <c r="Y123" s="646">
        <v>0</v>
      </c>
      <c r="Z123" s="646">
        <v>0</v>
      </c>
      <c r="AA123" s="646">
        <v>0</v>
      </c>
      <c r="AB123" s="647">
        <v>3.662976577078938</v>
      </c>
      <c r="AC123" s="784">
        <v>4000</v>
      </c>
      <c r="AD123" s="631">
        <v>2.8183037862581872</v>
      </c>
      <c r="AE123" s="631">
        <v>0.85983208191463634</v>
      </c>
      <c r="AF123" s="631">
        <v>-0.15084823504160252</v>
      </c>
      <c r="AG123" s="631">
        <v>0.49631509208355018</v>
      </c>
      <c r="AH123" s="629"/>
      <c r="AI123" s="648">
        <v>1.4594238402484669</v>
      </c>
      <c r="AJ123" s="649">
        <v>5.7912172429437723</v>
      </c>
      <c r="AK123" s="646">
        <v>33.4565047744656</v>
      </c>
      <c r="AL123" s="646">
        <v>0</v>
      </c>
      <c r="AM123" s="646">
        <v>0</v>
      </c>
      <c r="AN123" s="646">
        <v>29.613264085396207</v>
      </c>
      <c r="AO123" s="646">
        <v>1.3711141560736606</v>
      </c>
      <c r="AP123" s="801">
        <v>3600</v>
      </c>
      <c r="AQ123" s="563" t="s">
        <v>71</v>
      </c>
      <c r="AR123" s="563">
        <v>3</v>
      </c>
      <c r="AS123" s="563">
        <v>0</v>
      </c>
      <c r="AT123" s="563">
        <v>0</v>
      </c>
      <c r="AU123" s="563">
        <v>0</v>
      </c>
      <c r="AV123" s="650">
        <v>4839.2426024087999</v>
      </c>
      <c r="AW123" s="563">
        <v>0</v>
      </c>
      <c r="AX123" s="563">
        <v>0</v>
      </c>
      <c r="AY123" s="563">
        <v>0</v>
      </c>
      <c r="AZ123" s="650">
        <v>4997.8396771630314</v>
      </c>
      <c r="BA123" s="564">
        <v>4000</v>
      </c>
      <c r="BB123" s="565">
        <v>125.66370614359172</v>
      </c>
      <c r="BC123" s="649">
        <v>5.7912172429437723</v>
      </c>
      <c r="BD123" s="646">
        <v>33.4565047744656</v>
      </c>
      <c r="BE123" s="646">
        <v>0</v>
      </c>
      <c r="BF123" s="646">
        <v>0</v>
      </c>
      <c r="BG123" s="646">
        <v>29.613264085396207</v>
      </c>
      <c r="BH123" s="646">
        <v>1.3711141560736606</v>
      </c>
      <c r="BI123" s="646">
        <v>3600</v>
      </c>
      <c r="BJ123" s="563" t="s">
        <v>71</v>
      </c>
      <c r="BK123" s="563">
        <v>3</v>
      </c>
      <c r="BL123" s="563">
        <v>0</v>
      </c>
      <c r="BM123" s="563">
        <v>0</v>
      </c>
      <c r="BN123" s="563">
        <v>0</v>
      </c>
      <c r="BO123" s="650">
        <v>4839.2426024087999</v>
      </c>
      <c r="BP123" s="563">
        <v>0</v>
      </c>
      <c r="BQ123" s="563">
        <v>0</v>
      </c>
      <c r="BR123" s="563">
        <v>0</v>
      </c>
      <c r="BS123" s="650">
        <v>4997.8396771630314</v>
      </c>
      <c r="BT123" s="564">
        <v>4000</v>
      </c>
      <c r="BU123" s="565">
        <v>125.66370614359172</v>
      </c>
      <c r="BV123" s="649">
        <v>5.7912172429437723</v>
      </c>
      <c r="BW123" s="646">
        <v>33.4565047744656</v>
      </c>
      <c r="BX123" s="646">
        <v>0</v>
      </c>
      <c r="BY123" s="646">
        <v>0</v>
      </c>
      <c r="BZ123" s="646">
        <v>29.613264085396207</v>
      </c>
      <c r="CA123" s="646">
        <v>1.3711141560736606</v>
      </c>
      <c r="CB123" s="646">
        <v>3600</v>
      </c>
      <c r="CC123" s="563" t="s">
        <v>1584</v>
      </c>
      <c r="CD123" s="563">
        <v>3</v>
      </c>
      <c r="CE123" s="563">
        <v>0</v>
      </c>
      <c r="CF123" s="563">
        <v>0</v>
      </c>
      <c r="CG123" s="563">
        <v>0</v>
      </c>
      <c r="CH123" s="650">
        <v>4415.970478598405</v>
      </c>
      <c r="CI123" s="563">
        <v>0</v>
      </c>
      <c r="CJ123" s="563">
        <v>0</v>
      </c>
      <c r="CK123" s="563">
        <v>0</v>
      </c>
      <c r="CL123" s="650">
        <v>4345.534660729365</v>
      </c>
      <c r="CM123" s="564">
        <v>4000</v>
      </c>
      <c r="CN123" s="565">
        <v>125.66370614359172</v>
      </c>
      <c r="CO123" s="649">
        <v>5.7912172429437723</v>
      </c>
      <c r="CP123" s="646">
        <v>33.4565047744656</v>
      </c>
      <c r="CQ123" s="646">
        <v>0</v>
      </c>
      <c r="CR123" s="646">
        <v>0</v>
      </c>
      <c r="CS123" s="646">
        <v>29.613264085396207</v>
      </c>
      <c r="CT123" s="646">
        <v>1.3711141560736606</v>
      </c>
      <c r="CU123" s="646">
        <v>3600</v>
      </c>
      <c r="CV123" s="563" t="s">
        <v>1584</v>
      </c>
      <c r="CW123" s="563">
        <v>3</v>
      </c>
      <c r="CX123" s="563">
        <v>0</v>
      </c>
      <c r="CY123" s="563">
        <v>0</v>
      </c>
      <c r="CZ123" s="563">
        <v>0</v>
      </c>
      <c r="DA123" s="650">
        <v>4415.970478598405</v>
      </c>
      <c r="DB123" s="563">
        <v>0</v>
      </c>
      <c r="DC123" s="563">
        <v>0</v>
      </c>
      <c r="DD123" s="563">
        <v>0</v>
      </c>
      <c r="DE123" s="650">
        <v>4345.534660729365</v>
      </c>
      <c r="DF123" s="564">
        <v>4000</v>
      </c>
      <c r="DG123" s="565">
        <v>125.66370614359172</v>
      </c>
      <c r="DH123" s="649">
        <v>5.7912172429437723</v>
      </c>
      <c r="DI123" s="646">
        <v>33.4565047744656</v>
      </c>
      <c r="DJ123" s="646">
        <v>0</v>
      </c>
      <c r="DK123" s="646">
        <v>0</v>
      </c>
      <c r="DL123" s="646">
        <v>29.613264085396207</v>
      </c>
      <c r="DM123" s="646">
        <v>1.3711141560736606</v>
      </c>
      <c r="DN123" s="646">
        <v>3600</v>
      </c>
      <c r="DO123" s="563" t="s">
        <v>1585</v>
      </c>
      <c r="DP123" s="563">
        <v>3</v>
      </c>
      <c r="DQ123" s="563">
        <v>0</v>
      </c>
      <c r="DR123" s="563">
        <v>0</v>
      </c>
      <c r="DS123" s="563">
        <v>0</v>
      </c>
      <c r="DT123" s="650">
        <v>4720.8710174262751</v>
      </c>
      <c r="DU123" s="563">
        <v>0</v>
      </c>
      <c r="DV123" s="563">
        <v>0</v>
      </c>
      <c r="DW123" s="563">
        <v>0</v>
      </c>
      <c r="DX123" s="650">
        <v>4645.571960799969</v>
      </c>
      <c r="DY123" s="564">
        <v>4000</v>
      </c>
      <c r="DZ123" s="565">
        <v>125.66370614359172</v>
      </c>
      <c r="EA123" s="649">
        <v>5.7912172429437723</v>
      </c>
      <c r="EB123" s="646">
        <v>33.4565047744656</v>
      </c>
      <c r="EC123" s="646">
        <v>0</v>
      </c>
      <c r="ED123" s="646">
        <v>0</v>
      </c>
      <c r="EE123" s="646">
        <v>29.613264085396207</v>
      </c>
      <c r="EF123" s="646">
        <v>1.3711141560736606</v>
      </c>
      <c r="EG123" s="646">
        <v>3600</v>
      </c>
      <c r="EH123" s="563" t="s">
        <v>1585</v>
      </c>
      <c r="EI123" s="563">
        <v>3</v>
      </c>
      <c r="EJ123" s="563">
        <v>0</v>
      </c>
      <c r="EK123" s="563">
        <v>0</v>
      </c>
      <c r="EL123" s="563">
        <v>0</v>
      </c>
      <c r="EM123" s="650">
        <v>4720.8710174262751</v>
      </c>
      <c r="EN123" s="563">
        <v>0</v>
      </c>
      <c r="EO123" s="563">
        <v>0</v>
      </c>
      <c r="EP123" s="563">
        <v>0</v>
      </c>
      <c r="EQ123" s="650">
        <v>4645.571960799969</v>
      </c>
      <c r="ER123" s="564">
        <v>4000</v>
      </c>
      <c r="ES123" s="565">
        <v>125.66370614359172</v>
      </c>
      <c r="ET123" s="649">
        <v>5.7912172429437723</v>
      </c>
      <c r="EU123" s="646">
        <v>33.4565047744656</v>
      </c>
      <c r="EV123" s="646">
        <v>0</v>
      </c>
      <c r="EW123" s="646">
        <v>0</v>
      </c>
      <c r="EX123" s="646">
        <v>29.613264085396207</v>
      </c>
      <c r="EY123" s="646">
        <v>1.3711141560736606</v>
      </c>
      <c r="EZ123" s="646">
        <v>3600</v>
      </c>
      <c r="FA123" s="563" t="s">
        <v>1586</v>
      </c>
      <c r="FB123" s="563">
        <v>3</v>
      </c>
      <c r="FC123" s="563">
        <v>0</v>
      </c>
      <c r="FD123" s="563">
        <v>0</v>
      </c>
      <c r="FE123" s="563">
        <v>0</v>
      </c>
      <c r="FF123" s="650">
        <v>4818.2188059219598</v>
      </c>
      <c r="FG123" s="563">
        <v>0</v>
      </c>
      <c r="FH123" s="563">
        <v>0</v>
      </c>
      <c r="FI123" s="563">
        <v>0</v>
      </c>
      <c r="FJ123" s="650">
        <v>4741.3670280587066</v>
      </c>
      <c r="FK123" s="564">
        <v>4000</v>
      </c>
      <c r="FL123" s="565">
        <v>125.66370614359172</v>
      </c>
      <c r="FM123" s="649">
        <v>5.7912172429437723</v>
      </c>
      <c r="FN123" s="646">
        <v>33.4565047744656</v>
      </c>
      <c r="FO123" s="646">
        <v>0</v>
      </c>
      <c r="FP123" s="646">
        <v>0</v>
      </c>
      <c r="FQ123" s="646">
        <v>29.613264085396207</v>
      </c>
      <c r="FR123" s="646">
        <v>1.3711141560736606</v>
      </c>
      <c r="FS123" s="646">
        <v>3600</v>
      </c>
      <c r="FT123" s="563" t="s">
        <v>1586</v>
      </c>
      <c r="FU123" s="563">
        <v>3</v>
      </c>
      <c r="FV123" s="563">
        <v>0</v>
      </c>
      <c r="FW123" s="563">
        <v>0</v>
      </c>
      <c r="FX123" s="563">
        <v>0</v>
      </c>
      <c r="FY123" s="650">
        <v>4818.2188059219598</v>
      </c>
      <c r="FZ123" s="563">
        <v>0</v>
      </c>
      <c r="GA123" s="563">
        <v>0</v>
      </c>
      <c r="GB123" s="563">
        <v>0</v>
      </c>
      <c r="GC123" s="650">
        <v>4741.3670280587066</v>
      </c>
      <c r="GD123" s="564">
        <v>4000</v>
      </c>
      <c r="GE123" s="565">
        <v>125.66370614359172</v>
      </c>
      <c r="GF123" s="649">
        <v>3.8608114952958483</v>
      </c>
      <c r="GG123" s="646">
        <v>31.526099026817676</v>
      </c>
      <c r="GH123" s="646">
        <v>0</v>
      </c>
      <c r="GI123" s="646">
        <v>0</v>
      </c>
      <c r="GJ123" s="646">
        <v>28.712014338775155</v>
      </c>
      <c r="GK123" s="646">
        <v>1.2591491145805906</v>
      </c>
      <c r="GL123" s="646">
        <v>3600</v>
      </c>
      <c r="GM123" s="563" t="s">
        <v>1587</v>
      </c>
      <c r="GN123" s="563">
        <v>2</v>
      </c>
      <c r="GO123" s="563">
        <v>0</v>
      </c>
      <c r="GP123" s="563">
        <v>0</v>
      </c>
      <c r="GQ123" s="563">
        <v>0</v>
      </c>
      <c r="GR123" s="650">
        <v>4988.5942298988448</v>
      </c>
      <c r="GS123" s="563">
        <v>0</v>
      </c>
      <c r="GT123" s="563">
        <v>0</v>
      </c>
      <c r="GU123" s="563">
        <v>0</v>
      </c>
      <c r="GV123" s="650">
        <v>4909.0249220190426</v>
      </c>
      <c r="GW123" s="564">
        <v>4000</v>
      </c>
      <c r="GX123" s="565">
        <v>125.66370614359172</v>
      </c>
      <c r="GY123" s="649">
        <v>3.8608114952958483</v>
      </c>
      <c r="GZ123" s="646">
        <v>31.526099026817676</v>
      </c>
      <c r="HA123" s="646">
        <v>0</v>
      </c>
      <c r="HB123" s="646">
        <v>0</v>
      </c>
      <c r="HC123" s="646">
        <v>28.712014338775155</v>
      </c>
      <c r="HD123" s="646">
        <v>1.2591491145805906</v>
      </c>
      <c r="HE123" s="646">
        <v>3600</v>
      </c>
      <c r="HF123" s="563" t="s">
        <v>1587</v>
      </c>
      <c r="HG123" s="563">
        <v>2</v>
      </c>
      <c r="HH123" s="563">
        <v>0</v>
      </c>
      <c r="HI123" s="563">
        <v>0</v>
      </c>
      <c r="HJ123" s="563">
        <v>0</v>
      </c>
      <c r="HK123" s="650">
        <v>4988.5942298988448</v>
      </c>
      <c r="HL123" s="563">
        <v>0</v>
      </c>
      <c r="HM123" s="563">
        <v>0</v>
      </c>
      <c r="HN123" s="563">
        <v>0</v>
      </c>
      <c r="HO123" s="650">
        <v>4909.0249220190426</v>
      </c>
      <c r="HP123" s="564">
        <v>4000</v>
      </c>
      <c r="HQ123" s="565">
        <v>125.66370614359172</v>
      </c>
      <c r="HR123" s="649">
        <v>3.8608114952958483</v>
      </c>
      <c r="HS123" s="646">
        <v>31.526099026817676</v>
      </c>
      <c r="HT123" s="646">
        <v>0</v>
      </c>
      <c r="HU123" s="646">
        <v>0</v>
      </c>
      <c r="HV123" s="646">
        <v>28.712014338775155</v>
      </c>
      <c r="HW123" s="646">
        <v>1.2591491145805906</v>
      </c>
      <c r="HX123" s="646">
        <v>3600</v>
      </c>
      <c r="HY123" s="563" t="s">
        <v>68</v>
      </c>
      <c r="HZ123" s="563">
        <v>2</v>
      </c>
      <c r="IA123" s="563">
        <v>0</v>
      </c>
      <c r="IB123" s="563">
        <v>0</v>
      </c>
      <c r="IC123" s="563">
        <v>0</v>
      </c>
      <c r="ID123" s="650">
        <v>4399.5265747080384</v>
      </c>
      <c r="IE123" s="563">
        <v>0</v>
      </c>
      <c r="IF123" s="563">
        <v>0</v>
      </c>
      <c r="IG123" s="563">
        <v>0</v>
      </c>
      <c r="IH123" s="650">
        <v>4329.3530411602114</v>
      </c>
      <c r="II123" s="564">
        <v>4000</v>
      </c>
      <c r="IJ123" s="565">
        <v>125.66370614359172</v>
      </c>
      <c r="IK123" s="649">
        <v>3.8608114952958483</v>
      </c>
      <c r="IL123" s="646">
        <v>31.526099026817676</v>
      </c>
      <c r="IM123" s="646">
        <v>0</v>
      </c>
      <c r="IN123" s="646">
        <v>0</v>
      </c>
      <c r="IO123" s="646">
        <v>28.712014338775155</v>
      </c>
      <c r="IP123" s="646">
        <v>1.2591491145805906</v>
      </c>
      <c r="IQ123" s="646">
        <v>3600</v>
      </c>
      <c r="IR123" s="563" t="s">
        <v>68</v>
      </c>
      <c r="IS123" s="563">
        <v>2</v>
      </c>
      <c r="IT123" s="563">
        <v>0</v>
      </c>
      <c r="IU123" s="563">
        <v>0</v>
      </c>
      <c r="IV123" s="563">
        <v>0</v>
      </c>
      <c r="IW123" s="650">
        <v>4399.5265747080384</v>
      </c>
      <c r="IX123" s="563">
        <v>0</v>
      </c>
      <c r="IY123" s="563">
        <v>0</v>
      </c>
      <c r="IZ123" s="563">
        <v>0</v>
      </c>
      <c r="JA123" s="650">
        <v>4329.3530411602114</v>
      </c>
      <c r="JB123" s="564">
        <v>4000</v>
      </c>
      <c r="JC123" s="565">
        <v>125.66370614359172</v>
      </c>
      <c r="JD123" s="649">
        <v>3.8608114952958483</v>
      </c>
      <c r="JE123" s="646">
        <v>31.526099026817676</v>
      </c>
      <c r="JF123" s="646">
        <v>0</v>
      </c>
      <c r="JG123" s="646">
        <v>0</v>
      </c>
      <c r="JH123" s="646">
        <v>28.712014338775155</v>
      </c>
      <c r="JI123" s="646">
        <v>1.2591491145805906</v>
      </c>
      <c r="JJ123" s="646">
        <v>3600</v>
      </c>
      <c r="JK123" s="563" t="s">
        <v>67</v>
      </c>
      <c r="JL123" s="563">
        <v>2</v>
      </c>
      <c r="JM123" s="563">
        <v>0</v>
      </c>
      <c r="JN123" s="563">
        <v>0</v>
      </c>
      <c r="JO123" s="563">
        <v>0</v>
      </c>
      <c r="JP123" s="650">
        <v>5995.5440961280265</v>
      </c>
      <c r="JQ123" s="563">
        <v>0</v>
      </c>
      <c r="JR123" s="563">
        <v>0</v>
      </c>
      <c r="JS123" s="563">
        <v>0</v>
      </c>
      <c r="JT123" s="650">
        <v>5899.9136896234231</v>
      </c>
      <c r="JU123" s="564">
        <v>4000</v>
      </c>
      <c r="JV123" s="565">
        <v>125.66370614359172</v>
      </c>
      <c r="JW123" s="649">
        <v>3.8608114952958483</v>
      </c>
      <c r="JX123" s="646">
        <v>31.526099026817676</v>
      </c>
      <c r="JY123" s="646">
        <v>0</v>
      </c>
      <c r="JZ123" s="646">
        <v>0</v>
      </c>
      <c r="KA123" s="646">
        <v>28.712014338775155</v>
      </c>
      <c r="KB123" s="646">
        <v>1.2591491145805906</v>
      </c>
      <c r="KC123" s="646">
        <v>3600</v>
      </c>
      <c r="KD123" s="563" t="s">
        <v>67</v>
      </c>
      <c r="KE123" s="563">
        <v>2</v>
      </c>
      <c r="KF123" s="563">
        <v>0</v>
      </c>
      <c r="KG123" s="563">
        <v>0</v>
      </c>
      <c r="KH123" s="563">
        <v>0</v>
      </c>
      <c r="KI123" s="650">
        <v>5995.5440961280265</v>
      </c>
      <c r="KJ123" s="563">
        <v>0</v>
      </c>
      <c r="KK123" s="563">
        <v>0</v>
      </c>
      <c r="KL123" s="563">
        <v>0</v>
      </c>
      <c r="KM123" s="650">
        <v>5899.9136896234231</v>
      </c>
      <c r="KN123" s="564">
        <v>4000</v>
      </c>
      <c r="KO123" s="566">
        <v>125.66370614359172</v>
      </c>
    </row>
    <row r="124" spans="1:301" ht="15" customHeight="1">
      <c r="A124" s="663" t="s">
        <v>878</v>
      </c>
      <c r="B124" s="629" t="s">
        <v>384</v>
      </c>
      <c r="C124" s="629">
        <v>320</v>
      </c>
      <c r="D124" s="629">
        <v>602</v>
      </c>
      <c r="E124" s="629">
        <v>360</v>
      </c>
      <c r="F124" s="629">
        <v>320</v>
      </c>
      <c r="G124" s="629">
        <v>114</v>
      </c>
      <c r="H124" s="629">
        <v>100</v>
      </c>
      <c r="I124" s="629">
        <v>100</v>
      </c>
      <c r="J124" s="629">
        <v>42.49</v>
      </c>
      <c r="K124" s="629">
        <v>63.27</v>
      </c>
      <c r="L124" s="629">
        <v>16</v>
      </c>
      <c r="M124" s="629">
        <v>176</v>
      </c>
      <c r="N124" s="629">
        <v>2</v>
      </c>
      <c r="O124" s="623">
        <v>2.8706481942957991</v>
      </c>
      <c r="P124" s="629">
        <v>2</v>
      </c>
      <c r="Q124" s="623">
        <v>1.9262708675090785</v>
      </c>
      <c r="R124" s="629">
        <v>13.000000000000002</v>
      </c>
      <c r="S124" s="629">
        <v>454.07837349395203</v>
      </c>
      <c r="T124" s="645">
        <v>16.525877405796049</v>
      </c>
      <c r="U124" s="645">
        <v>68.111756024092799</v>
      </c>
      <c r="V124" s="645">
        <v>85</v>
      </c>
      <c r="W124" s="793">
        <v>1.8234081079952849</v>
      </c>
      <c r="X124" s="646">
        <v>0</v>
      </c>
      <c r="Y124" s="646">
        <v>0</v>
      </c>
      <c r="Z124" s="646">
        <v>0</v>
      </c>
      <c r="AA124" s="646">
        <v>0</v>
      </c>
      <c r="AB124" s="647">
        <v>2.978011998676962</v>
      </c>
      <c r="AC124" s="784">
        <v>4000</v>
      </c>
      <c r="AD124" s="631">
        <v>2.9041625978837313</v>
      </c>
      <c r="AE124" s="631">
        <v>0.91601014362310362</v>
      </c>
      <c r="AF124" s="631">
        <v>-0.16687605811665021</v>
      </c>
      <c r="AG124" s="631">
        <v>0.41266254134932617</v>
      </c>
      <c r="AH124" s="629"/>
      <c r="AI124" s="648">
        <v>1.5408762001677576</v>
      </c>
      <c r="AJ124" s="649">
        <v>6.6316800000000002</v>
      </c>
      <c r="AK124" s="646">
        <v>29.777884575596211</v>
      </c>
      <c r="AL124" s="646">
        <v>0</v>
      </c>
      <c r="AM124" s="646">
        <v>0</v>
      </c>
      <c r="AN124" s="646">
        <v>27.049877770185272</v>
      </c>
      <c r="AO124" s="646">
        <v>1.1246857839861035</v>
      </c>
      <c r="AP124" s="801">
        <v>3600</v>
      </c>
      <c r="AQ124" s="563" t="s">
        <v>71</v>
      </c>
      <c r="AR124" s="563">
        <v>3</v>
      </c>
      <c r="AS124" s="563">
        <v>0</v>
      </c>
      <c r="AT124" s="563">
        <v>0</v>
      </c>
      <c r="AU124" s="563">
        <v>0</v>
      </c>
      <c r="AV124" s="650">
        <v>3877.5695167813351</v>
      </c>
      <c r="AW124" s="563">
        <v>0</v>
      </c>
      <c r="AX124" s="563">
        <v>0</v>
      </c>
      <c r="AY124" s="563">
        <v>0</v>
      </c>
      <c r="AZ124" s="650">
        <v>4020.0915328468241</v>
      </c>
      <c r="BA124" s="564">
        <v>3877.5695167813351</v>
      </c>
      <c r="BB124" s="565">
        <v>122.22349720729648</v>
      </c>
      <c r="BC124" s="649">
        <v>6.6316800000000002</v>
      </c>
      <c r="BD124" s="646">
        <v>29.777884575596211</v>
      </c>
      <c r="BE124" s="646">
        <v>0</v>
      </c>
      <c r="BF124" s="646">
        <v>0</v>
      </c>
      <c r="BG124" s="646">
        <v>27.049877770185272</v>
      </c>
      <c r="BH124" s="646">
        <v>1.1246857839861035</v>
      </c>
      <c r="BI124" s="646">
        <v>3600</v>
      </c>
      <c r="BJ124" s="563" t="s">
        <v>71</v>
      </c>
      <c r="BK124" s="563">
        <v>3</v>
      </c>
      <c r="BL124" s="563">
        <v>0</v>
      </c>
      <c r="BM124" s="563">
        <v>0</v>
      </c>
      <c r="BN124" s="563">
        <v>0</v>
      </c>
      <c r="BO124" s="650">
        <v>3877.5695167813351</v>
      </c>
      <c r="BP124" s="563">
        <v>0</v>
      </c>
      <c r="BQ124" s="563">
        <v>0</v>
      </c>
      <c r="BR124" s="563">
        <v>0</v>
      </c>
      <c r="BS124" s="650">
        <v>4020.0915328468241</v>
      </c>
      <c r="BT124" s="564">
        <v>3877.5695167813351</v>
      </c>
      <c r="BU124" s="565">
        <v>122.22349720729648</v>
      </c>
      <c r="BV124" s="649">
        <v>8.8422400000000003</v>
      </c>
      <c r="BW124" s="646">
        <v>31.988444575596212</v>
      </c>
      <c r="BX124" s="646">
        <v>0</v>
      </c>
      <c r="BY124" s="646">
        <v>0</v>
      </c>
      <c r="BZ124" s="646">
        <v>28.635844917679616</v>
      </c>
      <c r="CA124" s="646">
        <v>1.2531204252661037</v>
      </c>
      <c r="CB124" s="646">
        <v>3600</v>
      </c>
      <c r="CC124" s="563" t="s">
        <v>1584</v>
      </c>
      <c r="CD124" s="563">
        <v>4</v>
      </c>
      <c r="CE124" s="563">
        <v>0</v>
      </c>
      <c r="CF124" s="563">
        <v>0</v>
      </c>
      <c r="CG124" s="563">
        <v>0</v>
      </c>
      <c r="CH124" s="650">
        <v>4421.9787750324949</v>
      </c>
      <c r="CI124" s="563">
        <v>0</v>
      </c>
      <c r="CJ124" s="563">
        <v>0</v>
      </c>
      <c r="CK124" s="563">
        <v>0</v>
      </c>
      <c r="CL124" s="650">
        <v>4355.1394172889577</v>
      </c>
      <c r="CM124" s="564">
        <v>4000</v>
      </c>
      <c r="CN124" s="565">
        <v>126.08258516407037</v>
      </c>
      <c r="CO124" s="649">
        <v>8.8422400000000003</v>
      </c>
      <c r="CP124" s="646">
        <v>31.988444575596212</v>
      </c>
      <c r="CQ124" s="646">
        <v>0</v>
      </c>
      <c r="CR124" s="646">
        <v>0</v>
      </c>
      <c r="CS124" s="646">
        <v>28.635844917679616</v>
      </c>
      <c r="CT124" s="646">
        <v>1.2531204252661037</v>
      </c>
      <c r="CU124" s="646">
        <v>3600</v>
      </c>
      <c r="CV124" s="563" t="s">
        <v>1584</v>
      </c>
      <c r="CW124" s="563">
        <v>4</v>
      </c>
      <c r="CX124" s="563">
        <v>0</v>
      </c>
      <c r="CY124" s="563">
        <v>0</v>
      </c>
      <c r="CZ124" s="563">
        <v>0</v>
      </c>
      <c r="DA124" s="650">
        <v>4421.9787750324949</v>
      </c>
      <c r="DB124" s="563">
        <v>0</v>
      </c>
      <c r="DC124" s="563">
        <v>0</v>
      </c>
      <c r="DD124" s="563">
        <v>0</v>
      </c>
      <c r="DE124" s="650">
        <v>4355.1394172889577</v>
      </c>
      <c r="DF124" s="564">
        <v>4000</v>
      </c>
      <c r="DG124" s="565">
        <v>126.08258516407037</v>
      </c>
      <c r="DH124" s="649">
        <v>6.6316800000000002</v>
      </c>
      <c r="DI124" s="646">
        <v>29.777884575596211</v>
      </c>
      <c r="DJ124" s="646">
        <v>0</v>
      </c>
      <c r="DK124" s="646">
        <v>0</v>
      </c>
      <c r="DL124" s="646">
        <v>27.049877770185272</v>
      </c>
      <c r="DM124" s="646">
        <v>1.1246857839861035</v>
      </c>
      <c r="DN124" s="646">
        <v>3600</v>
      </c>
      <c r="DO124" s="563" t="s">
        <v>1585</v>
      </c>
      <c r="DP124" s="563">
        <v>3</v>
      </c>
      <c r="DQ124" s="563">
        <v>0</v>
      </c>
      <c r="DR124" s="563">
        <v>0</v>
      </c>
      <c r="DS124" s="563">
        <v>0</v>
      </c>
      <c r="DT124" s="650">
        <v>3794.0880398630366</v>
      </c>
      <c r="DU124" s="563">
        <v>0</v>
      </c>
      <c r="DV124" s="563">
        <v>0</v>
      </c>
      <c r="DW124" s="563">
        <v>0</v>
      </c>
      <c r="DX124" s="650">
        <v>3736.73941366698</v>
      </c>
      <c r="DY124" s="564">
        <v>3736.73941366698</v>
      </c>
      <c r="DZ124" s="565">
        <v>117.78444133990135</v>
      </c>
      <c r="EA124" s="649">
        <v>6.6316800000000002</v>
      </c>
      <c r="EB124" s="646">
        <v>29.777884575596211</v>
      </c>
      <c r="EC124" s="646">
        <v>0</v>
      </c>
      <c r="ED124" s="646">
        <v>0</v>
      </c>
      <c r="EE124" s="646">
        <v>27.049877770185272</v>
      </c>
      <c r="EF124" s="646">
        <v>1.1246857839861035</v>
      </c>
      <c r="EG124" s="646">
        <v>3600</v>
      </c>
      <c r="EH124" s="563" t="s">
        <v>1585</v>
      </c>
      <c r="EI124" s="563">
        <v>3</v>
      </c>
      <c r="EJ124" s="563">
        <v>0</v>
      </c>
      <c r="EK124" s="563">
        <v>0</v>
      </c>
      <c r="EL124" s="563">
        <v>0</v>
      </c>
      <c r="EM124" s="650">
        <v>3794.0880398630366</v>
      </c>
      <c r="EN124" s="563">
        <v>0</v>
      </c>
      <c r="EO124" s="563">
        <v>0</v>
      </c>
      <c r="EP124" s="563">
        <v>0</v>
      </c>
      <c r="EQ124" s="650">
        <v>3736.73941366698</v>
      </c>
      <c r="ER124" s="564">
        <v>3736.73941366698</v>
      </c>
      <c r="ES124" s="565">
        <v>117.78444133990135</v>
      </c>
      <c r="ET124" s="649">
        <v>6.6316800000000002</v>
      </c>
      <c r="EU124" s="646">
        <v>29.777884575596211</v>
      </c>
      <c r="EV124" s="646">
        <v>0</v>
      </c>
      <c r="EW124" s="646">
        <v>0</v>
      </c>
      <c r="EX124" s="646">
        <v>27.049877770185272</v>
      </c>
      <c r="EY124" s="646">
        <v>1.1246857839861035</v>
      </c>
      <c r="EZ124" s="646">
        <v>3600</v>
      </c>
      <c r="FA124" s="563" t="s">
        <v>1586</v>
      </c>
      <c r="FB124" s="563">
        <v>3</v>
      </c>
      <c r="FC124" s="563">
        <v>0</v>
      </c>
      <c r="FD124" s="563">
        <v>0</v>
      </c>
      <c r="FE124" s="563">
        <v>0</v>
      </c>
      <c r="FF124" s="650">
        <v>3872.324890355163</v>
      </c>
      <c r="FG124" s="563">
        <v>0</v>
      </c>
      <c r="FH124" s="563">
        <v>0</v>
      </c>
      <c r="FI124" s="563">
        <v>0</v>
      </c>
      <c r="FJ124" s="650">
        <v>3813.793693853816</v>
      </c>
      <c r="FK124" s="564">
        <v>3813.793693853816</v>
      </c>
      <c r="FL124" s="565">
        <v>120.21324205087957</v>
      </c>
      <c r="FM124" s="649">
        <v>6.6316800000000002</v>
      </c>
      <c r="FN124" s="646">
        <v>29.777884575596211</v>
      </c>
      <c r="FO124" s="646">
        <v>0</v>
      </c>
      <c r="FP124" s="646">
        <v>0</v>
      </c>
      <c r="FQ124" s="646">
        <v>27.049877770185272</v>
      </c>
      <c r="FR124" s="646">
        <v>1.1246857839861035</v>
      </c>
      <c r="FS124" s="646">
        <v>3600</v>
      </c>
      <c r="FT124" s="563" t="s">
        <v>1586</v>
      </c>
      <c r="FU124" s="563">
        <v>3</v>
      </c>
      <c r="FV124" s="563">
        <v>0</v>
      </c>
      <c r="FW124" s="563">
        <v>0</v>
      </c>
      <c r="FX124" s="563">
        <v>0</v>
      </c>
      <c r="FY124" s="650">
        <v>3872.324890355163</v>
      </c>
      <c r="FZ124" s="563">
        <v>0</v>
      </c>
      <c r="GA124" s="563">
        <v>0</v>
      </c>
      <c r="GB124" s="563">
        <v>0</v>
      </c>
      <c r="GC124" s="650">
        <v>3813.793693853816</v>
      </c>
      <c r="GD124" s="564">
        <v>3813.793693853816</v>
      </c>
      <c r="GE124" s="565">
        <v>120.21324205087957</v>
      </c>
      <c r="GF124" s="649">
        <v>4.4211200000000002</v>
      </c>
      <c r="GG124" s="646">
        <v>27.56732457559621</v>
      </c>
      <c r="GH124" s="646">
        <v>0</v>
      </c>
      <c r="GI124" s="646">
        <v>0</v>
      </c>
      <c r="GJ124" s="646">
        <v>25.209560547626438</v>
      </c>
      <c r="GK124" s="646">
        <v>0.9962511427061036</v>
      </c>
      <c r="GL124" s="646">
        <v>3600</v>
      </c>
      <c r="GM124" s="563" t="s">
        <v>1587</v>
      </c>
      <c r="GN124" s="563">
        <v>2</v>
      </c>
      <c r="GO124" s="563">
        <v>0</v>
      </c>
      <c r="GP124" s="563">
        <v>0</v>
      </c>
      <c r="GQ124" s="563">
        <v>0</v>
      </c>
      <c r="GR124" s="650">
        <v>4048.5310012396185</v>
      </c>
      <c r="GS124" s="563">
        <v>0</v>
      </c>
      <c r="GT124" s="563">
        <v>0</v>
      </c>
      <c r="GU124" s="563">
        <v>0</v>
      </c>
      <c r="GV124" s="650">
        <v>3987.3364035970153</v>
      </c>
      <c r="GW124" s="564">
        <v>3987.3364035970153</v>
      </c>
      <c r="GX124" s="565">
        <v>125.68342042107969</v>
      </c>
      <c r="GY124" s="649">
        <v>4.4211200000000002</v>
      </c>
      <c r="GZ124" s="646">
        <v>27.56732457559621</v>
      </c>
      <c r="HA124" s="646">
        <v>0</v>
      </c>
      <c r="HB124" s="646">
        <v>0</v>
      </c>
      <c r="HC124" s="646">
        <v>25.209560547626438</v>
      </c>
      <c r="HD124" s="646">
        <v>0.9962511427061036</v>
      </c>
      <c r="HE124" s="646">
        <v>3600</v>
      </c>
      <c r="HF124" s="563" t="s">
        <v>1587</v>
      </c>
      <c r="HG124" s="563">
        <v>2</v>
      </c>
      <c r="HH124" s="563">
        <v>0</v>
      </c>
      <c r="HI124" s="563">
        <v>0</v>
      </c>
      <c r="HJ124" s="563">
        <v>0</v>
      </c>
      <c r="HK124" s="650">
        <v>4048.5310012396185</v>
      </c>
      <c r="HL124" s="563">
        <v>0</v>
      </c>
      <c r="HM124" s="563">
        <v>0</v>
      </c>
      <c r="HN124" s="563">
        <v>0</v>
      </c>
      <c r="HO124" s="650">
        <v>3987.3364035970153</v>
      </c>
      <c r="HP124" s="564">
        <v>3987.3364035970153</v>
      </c>
      <c r="HQ124" s="565">
        <v>125.68342042107969</v>
      </c>
      <c r="HR124" s="649">
        <v>6.6316800000000002</v>
      </c>
      <c r="HS124" s="646">
        <v>29.777884575596211</v>
      </c>
      <c r="HT124" s="646">
        <v>0</v>
      </c>
      <c r="HU124" s="646">
        <v>0</v>
      </c>
      <c r="HV124" s="646">
        <v>27.049877770185272</v>
      </c>
      <c r="HW124" s="646">
        <v>1.1246857839861035</v>
      </c>
      <c r="HX124" s="646">
        <v>3600</v>
      </c>
      <c r="HY124" s="563" t="s">
        <v>68</v>
      </c>
      <c r="HZ124" s="563">
        <v>3</v>
      </c>
      <c r="IA124" s="563">
        <v>0</v>
      </c>
      <c r="IB124" s="563">
        <v>0</v>
      </c>
      <c r="IC124" s="563">
        <v>0</v>
      </c>
      <c r="ID124" s="650">
        <v>4581.7965994847245</v>
      </c>
      <c r="IE124" s="563">
        <v>0</v>
      </c>
      <c r="IF124" s="563">
        <v>0</v>
      </c>
      <c r="IG124" s="563">
        <v>0</v>
      </c>
      <c r="IH124" s="650">
        <v>4512.5415538151037</v>
      </c>
      <c r="II124" s="564">
        <v>4000</v>
      </c>
      <c r="IJ124" s="565">
        <v>126.08258516407037</v>
      </c>
      <c r="IK124" s="649">
        <v>6.6316800000000002</v>
      </c>
      <c r="IL124" s="646">
        <v>29.777884575596211</v>
      </c>
      <c r="IM124" s="646">
        <v>0</v>
      </c>
      <c r="IN124" s="646">
        <v>0</v>
      </c>
      <c r="IO124" s="646">
        <v>27.049877770185272</v>
      </c>
      <c r="IP124" s="646">
        <v>1.1246857839861035</v>
      </c>
      <c r="IQ124" s="646">
        <v>3600</v>
      </c>
      <c r="IR124" s="563" t="s">
        <v>68</v>
      </c>
      <c r="IS124" s="563">
        <v>3</v>
      </c>
      <c r="IT124" s="563">
        <v>0</v>
      </c>
      <c r="IU124" s="563">
        <v>0</v>
      </c>
      <c r="IV124" s="563">
        <v>0</v>
      </c>
      <c r="IW124" s="650">
        <v>4581.7965994847245</v>
      </c>
      <c r="IX124" s="563">
        <v>0</v>
      </c>
      <c r="IY124" s="563">
        <v>0</v>
      </c>
      <c r="IZ124" s="563">
        <v>0</v>
      </c>
      <c r="JA124" s="650">
        <v>4512.5415538151037</v>
      </c>
      <c r="JB124" s="564">
        <v>4000</v>
      </c>
      <c r="JC124" s="565">
        <v>126.08258516407037</v>
      </c>
      <c r="JD124" s="649">
        <v>4.4211200000000002</v>
      </c>
      <c r="JE124" s="646">
        <v>27.56732457559621</v>
      </c>
      <c r="JF124" s="646">
        <v>0</v>
      </c>
      <c r="JG124" s="646">
        <v>0</v>
      </c>
      <c r="JH124" s="646">
        <v>25.209560547626438</v>
      </c>
      <c r="JI124" s="646">
        <v>0.9962511427061036</v>
      </c>
      <c r="JJ124" s="646">
        <v>3600</v>
      </c>
      <c r="JK124" s="563" t="s">
        <v>67</v>
      </c>
      <c r="JL124" s="563">
        <v>2</v>
      </c>
      <c r="JM124" s="563">
        <v>0</v>
      </c>
      <c r="JN124" s="563">
        <v>0</v>
      </c>
      <c r="JO124" s="563">
        <v>0</v>
      </c>
      <c r="JP124" s="650">
        <v>4865.7287050915929</v>
      </c>
      <c r="JQ124" s="563">
        <v>0</v>
      </c>
      <c r="JR124" s="563">
        <v>0</v>
      </c>
      <c r="JS124" s="563">
        <v>0</v>
      </c>
      <c r="JT124" s="650">
        <v>4792.181951897719</v>
      </c>
      <c r="JU124" s="564">
        <v>4000</v>
      </c>
      <c r="JV124" s="565">
        <v>126.08258516407037</v>
      </c>
      <c r="JW124" s="649">
        <v>4.4211200000000002</v>
      </c>
      <c r="JX124" s="646">
        <v>27.56732457559621</v>
      </c>
      <c r="JY124" s="646">
        <v>0</v>
      </c>
      <c r="JZ124" s="646">
        <v>0</v>
      </c>
      <c r="KA124" s="646">
        <v>25.209560547626438</v>
      </c>
      <c r="KB124" s="646">
        <v>0.9962511427061036</v>
      </c>
      <c r="KC124" s="646">
        <v>3600</v>
      </c>
      <c r="KD124" s="563" t="s">
        <v>67</v>
      </c>
      <c r="KE124" s="563">
        <v>2</v>
      </c>
      <c r="KF124" s="563">
        <v>0</v>
      </c>
      <c r="KG124" s="563">
        <v>0</v>
      </c>
      <c r="KH124" s="563">
        <v>0</v>
      </c>
      <c r="KI124" s="650">
        <v>4865.7287050915929</v>
      </c>
      <c r="KJ124" s="563">
        <v>0</v>
      </c>
      <c r="KK124" s="563">
        <v>0</v>
      </c>
      <c r="KL124" s="563">
        <v>0</v>
      </c>
      <c r="KM124" s="650">
        <v>4792.181951897719</v>
      </c>
      <c r="KN124" s="564">
        <v>4000</v>
      </c>
      <c r="KO124" s="566">
        <v>126.08258516407037</v>
      </c>
    </row>
    <row r="125" spans="1:301" ht="15" customHeight="1">
      <c r="A125" s="663" t="s">
        <v>879</v>
      </c>
      <c r="B125" s="629" t="s">
        <v>384</v>
      </c>
      <c r="C125" s="629">
        <v>320</v>
      </c>
      <c r="D125" s="629">
        <v>602</v>
      </c>
      <c r="E125" s="629">
        <v>360</v>
      </c>
      <c r="F125" s="629">
        <v>320</v>
      </c>
      <c r="G125" s="629">
        <v>114</v>
      </c>
      <c r="H125" s="629">
        <v>100</v>
      </c>
      <c r="I125" s="629">
        <v>100</v>
      </c>
      <c r="J125" s="629">
        <v>42.49</v>
      </c>
      <c r="K125" s="629">
        <v>63.27</v>
      </c>
      <c r="L125" s="629">
        <v>16</v>
      </c>
      <c r="M125" s="629">
        <v>176</v>
      </c>
      <c r="N125" s="629">
        <v>2</v>
      </c>
      <c r="O125" s="623">
        <v>2.8706481942957991</v>
      </c>
      <c r="P125" s="629">
        <v>2</v>
      </c>
      <c r="Q125" s="623">
        <v>1.9262708675090785</v>
      </c>
      <c r="R125" s="629">
        <v>13.000000000000002</v>
      </c>
      <c r="S125" s="629">
        <v>454.07837349395203</v>
      </c>
      <c r="T125" s="645">
        <v>16.525877405796049</v>
      </c>
      <c r="U125" s="645">
        <v>68.111756024092799</v>
      </c>
      <c r="V125" s="645">
        <v>85</v>
      </c>
      <c r="W125" s="793">
        <v>1.8234081079952849</v>
      </c>
      <c r="X125" s="646">
        <v>0</v>
      </c>
      <c r="Y125" s="646">
        <v>0</v>
      </c>
      <c r="Z125" s="646">
        <v>0</v>
      </c>
      <c r="AA125" s="646">
        <v>0</v>
      </c>
      <c r="AB125" s="647">
        <v>2.978011998676962</v>
      </c>
      <c r="AC125" s="784">
        <v>4000</v>
      </c>
      <c r="AD125" s="631">
        <v>2.9041625978837313</v>
      </c>
      <c r="AE125" s="631">
        <v>0.91601014362310362</v>
      </c>
      <c r="AF125" s="631">
        <v>-0.16687605811665021</v>
      </c>
      <c r="AG125" s="631">
        <v>0.41266254134932617</v>
      </c>
      <c r="AH125" s="629"/>
      <c r="AI125" s="648">
        <v>1.5408762001677576</v>
      </c>
      <c r="AJ125" s="649">
        <v>6.6316800000000002</v>
      </c>
      <c r="AK125" s="646">
        <v>29.777884575596211</v>
      </c>
      <c r="AL125" s="646">
        <v>0</v>
      </c>
      <c r="AM125" s="646">
        <v>0</v>
      </c>
      <c r="AN125" s="646">
        <v>27.049877770185272</v>
      </c>
      <c r="AO125" s="646">
        <v>1.1246857839861035</v>
      </c>
      <c r="AP125" s="801">
        <v>3600</v>
      </c>
      <c r="AQ125" s="563" t="s">
        <v>71</v>
      </c>
      <c r="AR125" s="563">
        <v>3</v>
      </c>
      <c r="AS125" s="563">
        <v>0</v>
      </c>
      <c r="AT125" s="563">
        <v>0</v>
      </c>
      <c r="AU125" s="563">
        <v>0</v>
      </c>
      <c r="AV125" s="650">
        <v>3877.5695167813351</v>
      </c>
      <c r="AW125" s="563">
        <v>0</v>
      </c>
      <c r="AX125" s="563">
        <v>0</v>
      </c>
      <c r="AY125" s="563">
        <v>0</v>
      </c>
      <c r="AZ125" s="650">
        <v>4020.0915328468241</v>
      </c>
      <c r="BA125" s="564">
        <v>3877.5695167813351</v>
      </c>
      <c r="BB125" s="565">
        <v>122.22349720729648</v>
      </c>
      <c r="BC125" s="649">
        <v>6.6316800000000002</v>
      </c>
      <c r="BD125" s="646">
        <v>29.777884575596211</v>
      </c>
      <c r="BE125" s="646">
        <v>0</v>
      </c>
      <c r="BF125" s="646">
        <v>0</v>
      </c>
      <c r="BG125" s="646">
        <v>27.049877770185272</v>
      </c>
      <c r="BH125" s="646">
        <v>1.1246857839861035</v>
      </c>
      <c r="BI125" s="646">
        <v>3600</v>
      </c>
      <c r="BJ125" s="563" t="s">
        <v>71</v>
      </c>
      <c r="BK125" s="563">
        <v>3</v>
      </c>
      <c r="BL125" s="563">
        <v>0</v>
      </c>
      <c r="BM125" s="563">
        <v>0</v>
      </c>
      <c r="BN125" s="563">
        <v>0</v>
      </c>
      <c r="BO125" s="650">
        <v>3877.5695167813351</v>
      </c>
      <c r="BP125" s="563">
        <v>0</v>
      </c>
      <c r="BQ125" s="563">
        <v>0</v>
      </c>
      <c r="BR125" s="563">
        <v>0</v>
      </c>
      <c r="BS125" s="650">
        <v>4020.0915328468241</v>
      </c>
      <c r="BT125" s="564">
        <v>3877.5695167813351</v>
      </c>
      <c r="BU125" s="565">
        <v>122.22349720729648</v>
      </c>
      <c r="BV125" s="649">
        <v>8.8422400000000003</v>
      </c>
      <c r="BW125" s="646">
        <v>31.988444575596212</v>
      </c>
      <c r="BX125" s="646">
        <v>0</v>
      </c>
      <c r="BY125" s="646">
        <v>0</v>
      </c>
      <c r="BZ125" s="646">
        <v>28.635844917679616</v>
      </c>
      <c r="CA125" s="646">
        <v>1.2531204252661037</v>
      </c>
      <c r="CB125" s="646">
        <v>3600</v>
      </c>
      <c r="CC125" s="563" t="s">
        <v>1584</v>
      </c>
      <c r="CD125" s="563">
        <v>4</v>
      </c>
      <c r="CE125" s="563">
        <v>0</v>
      </c>
      <c r="CF125" s="563">
        <v>0</v>
      </c>
      <c r="CG125" s="563">
        <v>0</v>
      </c>
      <c r="CH125" s="650">
        <v>4421.9787750324949</v>
      </c>
      <c r="CI125" s="563">
        <v>0</v>
      </c>
      <c r="CJ125" s="563">
        <v>0</v>
      </c>
      <c r="CK125" s="563">
        <v>0</v>
      </c>
      <c r="CL125" s="650">
        <v>4355.1394172889577</v>
      </c>
      <c r="CM125" s="564">
        <v>4000</v>
      </c>
      <c r="CN125" s="565">
        <v>126.08258516407037</v>
      </c>
      <c r="CO125" s="649">
        <v>8.8422400000000003</v>
      </c>
      <c r="CP125" s="646">
        <v>31.988444575596212</v>
      </c>
      <c r="CQ125" s="646">
        <v>0</v>
      </c>
      <c r="CR125" s="646">
        <v>0</v>
      </c>
      <c r="CS125" s="646">
        <v>28.635844917679616</v>
      </c>
      <c r="CT125" s="646">
        <v>1.2531204252661037</v>
      </c>
      <c r="CU125" s="646">
        <v>3600</v>
      </c>
      <c r="CV125" s="563" t="s">
        <v>1584</v>
      </c>
      <c r="CW125" s="563">
        <v>4</v>
      </c>
      <c r="CX125" s="563">
        <v>0</v>
      </c>
      <c r="CY125" s="563">
        <v>0</v>
      </c>
      <c r="CZ125" s="563">
        <v>0</v>
      </c>
      <c r="DA125" s="650">
        <v>4421.9787750324949</v>
      </c>
      <c r="DB125" s="563">
        <v>0</v>
      </c>
      <c r="DC125" s="563">
        <v>0</v>
      </c>
      <c r="DD125" s="563">
        <v>0</v>
      </c>
      <c r="DE125" s="650">
        <v>4355.1394172889577</v>
      </c>
      <c r="DF125" s="564">
        <v>4000</v>
      </c>
      <c r="DG125" s="565">
        <v>126.08258516407037</v>
      </c>
      <c r="DH125" s="649">
        <v>6.6316800000000002</v>
      </c>
      <c r="DI125" s="646">
        <v>29.777884575596211</v>
      </c>
      <c r="DJ125" s="646">
        <v>0</v>
      </c>
      <c r="DK125" s="646">
        <v>0</v>
      </c>
      <c r="DL125" s="646">
        <v>27.049877770185272</v>
      </c>
      <c r="DM125" s="646">
        <v>1.1246857839861035</v>
      </c>
      <c r="DN125" s="646">
        <v>3600</v>
      </c>
      <c r="DO125" s="563" t="s">
        <v>1585</v>
      </c>
      <c r="DP125" s="563">
        <v>3</v>
      </c>
      <c r="DQ125" s="563">
        <v>0</v>
      </c>
      <c r="DR125" s="563">
        <v>0</v>
      </c>
      <c r="DS125" s="563">
        <v>0</v>
      </c>
      <c r="DT125" s="650">
        <v>3794.0880398630366</v>
      </c>
      <c r="DU125" s="563">
        <v>0</v>
      </c>
      <c r="DV125" s="563">
        <v>0</v>
      </c>
      <c r="DW125" s="563">
        <v>0</v>
      </c>
      <c r="DX125" s="650">
        <v>3736.73941366698</v>
      </c>
      <c r="DY125" s="564">
        <v>3736.73941366698</v>
      </c>
      <c r="DZ125" s="565">
        <v>117.78444133990135</v>
      </c>
      <c r="EA125" s="649">
        <v>6.6316800000000002</v>
      </c>
      <c r="EB125" s="646">
        <v>29.777884575596211</v>
      </c>
      <c r="EC125" s="646">
        <v>0</v>
      </c>
      <c r="ED125" s="646">
        <v>0</v>
      </c>
      <c r="EE125" s="646">
        <v>27.049877770185272</v>
      </c>
      <c r="EF125" s="646">
        <v>1.1246857839861035</v>
      </c>
      <c r="EG125" s="646">
        <v>3600</v>
      </c>
      <c r="EH125" s="563" t="s">
        <v>1585</v>
      </c>
      <c r="EI125" s="563">
        <v>3</v>
      </c>
      <c r="EJ125" s="563">
        <v>0</v>
      </c>
      <c r="EK125" s="563">
        <v>0</v>
      </c>
      <c r="EL125" s="563">
        <v>0</v>
      </c>
      <c r="EM125" s="650">
        <v>3794.0880398630366</v>
      </c>
      <c r="EN125" s="563">
        <v>0</v>
      </c>
      <c r="EO125" s="563">
        <v>0</v>
      </c>
      <c r="EP125" s="563">
        <v>0</v>
      </c>
      <c r="EQ125" s="650">
        <v>3736.73941366698</v>
      </c>
      <c r="ER125" s="564">
        <v>3736.73941366698</v>
      </c>
      <c r="ES125" s="565">
        <v>117.78444133990135</v>
      </c>
      <c r="ET125" s="649">
        <v>6.6316800000000002</v>
      </c>
      <c r="EU125" s="646">
        <v>29.777884575596211</v>
      </c>
      <c r="EV125" s="646">
        <v>0</v>
      </c>
      <c r="EW125" s="646">
        <v>0</v>
      </c>
      <c r="EX125" s="646">
        <v>27.049877770185272</v>
      </c>
      <c r="EY125" s="646">
        <v>1.1246857839861035</v>
      </c>
      <c r="EZ125" s="646">
        <v>3600</v>
      </c>
      <c r="FA125" s="563" t="s">
        <v>1586</v>
      </c>
      <c r="FB125" s="563">
        <v>3</v>
      </c>
      <c r="FC125" s="563">
        <v>0</v>
      </c>
      <c r="FD125" s="563">
        <v>0</v>
      </c>
      <c r="FE125" s="563">
        <v>0</v>
      </c>
      <c r="FF125" s="650">
        <v>3872.324890355163</v>
      </c>
      <c r="FG125" s="563">
        <v>0</v>
      </c>
      <c r="FH125" s="563">
        <v>0</v>
      </c>
      <c r="FI125" s="563">
        <v>0</v>
      </c>
      <c r="FJ125" s="650">
        <v>3813.793693853816</v>
      </c>
      <c r="FK125" s="564">
        <v>3813.793693853816</v>
      </c>
      <c r="FL125" s="565">
        <v>120.21324205087957</v>
      </c>
      <c r="FM125" s="649">
        <v>6.6316800000000002</v>
      </c>
      <c r="FN125" s="646">
        <v>29.777884575596211</v>
      </c>
      <c r="FO125" s="646">
        <v>0</v>
      </c>
      <c r="FP125" s="646">
        <v>0</v>
      </c>
      <c r="FQ125" s="646">
        <v>27.049877770185272</v>
      </c>
      <c r="FR125" s="646">
        <v>1.1246857839861035</v>
      </c>
      <c r="FS125" s="646">
        <v>3600</v>
      </c>
      <c r="FT125" s="563" t="s">
        <v>1586</v>
      </c>
      <c r="FU125" s="563">
        <v>3</v>
      </c>
      <c r="FV125" s="563">
        <v>0</v>
      </c>
      <c r="FW125" s="563">
        <v>0</v>
      </c>
      <c r="FX125" s="563">
        <v>0</v>
      </c>
      <c r="FY125" s="650">
        <v>3872.324890355163</v>
      </c>
      <c r="FZ125" s="563">
        <v>0</v>
      </c>
      <c r="GA125" s="563">
        <v>0</v>
      </c>
      <c r="GB125" s="563">
        <v>0</v>
      </c>
      <c r="GC125" s="650">
        <v>3813.793693853816</v>
      </c>
      <c r="GD125" s="564">
        <v>3813.793693853816</v>
      </c>
      <c r="GE125" s="565">
        <v>120.21324205087957</v>
      </c>
      <c r="GF125" s="649">
        <v>4.4211200000000002</v>
      </c>
      <c r="GG125" s="646">
        <v>27.56732457559621</v>
      </c>
      <c r="GH125" s="646">
        <v>0</v>
      </c>
      <c r="GI125" s="646">
        <v>0</v>
      </c>
      <c r="GJ125" s="646">
        <v>25.209560547626438</v>
      </c>
      <c r="GK125" s="646">
        <v>0.9962511427061036</v>
      </c>
      <c r="GL125" s="646">
        <v>3600</v>
      </c>
      <c r="GM125" s="563" t="s">
        <v>1587</v>
      </c>
      <c r="GN125" s="563">
        <v>2</v>
      </c>
      <c r="GO125" s="563">
        <v>0</v>
      </c>
      <c r="GP125" s="563">
        <v>0</v>
      </c>
      <c r="GQ125" s="563">
        <v>0</v>
      </c>
      <c r="GR125" s="650">
        <v>4048.5310012396185</v>
      </c>
      <c r="GS125" s="563">
        <v>0</v>
      </c>
      <c r="GT125" s="563">
        <v>0</v>
      </c>
      <c r="GU125" s="563">
        <v>0</v>
      </c>
      <c r="GV125" s="650">
        <v>3987.3364035970153</v>
      </c>
      <c r="GW125" s="564">
        <v>3987.3364035970153</v>
      </c>
      <c r="GX125" s="565">
        <v>125.68342042107969</v>
      </c>
      <c r="GY125" s="649">
        <v>4.4211200000000002</v>
      </c>
      <c r="GZ125" s="646">
        <v>27.56732457559621</v>
      </c>
      <c r="HA125" s="646">
        <v>0</v>
      </c>
      <c r="HB125" s="646">
        <v>0</v>
      </c>
      <c r="HC125" s="646">
        <v>25.209560547626438</v>
      </c>
      <c r="HD125" s="646">
        <v>0.9962511427061036</v>
      </c>
      <c r="HE125" s="646">
        <v>3600</v>
      </c>
      <c r="HF125" s="563" t="s">
        <v>1587</v>
      </c>
      <c r="HG125" s="563">
        <v>2</v>
      </c>
      <c r="HH125" s="563">
        <v>0</v>
      </c>
      <c r="HI125" s="563">
        <v>0</v>
      </c>
      <c r="HJ125" s="563">
        <v>0</v>
      </c>
      <c r="HK125" s="650">
        <v>4048.5310012396185</v>
      </c>
      <c r="HL125" s="563">
        <v>0</v>
      </c>
      <c r="HM125" s="563">
        <v>0</v>
      </c>
      <c r="HN125" s="563">
        <v>0</v>
      </c>
      <c r="HO125" s="650">
        <v>3987.3364035970153</v>
      </c>
      <c r="HP125" s="564">
        <v>3987.3364035970153</v>
      </c>
      <c r="HQ125" s="565">
        <v>125.68342042107969</v>
      </c>
      <c r="HR125" s="649">
        <v>6.6316800000000002</v>
      </c>
      <c r="HS125" s="646">
        <v>29.777884575596211</v>
      </c>
      <c r="HT125" s="646">
        <v>0</v>
      </c>
      <c r="HU125" s="646">
        <v>0</v>
      </c>
      <c r="HV125" s="646">
        <v>27.049877770185272</v>
      </c>
      <c r="HW125" s="646">
        <v>1.1246857839861035</v>
      </c>
      <c r="HX125" s="646">
        <v>3600</v>
      </c>
      <c r="HY125" s="563" t="s">
        <v>68</v>
      </c>
      <c r="HZ125" s="563">
        <v>3</v>
      </c>
      <c r="IA125" s="563">
        <v>0</v>
      </c>
      <c r="IB125" s="563">
        <v>0</v>
      </c>
      <c r="IC125" s="563">
        <v>0</v>
      </c>
      <c r="ID125" s="650">
        <v>4581.7965994847245</v>
      </c>
      <c r="IE125" s="563">
        <v>0</v>
      </c>
      <c r="IF125" s="563">
        <v>0</v>
      </c>
      <c r="IG125" s="563">
        <v>0</v>
      </c>
      <c r="IH125" s="650">
        <v>4512.5415538151037</v>
      </c>
      <c r="II125" s="564">
        <v>4000</v>
      </c>
      <c r="IJ125" s="565">
        <v>126.08258516407037</v>
      </c>
      <c r="IK125" s="649">
        <v>6.6316800000000002</v>
      </c>
      <c r="IL125" s="646">
        <v>29.777884575596211</v>
      </c>
      <c r="IM125" s="646">
        <v>0</v>
      </c>
      <c r="IN125" s="646">
        <v>0</v>
      </c>
      <c r="IO125" s="646">
        <v>27.049877770185272</v>
      </c>
      <c r="IP125" s="646">
        <v>1.1246857839861035</v>
      </c>
      <c r="IQ125" s="646">
        <v>3600</v>
      </c>
      <c r="IR125" s="563" t="s">
        <v>68</v>
      </c>
      <c r="IS125" s="563">
        <v>3</v>
      </c>
      <c r="IT125" s="563">
        <v>0</v>
      </c>
      <c r="IU125" s="563">
        <v>0</v>
      </c>
      <c r="IV125" s="563">
        <v>0</v>
      </c>
      <c r="IW125" s="650">
        <v>4581.7965994847245</v>
      </c>
      <c r="IX125" s="563">
        <v>0</v>
      </c>
      <c r="IY125" s="563">
        <v>0</v>
      </c>
      <c r="IZ125" s="563">
        <v>0</v>
      </c>
      <c r="JA125" s="650">
        <v>4512.5415538151037</v>
      </c>
      <c r="JB125" s="564">
        <v>4000</v>
      </c>
      <c r="JC125" s="565">
        <v>126.08258516407037</v>
      </c>
      <c r="JD125" s="649">
        <v>4.4211200000000002</v>
      </c>
      <c r="JE125" s="646">
        <v>27.56732457559621</v>
      </c>
      <c r="JF125" s="646">
        <v>0</v>
      </c>
      <c r="JG125" s="646">
        <v>0</v>
      </c>
      <c r="JH125" s="646">
        <v>25.209560547626438</v>
      </c>
      <c r="JI125" s="646">
        <v>0.9962511427061036</v>
      </c>
      <c r="JJ125" s="646">
        <v>3600</v>
      </c>
      <c r="JK125" s="563" t="s">
        <v>67</v>
      </c>
      <c r="JL125" s="563">
        <v>2</v>
      </c>
      <c r="JM125" s="563">
        <v>0</v>
      </c>
      <c r="JN125" s="563">
        <v>0</v>
      </c>
      <c r="JO125" s="563">
        <v>0</v>
      </c>
      <c r="JP125" s="650">
        <v>4865.7287050915929</v>
      </c>
      <c r="JQ125" s="563">
        <v>0</v>
      </c>
      <c r="JR125" s="563">
        <v>0</v>
      </c>
      <c r="JS125" s="563">
        <v>0</v>
      </c>
      <c r="JT125" s="650">
        <v>4792.181951897719</v>
      </c>
      <c r="JU125" s="564">
        <v>4000</v>
      </c>
      <c r="JV125" s="565">
        <v>126.08258516407037</v>
      </c>
      <c r="JW125" s="649">
        <v>4.4211200000000002</v>
      </c>
      <c r="JX125" s="646">
        <v>27.56732457559621</v>
      </c>
      <c r="JY125" s="646">
        <v>0</v>
      </c>
      <c r="JZ125" s="646">
        <v>0</v>
      </c>
      <c r="KA125" s="646">
        <v>25.209560547626438</v>
      </c>
      <c r="KB125" s="646">
        <v>0.9962511427061036</v>
      </c>
      <c r="KC125" s="646">
        <v>3600</v>
      </c>
      <c r="KD125" s="563" t="s">
        <v>67</v>
      </c>
      <c r="KE125" s="563">
        <v>2</v>
      </c>
      <c r="KF125" s="563">
        <v>0</v>
      </c>
      <c r="KG125" s="563">
        <v>0</v>
      </c>
      <c r="KH125" s="563">
        <v>0</v>
      </c>
      <c r="KI125" s="650">
        <v>4865.7287050915929</v>
      </c>
      <c r="KJ125" s="563">
        <v>0</v>
      </c>
      <c r="KK125" s="563">
        <v>0</v>
      </c>
      <c r="KL125" s="563">
        <v>0</v>
      </c>
      <c r="KM125" s="650">
        <v>4792.181951897719</v>
      </c>
      <c r="KN125" s="564">
        <v>4000</v>
      </c>
      <c r="KO125" s="566">
        <v>126.08258516407037</v>
      </c>
    </row>
    <row r="126" spans="1:301" ht="15" customHeight="1">
      <c r="A126" s="663" t="s">
        <v>880</v>
      </c>
      <c r="B126" s="629" t="s">
        <v>384</v>
      </c>
      <c r="C126" s="629">
        <v>320</v>
      </c>
      <c r="D126" s="629">
        <v>602</v>
      </c>
      <c r="E126" s="629">
        <v>360</v>
      </c>
      <c r="F126" s="629">
        <v>320</v>
      </c>
      <c r="G126" s="629">
        <v>114</v>
      </c>
      <c r="H126" s="629">
        <v>100</v>
      </c>
      <c r="I126" s="629">
        <v>100</v>
      </c>
      <c r="J126" s="629">
        <v>42.49</v>
      </c>
      <c r="K126" s="629">
        <v>63.27</v>
      </c>
      <c r="L126" s="629">
        <v>16</v>
      </c>
      <c r="M126" s="629">
        <v>176</v>
      </c>
      <c r="N126" s="629">
        <v>2</v>
      </c>
      <c r="O126" s="623">
        <v>2.8706481942957991</v>
      </c>
      <c r="P126" s="629">
        <v>2</v>
      </c>
      <c r="Q126" s="623">
        <v>1.9262708675090785</v>
      </c>
      <c r="R126" s="629">
        <v>13.000000000000002</v>
      </c>
      <c r="S126" s="629">
        <v>454.07837349395203</v>
      </c>
      <c r="T126" s="645">
        <v>16.525877405796049</v>
      </c>
      <c r="U126" s="645">
        <v>68.111756024092799</v>
      </c>
      <c r="V126" s="645">
        <v>85</v>
      </c>
      <c r="W126" s="793">
        <v>1.8234081079952849</v>
      </c>
      <c r="X126" s="646">
        <v>0</v>
      </c>
      <c r="Y126" s="646">
        <v>0</v>
      </c>
      <c r="Z126" s="646">
        <v>0</v>
      </c>
      <c r="AA126" s="646">
        <v>0</v>
      </c>
      <c r="AB126" s="647">
        <v>2.978011998676962</v>
      </c>
      <c r="AC126" s="784">
        <v>4000</v>
      </c>
      <c r="AD126" s="631">
        <v>2.9041625978837313</v>
      </c>
      <c r="AE126" s="631">
        <v>0.91601014362310362</v>
      </c>
      <c r="AF126" s="631">
        <v>-0.16687605811665021</v>
      </c>
      <c r="AG126" s="631">
        <v>0.41266254134932617</v>
      </c>
      <c r="AH126" s="629"/>
      <c r="AI126" s="648">
        <v>1.5408762001677576</v>
      </c>
      <c r="AJ126" s="649">
        <v>6.6316800000000002</v>
      </c>
      <c r="AK126" s="646">
        <v>29.777884575596211</v>
      </c>
      <c r="AL126" s="646">
        <v>0</v>
      </c>
      <c r="AM126" s="646">
        <v>0</v>
      </c>
      <c r="AN126" s="646">
        <v>27.049877770185272</v>
      </c>
      <c r="AO126" s="646">
        <v>1.1246857839861035</v>
      </c>
      <c r="AP126" s="801">
        <v>3600</v>
      </c>
      <c r="AQ126" s="563" t="s">
        <v>71</v>
      </c>
      <c r="AR126" s="563">
        <v>3</v>
      </c>
      <c r="AS126" s="563">
        <v>0</v>
      </c>
      <c r="AT126" s="563">
        <v>0</v>
      </c>
      <c r="AU126" s="563">
        <v>0</v>
      </c>
      <c r="AV126" s="650">
        <v>3877.5695167813351</v>
      </c>
      <c r="AW126" s="563">
        <v>0</v>
      </c>
      <c r="AX126" s="563">
        <v>0</v>
      </c>
      <c r="AY126" s="563">
        <v>0</v>
      </c>
      <c r="AZ126" s="650">
        <v>4020.0915328468241</v>
      </c>
      <c r="BA126" s="564">
        <v>3877.5695167813351</v>
      </c>
      <c r="BB126" s="565">
        <v>122.22349720729648</v>
      </c>
      <c r="BC126" s="649">
        <v>6.6316800000000002</v>
      </c>
      <c r="BD126" s="646">
        <v>29.777884575596211</v>
      </c>
      <c r="BE126" s="646">
        <v>0</v>
      </c>
      <c r="BF126" s="646">
        <v>0</v>
      </c>
      <c r="BG126" s="646">
        <v>27.049877770185272</v>
      </c>
      <c r="BH126" s="646">
        <v>1.1246857839861035</v>
      </c>
      <c r="BI126" s="646">
        <v>3600</v>
      </c>
      <c r="BJ126" s="563" t="s">
        <v>71</v>
      </c>
      <c r="BK126" s="563">
        <v>3</v>
      </c>
      <c r="BL126" s="563">
        <v>0</v>
      </c>
      <c r="BM126" s="563">
        <v>0</v>
      </c>
      <c r="BN126" s="563">
        <v>0</v>
      </c>
      <c r="BO126" s="650">
        <v>3877.5695167813351</v>
      </c>
      <c r="BP126" s="563">
        <v>0</v>
      </c>
      <c r="BQ126" s="563">
        <v>0</v>
      </c>
      <c r="BR126" s="563">
        <v>0</v>
      </c>
      <c r="BS126" s="650">
        <v>4020.0915328468241</v>
      </c>
      <c r="BT126" s="564">
        <v>3877.5695167813351</v>
      </c>
      <c r="BU126" s="565">
        <v>122.22349720729648</v>
      </c>
      <c r="BV126" s="649">
        <v>8.8422400000000003</v>
      </c>
      <c r="BW126" s="646">
        <v>31.988444575596212</v>
      </c>
      <c r="BX126" s="646">
        <v>0</v>
      </c>
      <c r="BY126" s="646">
        <v>0</v>
      </c>
      <c r="BZ126" s="646">
        <v>28.635844917679616</v>
      </c>
      <c r="CA126" s="646">
        <v>1.2531204252661037</v>
      </c>
      <c r="CB126" s="646">
        <v>3600</v>
      </c>
      <c r="CC126" s="563" t="s">
        <v>1584</v>
      </c>
      <c r="CD126" s="563">
        <v>4</v>
      </c>
      <c r="CE126" s="563">
        <v>0</v>
      </c>
      <c r="CF126" s="563">
        <v>0</v>
      </c>
      <c r="CG126" s="563">
        <v>0</v>
      </c>
      <c r="CH126" s="650">
        <v>4421.9787750324949</v>
      </c>
      <c r="CI126" s="563">
        <v>0</v>
      </c>
      <c r="CJ126" s="563">
        <v>0</v>
      </c>
      <c r="CK126" s="563">
        <v>0</v>
      </c>
      <c r="CL126" s="650">
        <v>4355.1394172889577</v>
      </c>
      <c r="CM126" s="564">
        <v>4000</v>
      </c>
      <c r="CN126" s="565">
        <v>126.08258516407037</v>
      </c>
      <c r="CO126" s="649">
        <v>8.8422400000000003</v>
      </c>
      <c r="CP126" s="646">
        <v>31.988444575596212</v>
      </c>
      <c r="CQ126" s="646">
        <v>0</v>
      </c>
      <c r="CR126" s="646">
        <v>0</v>
      </c>
      <c r="CS126" s="646">
        <v>28.635844917679616</v>
      </c>
      <c r="CT126" s="646">
        <v>1.2531204252661037</v>
      </c>
      <c r="CU126" s="646">
        <v>3600</v>
      </c>
      <c r="CV126" s="563" t="s">
        <v>1584</v>
      </c>
      <c r="CW126" s="563">
        <v>4</v>
      </c>
      <c r="CX126" s="563">
        <v>0</v>
      </c>
      <c r="CY126" s="563">
        <v>0</v>
      </c>
      <c r="CZ126" s="563">
        <v>0</v>
      </c>
      <c r="DA126" s="650">
        <v>4421.9787750324949</v>
      </c>
      <c r="DB126" s="563">
        <v>0</v>
      </c>
      <c r="DC126" s="563">
        <v>0</v>
      </c>
      <c r="DD126" s="563">
        <v>0</v>
      </c>
      <c r="DE126" s="650">
        <v>4355.1394172889577</v>
      </c>
      <c r="DF126" s="564">
        <v>4000</v>
      </c>
      <c r="DG126" s="565">
        <v>126.08258516407037</v>
      </c>
      <c r="DH126" s="649">
        <v>6.6316800000000002</v>
      </c>
      <c r="DI126" s="646">
        <v>29.777884575596211</v>
      </c>
      <c r="DJ126" s="646">
        <v>0</v>
      </c>
      <c r="DK126" s="646">
        <v>0</v>
      </c>
      <c r="DL126" s="646">
        <v>27.049877770185272</v>
      </c>
      <c r="DM126" s="646">
        <v>1.1246857839861035</v>
      </c>
      <c r="DN126" s="646">
        <v>3600</v>
      </c>
      <c r="DO126" s="563" t="s">
        <v>1585</v>
      </c>
      <c r="DP126" s="563">
        <v>3</v>
      </c>
      <c r="DQ126" s="563">
        <v>0</v>
      </c>
      <c r="DR126" s="563">
        <v>0</v>
      </c>
      <c r="DS126" s="563">
        <v>0</v>
      </c>
      <c r="DT126" s="650">
        <v>3794.0880398630366</v>
      </c>
      <c r="DU126" s="563">
        <v>0</v>
      </c>
      <c r="DV126" s="563">
        <v>0</v>
      </c>
      <c r="DW126" s="563">
        <v>0</v>
      </c>
      <c r="DX126" s="650">
        <v>3736.73941366698</v>
      </c>
      <c r="DY126" s="564">
        <v>3736.73941366698</v>
      </c>
      <c r="DZ126" s="565">
        <v>117.78444133990135</v>
      </c>
      <c r="EA126" s="649">
        <v>6.6316800000000002</v>
      </c>
      <c r="EB126" s="646">
        <v>29.777884575596211</v>
      </c>
      <c r="EC126" s="646">
        <v>0</v>
      </c>
      <c r="ED126" s="646">
        <v>0</v>
      </c>
      <c r="EE126" s="646">
        <v>27.049877770185272</v>
      </c>
      <c r="EF126" s="646">
        <v>1.1246857839861035</v>
      </c>
      <c r="EG126" s="646">
        <v>3600</v>
      </c>
      <c r="EH126" s="563" t="s">
        <v>1585</v>
      </c>
      <c r="EI126" s="563">
        <v>3</v>
      </c>
      <c r="EJ126" s="563">
        <v>0</v>
      </c>
      <c r="EK126" s="563">
        <v>0</v>
      </c>
      <c r="EL126" s="563">
        <v>0</v>
      </c>
      <c r="EM126" s="650">
        <v>3794.0880398630366</v>
      </c>
      <c r="EN126" s="563">
        <v>0</v>
      </c>
      <c r="EO126" s="563">
        <v>0</v>
      </c>
      <c r="EP126" s="563">
        <v>0</v>
      </c>
      <c r="EQ126" s="650">
        <v>3736.73941366698</v>
      </c>
      <c r="ER126" s="564">
        <v>3736.73941366698</v>
      </c>
      <c r="ES126" s="565">
        <v>117.78444133990135</v>
      </c>
      <c r="ET126" s="649">
        <v>6.6316800000000002</v>
      </c>
      <c r="EU126" s="646">
        <v>29.777884575596211</v>
      </c>
      <c r="EV126" s="646">
        <v>0</v>
      </c>
      <c r="EW126" s="646">
        <v>0</v>
      </c>
      <c r="EX126" s="646">
        <v>27.049877770185272</v>
      </c>
      <c r="EY126" s="646">
        <v>1.1246857839861035</v>
      </c>
      <c r="EZ126" s="646">
        <v>3600</v>
      </c>
      <c r="FA126" s="563" t="s">
        <v>1586</v>
      </c>
      <c r="FB126" s="563">
        <v>3</v>
      </c>
      <c r="FC126" s="563">
        <v>0</v>
      </c>
      <c r="FD126" s="563">
        <v>0</v>
      </c>
      <c r="FE126" s="563">
        <v>0</v>
      </c>
      <c r="FF126" s="650">
        <v>3872.324890355163</v>
      </c>
      <c r="FG126" s="563">
        <v>0</v>
      </c>
      <c r="FH126" s="563">
        <v>0</v>
      </c>
      <c r="FI126" s="563">
        <v>0</v>
      </c>
      <c r="FJ126" s="650">
        <v>3813.793693853816</v>
      </c>
      <c r="FK126" s="564">
        <v>3813.793693853816</v>
      </c>
      <c r="FL126" s="565">
        <v>120.21324205087957</v>
      </c>
      <c r="FM126" s="649">
        <v>6.6316800000000002</v>
      </c>
      <c r="FN126" s="646">
        <v>29.777884575596211</v>
      </c>
      <c r="FO126" s="646">
        <v>0</v>
      </c>
      <c r="FP126" s="646">
        <v>0</v>
      </c>
      <c r="FQ126" s="646">
        <v>27.049877770185272</v>
      </c>
      <c r="FR126" s="646">
        <v>1.1246857839861035</v>
      </c>
      <c r="FS126" s="646">
        <v>3600</v>
      </c>
      <c r="FT126" s="563" t="s">
        <v>1586</v>
      </c>
      <c r="FU126" s="563">
        <v>3</v>
      </c>
      <c r="FV126" s="563">
        <v>0</v>
      </c>
      <c r="FW126" s="563">
        <v>0</v>
      </c>
      <c r="FX126" s="563">
        <v>0</v>
      </c>
      <c r="FY126" s="650">
        <v>3872.324890355163</v>
      </c>
      <c r="FZ126" s="563">
        <v>0</v>
      </c>
      <c r="GA126" s="563">
        <v>0</v>
      </c>
      <c r="GB126" s="563">
        <v>0</v>
      </c>
      <c r="GC126" s="650">
        <v>3813.793693853816</v>
      </c>
      <c r="GD126" s="564">
        <v>3813.793693853816</v>
      </c>
      <c r="GE126" s="565">
        <v>120.21324205087957</v>
      </c>
      <c r="GF126" s="649">
        <v>4.4211200000000002</v>
      </c>
      <c r="GG126" s="646">
        <v>27.56732457559621</v>
      </c>
      <c r="GH126" s="646">
        <v>0</v>
      </c>
      <c r="GI126" s="646">
        <v>0</v>
      </c>
      <c r="GJ126" s="646">
        <v>25.209560547626438</v>
      </c>
      <c r="GK126" s="646">
        <v>0.9962511427061036</v>
      </c>
      <c r="GL126" s="646">
        <v>3600</v>
      </c>
      <c r="GM126" s="563" t="s">
        <v>1587</v>
      </c>
      <c r="GN126" s="563">
        <v>2</v>
      </c>
      <c r="GO126" s="563">
        <v>0</v>
      </c>
      <c r="GP126" s="563">
        <v>0</v>
      </c>
      <c r="GQ126" s="563">
        <v>0</v>
      </c>
      <c r="GR126" s="650">
        <v>4048.5310012396185</v>
      </c>
      <c r="GS126" s="563">
        <v>0</v>
      </c>
      <c r="GT126" s="563">
        <v>0</v>
      </c>
      <c r="GU126" s="563">
        <v>0</v>
      </c>
      <c r="GV126" s="650">
        <v>3987.3364035970153</v>
      </c>
      <c r="GW126" s="564">
        <v>3987.3364035970153</v>
      </c>
      <c r="GX126" s="565">
        <v>125.68342042107969</v>
      </c>
      <c r="GY126" s="649">
        <v>4.4211200000000002</v>
      </c>
      <c r="GZ126" s="646">
        <v>27.56732457559621</v>
      </c>
      <c r="HA126" s="646">
        <v>0</v>
      </c>
      <c r="HB126" s="646">
        <v>0</v>
      </c>
      <c r="HC126" s="646">
        <v>25.209560547626438</v>
      </c>
      <c r="HD126" s="646">
        <v>0.9962511427061036</v>
      </c>
      <c r="HE126" s="646">
        <v>3600</v>
      </c>
      <c r="HF126" s="563" t="s">
        <v>1587</v>
      </c>
      <c r="HG126" s="563">
        <v>2</v>
      </c>
      <c r="HH126" s="563">
        <v>0</v>
      </c>
      <c r="HI126" s="563">
        <v>0</v>
      </c>
      <c r="HJ126" s="563">
        <v>0</v>
      </c>
      <c r="HK126" s="650">
        <v>4048.5310012396185</v>
      </c>
      <c r="HL126" s="563">
        <v>0</v>
      </c>
      <c r="HM126" s="563">
        <v>0</v>
      </c>
      <c r="HN126" s="563">
        <v>0</v>
      </c>
      <c r="HO126" s="650">
        <v>3987.3364035970153</v>
      </c>
      <c r="HP126" s="564">
        <v>3987.3364035970153</v>
      </c>
      <c r="HQ126" s="565">
        <v>125.68342042107969</v>
      </c>
      <c r="HR126" s="649">
        <v>6.6316800000000002</v>
      </c>
      <c r="HS126" s="646">
        <v>29.777884575596211</v>
      </c>
      <c r="HT126" s="646">
        <v>0</v>
      </c>
      <c r="HU126" s="646">
        <v>0</v>
      </c>
      <c r="HV126" s="646">
        <v>27.049877770185272</v>
      </c>
      <c r="HW126" s="646">
        <v>1.1246857839861035</v>
      </c>
      <c r="HX126" s="646">
        <v>3600</v>
      </c>
      <c r="HY126" s="563" t="s">
        <v>68</v>
      </c>
      <c r="HZ126" s="563">
        <v>3</v>
      </c>
      <c r="IA126" s="563">
        <v>0</v>
      </c>
      <c r="IB126" s="563">
        <v>0</v>
      </c>
      <c r="IC126" s="563">
        <v>0</v>
      </c>
      <c r="ID126" s="650">
        <v>4581.7965994847245</v>
      </c>
      <c r="IE126" s="563">
        <v>0</v>
      </c>
      <c r="IF126" s="563">
        <v>0</v>
      </c>
      <c r="IG126" s="563">
        <v>0</v>
      </c>
      <c r="IH126" s="650">
        <v>4512.5415538151037</v>
      </c>
      <c r="II126" s="564">
        <v>4000</v>
      </c>
      <c r="IJ126" s="565">
        <v>126.08258516407037</v>
      </c>
      <c r="IK126" s="649">
        <v>6.6316800000000002</v>
      </c>
      <c r="IL126" s="646">
        <v>29.777884575596211</v>
      </c>
      <c r="IM126" s="646">
        <v>0</v>
      </c>
      <c r="IN126" s="646">
        <v>0</v>
      </c>
      <c r="IO126" s="646">
        <v>27.049877770185272</v>
      </c>
      <c r="IP126" s="646">
        <v>1.1246857839861035</v>
      </c>
      <c r="IQ126" s="646">
        <v>3600</v>
      </c>
      <c r="IR126" s="563" t="s">
        <v>68</v>
      </c>
      <c r="IS126" s="563">
        <v>3</v>
      </c>
      <c r="IT126" s="563">
        <v>0</v>
      </c>
      <c r="IU126" s="563">
        <v>0</v>
      </c>
      <c r="IV126" s="563">
        <v>0</v>
      </c>
      <c r="IW126" s="650">
        <v>4581.7965994847245</v>
      </c>
      <c r="IX126" s="563">
        <v>0</v>
      </c>
      <c r="IY126" s="563">
        <v>0</v>
      </c>
      <c r="IZ126" s="563">
        <v>0</v>
      </c>
      <c r="JA126" s="650">
        <v>4512.5415538151037</v>
      </c>
      <c r="JB126" s="564">
        <v>4000</v>
      </c>
      <c r="JC126" s="565">
        <v>126.08258516407037</v>
      </c>
      <c r="JD126" s="649">
        <v>4.4211200000000002</v>
      </c>
      <c r="JE126" s="646">
        <v>27.56732457559621</v>
      </c>
      <c r="JF126" s="646">
        <v>0</v>
      </c>
      <c r="JG126" s="646">
        <v>0</v>
      </c>
      <c r="JH126" s="646">
        <v>25.209560547626438</v>
      </c>
      <c r="JI126" s="646">
        <v>0.9962511427061036</v>
      </c>
      <c r="JJ126" s="646">
        <v>3600</v>
      </c>
      <c r="JK126" s="563" t="s">
        <v>67</v>
      </c>
      <c r="JL126" s="563">
        <v>2</v>
      </c>
      <c r="JM126" s="563">
        <v>0</v>
      </c>
      <c r="JN126" s="563">
        <v>0</v>
      </c>
      <c r="JO126" s="563">
        <v>0</v>
      </c>
      <c r="JP126" s="650">
        <v>4865.7287050915929</v>
      </c>
      <c r="JQ126" s="563">
        <v>0</v>
      </c>
      <c r="JR126" s="563">
        <v>0</v>
      </c>
      <c r="JS126" s="563">
        <v>0</v>
      </c>
      <c r="JT126" s="650">
        <v>4792.181951897719</v>
      </c>
      <c r="JU126" s="564">
        <v>4000</v>
      </c>
      <c r="JV126" s="565">
        <v>126.08258516407037</v>
      </c>
      <c r="JW126" s="649">
        <v>4.4211200000000002</v>
      </c>
      <c r="JX126" s="646">
        <v>27.56732457559621</v>
      </c>
      <c r="JY126" s="646">
        <v>0</v>
      </c>
      <c r="JZ126" s="646">
        <v>0</v>
      </c>
      <c r="KA126" s="646">
        <v>25.209560547626438</v>
      </c>
      <c r="KB126" s="646">
        <v>0.9962511427061036</v>
      </c>
      <c r="KC126" s="646">
        <v>3600</v>
      </c>
      <c r="KD126" s="563" t="s">
        <v>67</v>
      </c>
      <c r="KE126" s="563">
        <v>2</v>
      </c>
      <c r="KF126" s="563">
        <v>0</v>
      </c>
      <c r="KG126" s="563">
        <v>0</v>
      </c>
      <c r="KH126" s="563">
        <v>0</v>
      </c>
      <c r="KI126" s="650">
        <v>4865.7287050915929</v>
      </c>
      <c r="KJ126" s="563">
        <v>0</v>
      </c>
      <c r="KK126" s="563">
        <v>0</v>
      </c>
      <c r="KL126" s="563">
        <v>0</v>
      </c>
      <c r="KM126" s="650">
        <v>4792.181951897719</v>
      </c>
      <c r="KN126" s="564">
        <v>4000</v>
      </c>
      <c r="KO126" s="566">
        <v>126.08258516407037</v>
      </c>
    </row>
    <row r="127" spans="1:301" ht="15" customHeight="1">
      <c r="A127" s="663" t="s">
        <v>881</v>
      </c>
      <c r="B127" s="629" t="s">
        <v>382</v>
      </c>
      <c r="C127" s="629">
        <v>225</v>
      </c>
      <c r="D127" s="629">
        <v>677</v>
      </c>
      <c r="E127" s="629">
        <v>212</v>
      </c>
      <c r="F127" s="629">
        <v>225</v>
      </c>
      <c r="G127" s="629">
        <v>61</v>
      </c>
      <c r="H127" s="629">
        <v>45</v>
      </c>
      <c r="I127" s="629">
        <v>45</v>
      </c>
      <c r="J127" s="629">
        <v>34.44</v>
      </c>
      <c r="K127" s="629">
        <v>73.5</v>
      </c>
      <c r="L127" s="629">
        <v>16</v>
      </c>
      <c r="M127" s="629">
        <v>260</v>
      </c>
      <c r="N127" s="629">
        <v>3</v>
      </c>
      <c r="O127" s="623">
        <v>7.6460213557260754</v>
      </c>
      <c r="P127" s="629">
        <v>3</v>
      </c>
      <c r="Q127" s="623">
        <v>4.9343412925363364</v>
      </c>
      <c r="R127" s="629">
        <v>13.000000000000002</v>
      </c>
      <c r="S127" s="629">
        <v>437.66653435218495</v>
      </c>
      <c r="T127" s="645">
        <v>15.352869929593291</v>
      </c>
      <c r="U127" s="645">
        <v>65.649980152827737</v>
      </c>
      <c r="V127" s="645">
        <v>60</v>
      </c>
      <c r="W127" s="793">
        <v>1.1957523695164001</v>
      </c>
      <c r="X127" s="646">
        <v>0</v>
      </c>
      <c r="Y127" s="646">
        <v>0</v>
      </c>
      <c r="Z127" s="646">
        <v>0</v>
      </c>
      <c r="AA127" s="646">
        <v>0</v>
      </c>
      <c r="AB127" s="647">
        <v>2.1677558736450835</v>
      </c>
      <c r="AC127" s="784">
        <v>4000</v>
      </c>
      <c r="AD127" s="631">
        <v>2.04059842616397</v>
      </c>
      <c r="AE127" s="631">
        <v>0.68574022026494175</v>
      </c>
      <c r="AF127" s="631">
        <v>-0.17578549672232732</v>
      </c>
      <c r="AG127" s="631">
        <v>0.95959158607505857</v>
      </c>
      <c r="AH127" s="629"/>
      <c r="AI127" s="648">
        <v>1.7347614552831647</v>
      </c>
      <c r="AJ127" s="649">
        <v>4.4085600000000005</v>
      </c>
      <c r="AK127" s="646">
        <v>33.537544947372105</v>
      </c>
      <c r="AL127" s="646">
        <v>0</v>
      </c>
      <c r="AM127" s="646">
        <v>0</v>
      </c>
      <c r="AN127" s="646">
        <v>17.482833030694735</v>
      </c>
      <c r="AO127" s="646">
        <v>1.5299247313466753</v>
      </c>
      <c r="AP127" s="801">
        <v>3600</v>
      </c>
      <c r="AQ127" s="563" t="s">
        <v>71</v>
      </c>
      <c r="AR127" s="563">
        <v>3</v>
      </c>
      <c r="AS127" s="563">
        <v>0</v>
      </c>
      <c r="AT127" s="563">
        <v>0</v>
      </c>
      <c r="AU127" s="563">
        <v>0</v>
      </c>
      <c r="AV127" s="650">
        <v>11442.602269336116</v>
      </c>
      <c r="AW127" s="563">
        <v>0</v>
      </c>
      <c r="AX127" s="563">
        <v>0</v>
      </c>
      <c r="AY127" s="563">
        <v>0</v>
      </c>
      <c r="AZ127" s="650">
        <v>12570.710832016191</v>
      </c>
      <c r="BA127" s="564">
        <v>4000</v>
      </c>
      <c r="BB127" s="565">
        <v>141.79054843201934</v>
      </c>
      <c r="BC127" s="649">
        <v>4.4085600000000005</v>
      </c>
      <c r="BD127" s="646">
        <v>33.537544947372105</v>
      </c>
      <c r="BE127" s="646">
        <v>0</v>
      </c>
      <c r="BF127" s="646">
        <v>0</v>
      </c>
      <c r="BG127" s="646">
        <v>17.482833030694735</v>
      </c>
      <c r="BH127" s="646">
        <v>1.5299247313466753</v>
      </c>
      <c r="BI127" s="646">
        <v>3600</v>
      </c>
      <c r="BJ127" s="563" t="s">
        <v>71</v>
      </c>
      <c r="BK127" s="563">
        <v>3</v>
      </c>
      <c r="BL127" s="563">
        <v>0</v>
      </c>
      <c r="BM127" s="563">
        <v>0</v>
      </c>
      <c r="BN127" s="563">
        <v>0</v>
      </c>
      <c r="BO127" s="650">
        <v>11442.602269336116</v>
      </c>
      <c r="BP127" s="563">
        <v>0</v>
      </c>
      <c r="BQ127" s="563">
        <v>0</v>
      </c>
      <c r="BR127" s="563">
        <v>0</v>
      </c>
      <c r="BS127" s="650">
        <v>12570.710832016191</v>
      </c>
      <c r="BT127" s="564">
        <v>4000</v>
      </c>
      <c r="BU127" s="565">
        <v>141.79054843201934</v>
      </c>
      <c r="BV127" s="649">
        <v>4.4085600000000005</v>
      </c>
      <c r="BW127" s="646">
        <v>33.537544947372105</v>
      </c>
      <c r="BX127" s="646">
        <v>0</v>
      </c>
      <c r="BY127" s="646">
        <v>0</v>
      </c>
      <c r="BZ127" s="646">
        <v>17.482833030694735</v>
      </c>
      <c r="CA127" s="646">
        <v>1.5299247313466753</v>
      </c>
      <c r="CB127" s="646">
        <v>3600</v>
      </c>
      <c r="CC127" s="563" t="s">
        <v>1584</v>
      </c>
      <c r="CD127" s="563">
        <v>3</v>
      </c>
      <c r="CE127" s="563">
        <v>0</v>
      </c>
      <c r="CF127" s="563">
        <v>0</v>
      </c>
      <c r="CG127" s="563">
        <v>0</v>
      </c>
      <c r="CH127" s="650">
        <v>10636.081926339355</v>
      </c>
      <c r="CI127" s="563">
        <v>0</v>
      </c>
      <c r="CJ127" s="563">
        <v>0</v>
      </c>
      <c r="CK127" s="563">
        <v>0</v>
      </c>
      <c r="CL127" s="650">
        <v>11684.676888573093</v>
      </c>
      <c r="CM127" s="564">
        <v>4000</v>
      </c>
      <c r="CN127" s="565">
        <v>141.79054843201934</v>
      </c>
      <c r="CO127" s="649">
        <v>4.4085600000000005</v>
      </c>
      <c r="CP127" s="646">
        <v>33.537544947372105</v>
      </c>
      <c r="CQ127" s="646">
        <v>0</v>
      </c>
      <c r="CR127" s="646">
        <v>0</v>
      </c>
      <c r="CS127" s="646">
        <v>17.482833030694735</v>
      </c>
      <c r="CT127" s="646">
        <v>1.5299247313466753</v>
      </c>
      <c r="CU127" s="646">
        <v>3600</v>
      </c>
      <c r="CV127" s="563" t="s">
        <v>1584</v>
      </c>
      <c r="CW127" s="563">
        <v>3</v>
      </c>
      <c r="CX127" s="563">
        <v>0</v>
      </c>
      <c r="CY127" s="563">
        <v>0</v>
      </c>
      <c r="CZ127" s="563">
        <v>0</v>
      </c>
      <c r="DA127" s="650">
        <v>10636.081926339355</v>
      </c>
      <c r="DB127" s="563">
        <v>0</v>
      </c>
      <c r="DC127" s="563">
        <v>0</v>
      </c>
      <c r="DD127" s="563">
        <v>0</v>
      </c>
      <c r="DE127" s="650">
        <v>11684.676888573093</v>
      </c>
      <c r="DF127" s="564">
        <v>4000</v>
      </c>
      <c r="DG127" s="565">
        <v>141.79054843201934</v>
      </c>
      <c r="DH127" s="649">
        <v>2.9390400000000003</v>
      </c>
      <c r="DI127" s="646">
        <v>32.068024947372102</v>
      </c>
      <c r="DJ127" s="646">
        <v>0</v>
      </c>
      <c r="DK127" s="646">
        <v>0</v>
      </c>
      <c r="DL127" s="646">
        <v>17.252920923016347</v>
      </c>
      <c r="DM127" s="646">
        <v>1.4364349710866753</v>
      </c>
      <c r="DN127" s="646">
        <v>3600</v>
      </c>
      <c r="DO127" s="563" t="s">
        <v>1585</v>
      </c>
      <c r="DP127" s="563">
        <v>2</v>
      </c>
      <c r="DQ127" s="563">
        <v>0</v>
      </c>
      <c r="DR127" s="563">
        <v>0</v>
      </c>
      <c r="DS127" s="563">
        <v>0</v>
      </c>
      <c r="DT127" s="650">
        <v>8592.2706660726872</v>
      </c>
      <c r="DU127" s="563">
        <v>0</v>
      </c>
      <c r="DV127" s="563">
        <v>0</v>
      </c>
      <c r="DW127" s="563">
        <v>0</v>
      </c>
      <c r="DX127" s="650">
        <v>9307.7681576498217</v>
      </c>
      <c r="DY127" s="564">
        <v>4000</v>
      </c>
      <c r="DZ127" s="565">
        <v>141.79054843201934</v>
      </c>
      <c r="EA127" s="649">
        <v>2.9390400000000003</v>
      </c>
      <c r="EB127" s="646">
        <v>32.068024947372102</v>
      </c>
      <c r="EC127" s="646">
        <v>0</v>
      </c>
      <c r="ED127" s="646">
        <v>0</v>
      </c>
      <c r="EE127" s="646">
        <v>17.252920923016347</v>
      </c>
      <c r="EF127" s="646">
        <v>1.4364349710866753</v>
      </c>
      <c r="EG127" s="646">
        <v>3600</v>
      </c>
      <c r="EH127" s="563" t="s">
        <v>1585</v>
      </c>
      <c r="EI127" s="563">
        <v>2</v>
      </c>
      <c r="EJ127" s="563">
        <v>0</v>
      </c>
      <c r="EK127" s="563">
        <v>0</v>
      </c>
      <c r="EL127" s="563">
        <v>0</v>
      </c>
      <c r="EM127" s="650">
        <v>8592.2706660726872</v>
      </c>
      <c r="EN127" s="563">
        <v>0</v>
      </c>
      <c r="EO127" s="563">
        <v>0</v>
      </c>
      <c r="EP127" s="563">
        <v>0</v>
      </c>
      <c r="EQ127" s="650">
        <v>9307.7681576498217</v>
      </c>
      <c r="ER127" s="564">
        <v>4000</v>
      </c>
      <c r="ES127" s="565">
        <v>141.79054843201934</v>
      </c>
      <c r="ET127" s="649">
        <v>2.9390400000000003</v>
      </c>
      <c r="EU127" s="646">
        <v>32.068024947372102</v>
      </c>
      <c r="EV127" s="646">
        <v>0</v>
      </c>
      <c r="EW127" s="646">
        <v>0</v>
      </c>
      <c r="EX127" s="646">
        <v>17.252920923016347</v>
      </c>
      <c r="EY127" s="646">
        <v>1.4364349710866753</v>
      </c>
      <c r="EZ127" s="646">
        <v>3600</v>
      </c>
      <c r="FA127" s="563" t="s">
        <v>1586</v>
      </c>
      <c r="FB127" s="563">
        <v>2</v>
      </c>
      <c r="FC127" s="563">
        <v>0</v>
      </c>
      <c r="FD127" s="563">
        <v>0</v>
      </c>
      <c r="FE127" s="563">
        <v>0</v>
      </c>
      <c r="FF127" s="650">
        <v>9018.5895473009386</v>
      </c>
      <c r="FG127" s="563">
        <v>0</v>
      </c>
      <c r="FH127" s="563">
        <v>0</v>
      </c>
      <c r="FI127" s="563">
        <v>0</v>
      </c>
      <c r="FJ127" s="650">
        <v>9769.5875604497687</v>
      </c>
      <c r="FK127" s="564">
        <v>4000</v>
      </c>
      <c r="FL127" s="565">
        <v>141.79054843201934</v>
      </c>
      <c r="FM127" s="649">
        <v>2.9390400000000003</v>
      </c>
      <c r="FN127" s="646">
        <v>32.068024947372102</v>
      </c>
      <c r="FO127" s="646">
        <v>0</v>
      </c>
      <c r="FP127" s="646">
        <v>0</v>
      </c>
      <c r="FQ127" s="646">
        <v>17.252920923016347</v>
      </c>
      <c r="FR127" s="646">
        <v>1.4364349710866753</v>
      </c>
      <c r="FS127" s="646">
        <v>3600</v>
      </c>
      <c r="FT127" s="563" t="s">
        <v>1586</v>
      </c>
      <c r="FU127" s="563">
        <v>2</v>
      </c>
      <c r="FV127" s="563">
        <v>0</v>
      </c>
      <c r="FW127" s="563">
        <v>0</v>
      </c>
      <c r="FX127" s="563">
        <v>0</v>
      </c>
      <c r="FY127" s="650">
        <v>9018.5895473009386</v>
      </c>
      <c r="FZ127" s="563">
        <v>0</v>
      </c>
      <c r="GA127" s="563">
        <v>0</v>
      </c>
      <c r="GB127" s="563">
        <v>0</v>
      </c>
      <c r="GC127" s="650">
        <v>9769.5875604497687</v>
      </c>
      <c r="GD127" s="564">
        <v>4000</v>
      </c>
      <c r="GE127" s="565">
        <v>141.79054843201934</v>
      </c>
      <c r="GF127" s="649">
        <v>2.9390400000000003</v>
      </c>
      <c r="GG127" s="646">
        <v>32.068024947372102</v>
      </c>
      <c r="GH127" s="646">
        <v>0</v>
      </c>
      <c r="GI127" s="646">
        <v>0</v>
      </c>
      <c r="GJ127" s="646">
        <v>17.252920923016347</v>
      </c>
      <c r="GK127" s="646">
        <v>1.4364349710866753</v>
      </c>
      <c r="GL127" s="646">
        <v>3600</v>
      </c>
      <c r="GM127" s="563" t="s">
        <v>1587</v>
      </c>
      <c r="GN127" s="563">
        <v>2</v>
      </c>
      <c r="GO127" s="563">
        <v>0</v>
      </c>
      <c r="GP127" s="563">
        <v>0</v>
      </c>
      <c r="GQ127" s="563">
        <v>0</v>
      </c>
      <c r="GR127" s="650">
        <v>10612.145558468888</v>
      </c>
      <c r="GS127" s="563">
        <v>0</v>
      </c>
      <c r="GT127" s="563">
        <v>0</v>
      </c>
      <c r="GU127" s="563">
        <v>0</v>
      </c>
      <c r="GV127" s="650">
        <v>11495.842525496932</v>
      </c>
      <c r="GW127" s="564">
        <v>4000</v>
      </c>
      <c r="GX127" s="565">
        <v>141.79054843201934</v>
      </c>
      <c r="GY127" s="649">
        <v>2.9390400000000003</v>
      </c>
      <c r="GZ127" s="646">
        <v>32.068024947372102</v>
      </c>
      <c r="HA127" s="646">
        <v>0</v>
      </c>
      <c r="HB127" s="646">
        <v>0</v>
      </c>
      <c r="HC127" s="646">
        <v>17.252920923016347</v>
      </c>
      <c r="HD127" s="646">
        <v>1.4364349710866753</v>
      </c>
      <c r="HE127" s="646">
        <v>3600</v>
      </c>
      <c r="HF127" s="563" t="s">
        <v>1587</v>
      </c>
      <c r="HG127" s="563">
        <v>2</v>
      </c>
      <c r="HH127" s="563">
        <v>0</v>
      </c>
      <c r="HI127" s="563">
        <v>0</v>
      </c>
      <c r="HJ127" s="563">
        <v>0</v>
      </c>
      <c r="HK127" s="650">
        <v>10612.145558468888</v>
      </c>
      <c r="HL127" s="563">
        <v>0</v>
      </c>
      <c r="HM127" s="563">
        <v>0</v>
      </c>
      <c r="HN127" s="563">
        <v>0</v>
      </c>
      <c r="HO127" s="650">
        <v>11495.842525496932</v>
      </c>
      <c r="HP127" s="564">
        <v>4000</v>
      </c>
      <c r="HQ127" s="565">
        <v>141.79054843201934</v>
      </c>
      <c r="HR127" s="649">
        <v>2.9390400000000003</v>
      </c>
      <c r="HS127" s="646">
        <v>32.068024947372102</v>
      </c>
      <c r="HT127" s="646">
        <v>0</v>
      </c>
      <c r="HU127" s="646">
        <v>0</v>
      </c>
      <c r="HV127" s="646">
        <v>17.252920923016347</v>
      </c>
      <c r="HW127" s="646">
        <v>1.4364349710866753</v>
      </c>
      <c r="HX127" s="646">
        <v>3600</v>
      </c>
      <c r="HY127" s="563" t="s">
        <v>68</v>
      </c>
      <c r="HZ127" s="563">
        <v>2</v>
      </c>
      <c r="IA127" s="563">
        <v>0</v>
      </c>
      <c r="IB127" s="563">
        <v>0</v>
      </c>
      <c r="IC127" s="563">
        <v>0</v>
      </c>
      <c r="ID127" s="650">
        <v>9359.032674857277</v>
      </c>
      <c r="IE127" s="563">
        <v>0</v>
      </c>
      <c r="IF127" s="563">
        <v>0</v>
      </c>
      <c r="IG127" s="563">
        <v>0</v>
      </c>
      <c r="IH127" s="650">
        <v>10138.380144541861</v>
      </c>
      <c r="II127" s="564">
        <v>4000</v>
      </c>
      <c r="IJ127" s="565">
        <v>141.79054843201934</v>
      </c>
      <c r="IK127" s="649">
        <v>2.9390400000000003</v>
      </c>
      <c r="IL127" s="646">
        <v>32.068024947372102</v>
      </c>
      <c r="IM127" s="646">
        <v>0</v>
      </c>
      <c r="IN127" s="646">
        <v>0</v>
      </c>
      <c r="IO127" s="646">
        <v>17.252920923016347</v>
      </c>
      <c r="IP127" s="646">
        <v>1.4364349710866753</v>
      </c>
      <c r="IQ127" s="646">
        <v>3600</v>
      </c>
      <c r="IR127" s="563" t="s">
        <v>68</v>
      </c>
      <c r="IS127" s="563">
        <v>2</v>
      </c>
      <c r="IT127" s="563">
        <v>0</v>
      </c>
      <c r="IU127" s="563">
        <v>0</v>
      </c>
      <c r="IV127" s="563">
        <v>0</v>
      </c>
      <c r="IW127" s="650">
        <v>9359.032674857277</v>
      </c>
      <c r="IX127" s="563">
        <v>0</v>
      </c>
      <c r="IY127" s="563">
        <v>0</v>
      </c>
      <c r="IZ127" s="563">
        <v>0</v>
      </c>
      <c r="JA127" s="650">
        <v>10138.380144541861</v>
      </c>
      <c r="JB127" s="564">
        <v>4000</v>
      </c>
      <c r="JC127" s="565">
        <v>141.79054843201934</v>
      </c>
      <c r="JD127" s="649">
        <v>2.9390400000000003</v>
      </c>
      <c r="JE127" s="646">
        <v>32.068024947372102</v>
      </c>
      <c r="JF127" s="646">
        <v>0</v>
      </c>
      <c r="JG127" s="646">
        <v>0</v>
      </c>
      <c r="JH127" s="646">
        <v>17.252920923016347</v>
      </c>
      <c r="JI127" s="646">
        <v>1.4364349710866753</v>
      </c>
      <c r="JJ127" s="646">
        <v>3600</v>
      </c>
      <c r="JK127" s="563" t="s">
        <v>67</v>
      </c>
      <c r="JL127" s="563">
        <v>2</v>
      </c>
      <c r="JM127" s="563">
        <v>0</v>
      </c>
      <c r="JN127" s="563">
        <v>0</v>
      </c>
      <c r="JO127" s="563">
        <v>0</v>
      </c>
      <c r="JP127" s="650">
        <v>12754.211651248999</v>
      </c>
      <c r="JQ127" s="563">
        <v>0</v>
      </c>
      <c r="JR127" s="563">
        <v>0</v>
      </c>
      <c r="JS127" s="563">
        <v>0</v>
      </c>
      <c r="JT127" s="650">
        <v>13816.283226779544</v>
      </c>
      <c r="JU127" s="564">
        <v>4000</v>
      </c>
      <c r="JV127" s="565">
        <v>141.79054843201934</v>
      </c>
      <c r="JW127" s="649">
        <v>2.9390400000000003</v>
      </c>
      <c r="JX127" s="646">
        <v>32.068024947372102</v>
      </c>
      <c r="JY127" s="646">
        <v>0</v>
      </c>
      <c r="JZ127" s="646">
        <v>0</v>
      </c>
      <c r="KA127" s="646">
        <v>17.252920923016347</v>
      </c>
      <c r="KB127" s="646">
        <v>1.4364349710866753</v>
      </c>
      <c r="KC127" s="646">
        <v>3600</v>
      </c>
      <c r="KD127" s="563" t="s">
        <v>67</v>
      </c>
      <c r="KE127" s="563">
        <v>2</v>
      </c>
      <c r="KF127" s="563">
        <v>0</v>
      </c>
      <c r="KG127" s="563">
        <v>0</v>
      </c>
      <c r="KH127" s="563">
        <v>0</v>
      </c>
      <c r="KI127" s="650">
        <v>12754.211651248999</v>
      </c>
      <c r="KJ127" s="563">
        <v>0</v>
      </c>
      <c r="KK127" s="563">
        <v>0</v>
      </c>
      <c r="KL127" s="563">
        <v>0</v>
      </c>
      <c r="KM127" s="650">
        <v>13816.283226779544</v>
      </c>
      <c r="KN127" s="564">
        <v>4000</v>
      </c>
      <c r="KO127" s="566">
        <v>141.79054843201934</v>
      </c>
    </row>
    <row r="128" spans="1:301" ht="15" customHeight="1">
      <c r="A128" s="663" t="s">
        <v>882</v>
      </c>
      <c r="B128" s="629" t="s">
        <v>382</v>
      </c>
      <c r="C128" s="629">
        <v>290</v>
      </c>
      <c r="D128" s="629">
        <v>677</v>
      </c>
      <c r="E128" s="629">
        <v>260</v>
      </c>
      <c r="F128" s="629">
        <v>290</v>
      </c>
      <c r="G128" s="629">
        <v>76</v>
      </c>
      <c r="H128" s="629">
        <v>60</v>
      </c>
      <c r="I128" s="629">
        <v>60</v>
      </c>
      <c r="J128" s="629">
        <v>34.08</v>
      </c>
      <c r="K128" s="629">
        <v>68.61</v>
      </c>
      <c r="L128" s="629">
        <v>16</v>
      </c>
      <c r="M128" s="629">
        <v>233</v>
      </c>
      <c r="N128" s="629">
        <v>3</v>
      </c>
      <c r="O128" s="623">
        <v>7.226973108123163</v>
      </c>
      <c r="P128" s="629">
        <v>3</v>
      </c>
      <c r="Q128" s="623">
        <v>4.4141175820873615</v>
      </c>
      <c r="R128" s="629">
        <v>13.000000000000002</v>
      </c>
      <c r="S128" s="629">
        <v>468.69828725369609</v>
      </c>
      <c r="T128" s="645">
        <v>17.607172674872178</v>
      </c>
      <c r="U128" s="645">
        <v>70.304743088054408</v>
      </c>
      <c r="V128" s="645">
        <v>72.5</v>
      </c>
      <c r="W128" s="793">
        <v>1.6570211784164557</v>
      </c>
      <c r="X128" s="646">
        <v>0</v>
      </c>
      <c r="Y128" s="646">
        <v>0</v>
      </c>
      <c r="Z128" s="646">
        <v>0</v>
      </c>
      <c r="AA128" s="646">
        <v>0</v>
      </c>
      <c r="AB128" s="647">
        <v>2.8570965901598533</v>
      </c>
      <c r="AC128" s="784">
        <v>4000</v>
      </c>
      <c r="AD128" s="631">
        <v>2.1952331242634044</v>
      </c>
      <c r="AE128" s="631">
        <v>0.67654194305478299</v>
      </c>
      <c r="AF128" s="631">
        <v>-0.15477733753400749</v>
      </c>
      <c r="AG128" s="631">
        <v>0.76864077422576826</v>
      </c>
      <c r="AH128" s="629"/>
      <c r="AI128" s="648">
        <v>1.7551390482437057</v>
      </c>
      <c r="AJ128" s="649">
        <v>5.2676640000000008</v>
      </c>
      <c r="AK128" s="646">
        <v>36.17294854349916</v>
      </c>
      <c r="AL128" s="646">
        <v>0</v>
      </c>
      <c r="AM128" s="646">
        <v>0</v>
      </c>
      <c r="AN128" s="646">
        <v>21.363564599537398</v>
      </c>
      <c r="AO128" s="646">
        <v>1.6898651767781914</v>
      </c>
      <c r="AP128" s="801">
        <v>3600</v>
      </c>
      <c r="AQ128" s="563" t="s">
        <v>71</v>
      </c>
      <c r="AR128" s="563">
        <v>3</v>
      </c>
      <c r="AS128" s="563">
        <v>0</v>
      </c>
      <c r="AT128" s="563">
        <v>0</v>
      </c>
      <c r="AU128" s="563">
        <v>0</v>
      </c>
      <c r="AV128" s="650">
        <v>7217.5405140114426</v>
      </c>
      <c r="AW128" s="563">
        <v>0</v>
      </c>
      <c r="AX128" s="563">
        <v>0</v>
      </c>
      <c r="AY128" s="563">
        <v>0</v>
      </c>
      <c r="AZ128" s="650">
        <v>7654.8855826744457</v>
      </c>
      <c r="BA128" s="564">
        <v>4000</v>
      </c>
      <c r="BB128" s="565">
        <v>141.79054843201934</v>
      </c>
      <c r="BC128" s="649">
        <v>5.2676640000000008</v>
      </c>
      <c r="BD128" s="646">
        <v>36.17294854349916</v>
      </c>
      <c r="BE128" s="646">
        <v>0</v>
      </c>
      <c r="BF128" s="646">
        <v>0</v>
      </c>
      <c r="BG128" s="646">
        <v>21.363564599537398</v>
      </c>
      <c r="BH128" s="646">
        <v>1.6898651767781914</v>
      </c>
      <c r="BI128" s="646">
        <v>3600</v>
      </c>
      <c r="BJ128" s="563" t="s">
        <v>71</v>
      </c>
      <c r="BK128" s="563">
        <v>3</v>
      </c>
      <c r="BL128" s="563">
        <v>0</v>
      </c>
      <c r="BM128" s="563">
        <v>0</v>
      </c>
      <c r="BN128" s="563">
        <v>0</v>
      </c>
      <c r="BO128" s="650">
        <v>7217.5405140114426</v>
      </c>
      <c r="BP128" s="563">
        <v>0</v>
      </c>
      <c r="BQ128" s="563">
        <v>0</v>
      </c>
      <c r="BR128" s="563">
        <v>0</v>
      </c>
      <c r="BS128" s="650">
        <v>7654.8855826744457</v>
      </c>
      <c r="BT128" s="564">
        <v>4000</v>
      </c>
      <c r="BU128" s="565">
        <v>141.79054843201934</v>
      </c>
      <c r="BV128" s="649">
        <v>3.5117760000000007</v>
      </c>
      <c r="BW128" s="646">
        <v>34.417060543499161</v>
      </c>
      <c r="BX128" s="646">
        <v>0</v>
      </c>
      <c r="BY128" s="646">
        <v>0</v>
      </c>
      <c r="BZ128" s="646">
        <v>20.922951338469353</v>
      </c>
      <c r="CA128" s="646">
        <v>1.5708096052841913</v>
      </c>
      <c r="CB128" s="646">
        <v>3600</v>
      </c>
      <c r="CC128" s="563" t="s">
        <v>1584</v>
      </c>
      <c r="CD128" s="563">
        <v>2</v>
      </c>
      <c r="CE128" s="563">
        <v>0</v>
      </c>
      <c r="CF128" s="563">
        <v>0</v>
      </c>
      <c r="CG128" s="563">
        <v>0</v>
      </c>
      <c r="CH128" s="650">
        <v>5045.2447884860758</v>
      </c>
      <c r="CI128" s="563">
        <v>0</v>
      </c>
      <c r="CJ128" s="563">
        <v>0</v>
      </c>
      <c r="CK128" s="563">
        <v>0</v>
      </c>
      <c r="CL128" s="650">
        <v>4983.5091826306725</v>
      </c>
      <c r="CM128" s="564">
        <v>4000</v>
      </c>
      <c r="CN128" s="565">
        <v>141.79054843201934</v>
      </c>
      <c r="CO128" s="649">
        <v>3.5117760000000007</v>
      </c>
      <c r="CP128" s="646">
        <v>34.417060543499161</v>
      </c>
      <c r="CQ128" s="646">
        <v>0</v>
      </c>
      <c r="CR128" s="646">
        <v>0</v>
      </c>
      <c r="CS128" s="646">
        <v>20.922951338469353</v>
      </c>
      <c r="CT128" s="646">
        <v>1.5708096052841913</v>
      </c>
      <c r="CU128" s="646">
        <v>3600</v>
      </c>
      <c r="CV128" s="563" t="s">
        <v>1584</v>
      </c>
      <c r="CW128" s="563">
        <v>2</v>
      </c>
      <c r="CX128" s="563">
        <v>0</v>
      </c>
      <c r="CY128" s="563">
        <v>0</v>
      </c>
      <c r="CZ128" s="563">
        <v>0</v>
      </c>
      <c r="DA128" s="650">
        <v>5045.2447884860758</v>
      </c>
      <c r="DB128" s="563">
        <v>0</v>
      </c>
      <c r="DC128" s="563">
        <v>0</v>
      </c>
      <c r="DD128" s="563">
        <v>0</v>
      </c>
      <c r="DE128" s="650">
        <v>4983.5091826306725</v>
      </c>
      <c r="DF128" s="564">
        <v>4000</v>
      </c>
      <c r="DG128" s="565">
        <v>141.79054843201934</v>
      </c>
      <c r="DH128" s="649">
        <v>3.5117760000000007</v>
      </c>
      <c r="DI128" s="646">
        <v>34.417060543499161</v>
      </c>
      <c r="DJ128" s="646">
        <v>0</v>
      </c>
      <c r="DK128" s="646">
        <v>0</v>
      </c>
      <c r="DL128" s="646">
        <v>20.922951338469353</v>
      </c>
      <c r="DM128" s="646">
        <v>1.5708096052841913</v>
      </c>
      <c r="DN128" s="646">
        <v>3600</v>
      </c>
      <c r="DO128" s="563" t="s">
        <v>1585</v>
      </c>
      <c r="DP128" s="563">
        <v>2</v>
      </c>
      <c r="DQ128" s="563">
        <v>0</v>
      </c>
      <c r="DR128" s="563">
        <v>0</v>
      </c>
      <c r="DS128" s="563">
        <v>0</v>
      </c>
      <c r="DT128" s="650">
        <v>5393.5935516915824</v>
      </c>
      <c r="DU128" s="563">
        <v>0</v>
      </c>
      <c r="DV128" s="563">
        <v>0</v>
      </c>
      <c r="DW128" s="563">
        <v>0</v>
      </c>
      <c r="DX128" s="650">
        <v>5327.5954129272568</v>
      </c>
      <c r="DY128" s="564">
        <v>4000</v>
      </c>
      <c r="DZ128" s="565">
        <v>141.79054843201934</v>
      </c>
      <c r="EA128" s="649">
        <v>3.5117760000000007</v>
      </c>
      <c r="EB128" s="646">
        <v>34.417060543499161</v>
      </c>
      <c r="EC128" s="646">
        <v>0</v>
      </c>
      <c r="ED128" s="646">
        <v>0</v>
      </c>
      <c r="EE128" s="646">
        <v>20.922951338469353</v>
      </c>
      <c r="EF128" s="646">
        <v>1.5708096052841913</v>
      </c>
      <c r="EG128" s="646">
        <v>3600</v>
      </c>
      <c r="EH128" s="563" t="s">
        <v>1585</v>
      </c>
      <c r="EI128" s="563">
        <v>2</v>
      </c>
      <c r="EJ128" s="563">
        <v>0</v>
      </c>
      <c r="EK128" s="563">
        <v>0</v>
      </c>
      <c r="EL128" s="563">
        <v>0</v>
      </c>
      <c r="EM128" s="650">
        <v>5393.5935516915824</v>
      </c>
      <c r="EN128" s="563">
        <v>0</v>
      </c>
      <c r="EO128" s="563">
        <v>0</v>
      </c>
      <c r="EP128" s="563">
        <v>0</v>
      </c>
      <c r="EQ128" s="650">
        <v>5327.5954129272568</v>
      </c>
      <c r="ER128" s="564">
        <v>4000</v>
      </c>
      <c r="ES128" s="565">
        <v>141.79054843201934</v>
      </c>
      <c r="ET128" s="649">
        <v>3.5117760000000007</v>
      </c>
      <c r="EU128" s="646">
        <v>34.417060543499161</v>
      </c>
      <c r="EV128" s="646">
        <v>0</v>
      </c>
      <c r="EW128" s="646">
        <v>0</v>
      </c>
      <c r="EX128" s="646">
        <v>20.922951338469353</v>
      </c>
      <c r="EY128" s="646">
        <v>1.5708096052841913</v>
      </c>
      <c r="EZ128" s="646">
        <v>3600</v>
      </c>
      <c r="FA128" s="563" t="s">
        <v>1586</v>
      </c>
      <c r="FB128" s="563">
        <v>2</v>
      </c>
      <c r="FC128" s="563">
        <v>0</v>
      </c>
      <c r="FD128" s="563">
        <v>0</v>
      </c>
      <c r="FE128" s="563">
        <v>0</v>
      </c>
      <c r="FF128" s="650">
        <v>5504.8133673364364</v>
      </c>
      <c r="FG128" s="563">
        <v>0</v>
      </c>
      <c r="FH128" s="563">
        <v>0</v>
      </c>
      <c r="FI128" s="563">
        <v>0</v>
      </c>
      <c r="FJ128" s="650">
        <v>5437.4542990262125</v>
      </c>
      <c r="FK128" s="564">
        <v>4000</v>
      </c>
      <c r="FL128" s="565">
        <v>141.79054843201934</v>
      </c>
      <c r="FM128" s="649">
        <v>3.5117760000000007</v>
      </c>
      <c r="FN128" s="646">
        <v>34.417060543499161</v>
      </c>
      <c r="FO128" s="646">
        <v>0</v>
      </c>
      <c r="FP128" s="646">
        <v>0</v>
      </c>
      <c r="FQ128" s="646">
        <v>20.922951338469353</v>
      </c>
      <c r="FR128" s="646">
        <v>1.5708096052841913</v>
      </c>
      <c r="FS128" s="646">
        <v>3600</v>
      </c>
      <c r="FT128" s="563" t="s">
        <v>1586</v>
      </c>
      <c r="FU128" s="563">
        <v>2</v>
      </c>
      <c r="FV128" s="563">
        <v>0</v>
      </c>
      <c r="FW128" s="563">
        <v>0</v>
      </c>
      <c r="FX128" s="563">
        <v>0</v>
      </c>
      <c r="FY128" s="650">
        <v>5504.8133673364364</v>
      </c>
      <c r="FZ128" s="563">
        <v>0</v>
      </c>
      <c r="GA128" s="563">
        <v>0</v>
      </c>
      <c r="GB128" s="563">
        <v>0</v>
      </c>
      <c r="GC128" s="650">
        <v>5437.4542990262125</v>
      </c>
      <c r="GD128" s="564">
        <v>4000</v>
      </c>
      <c r="GE128" s="565">
        <v>141.79054843201934</v>
      </c>
      <c r="GF128" s="649">
        <v>3.5117760000000007</v>
      </c>
      <c r="GG128" s="646">
        <v>34.417060543499161</v>
      </c>
      <c r="GH128" s="646">
        <v>0</v>
      </c>
      <c r="GI128" s="646">
        <v>0</v>
      </c>
      <c r="GJ128" s="646">
        <v>20.922951338469353</v>
      </c>
      <c r="GK128" s="646">
        <v>1.5708096052841913</v>
      </c>
      <c r="GL128" s="646">
        <v>3600</v>
      </c>
      <c r="GM128" s="563" t="s">
        <v>1587</v>
      </c>
      <c r="GN128" s="563">
        <v>2</v>
      </c>
      <c r="GO128" s="563">
        <v>0</v>
      </c>
      <c r="GP128" s="563">
        <v>0</v>
      </c>
      <c r="GQ128" s="563">
        <v>0</v>
      </c>
      <c r="GR128" s="650">
        <v>7385.4821356901539</v>
      </c>
      <c r="GS128" s="563">
        <v>0</v>
      </c>
      <c r="GT128" s="563">
        <v>0</v>
      </c>
      <c r="GU128" s="563">
        <v>0</v>
      </c>
      <c r="GV128" s="650">
        <v>7295.1104623034371</v>
      </c>
      <c r="GW128" s="564">
        <v>4000</v>
      </c>
      <c r="GX128" s="565">
        <v>141.79054843201934</v>
      </c>
      <c r="GY128" s="649">
        <v>3.5117760000000007</v>
      </c>
      <c r="GZ128" s="646">
        <v>34.417060543499161</v>
      </c>
      <c r="HA128" s="646">
        <v>0</v>
      </c>
      <c r="HB128" s="646">
        <v>0</v>
      </c>
      <c r="HC128" s="646">
        <v>20.922951338469353</v>
      </c>
      <c r="HD128" s="646">
        <v>1.5708096052841913</v>
      </c>
      <c r="HE128" s="646">
        <v>3600</v>
      </c>
      <c r="HF128" s="563" t="s">
        <v>1587</v>
      </c>
      <c r="HG128" s="563">
        <v>2</v>
      </c>
      <c r="HH128" s="563">
        <v>0</v>
      </c>
      <c r="HI128" s="563">
        <v>0</v>
      </c>
      <c r="HJ128" s="563">
        <v>0</v>
      </c>
      <c r="HK128" s="650">
        <v>7385.4821356901539</v>
      </c>
      <c r="HL128" s="563">
        <v>0</v>
      </c>
      <c r="HM128" s="563">
        <v>0</v>
      </c>
      <c r="HN128" s="563">
        <v>0</v>
      </c>
      <c r="HO128" s="650">
        <v>7295.1104623034371</v>
      </c>
      <c r="HP128" s="564">
        <v>4000</v>
      </c>
      <c r="HQ128" s="565">
        <v>141.79054843201934</v>
      </c>
      <c r="HR128" s="649">
        <v>3.5117760000000007</v>
      </c>
      <c r="HS128" s="646">
        <v>34.417060543499161</v>
      </c>
      <c r="HT128" s="646">
        <v>0</v>
      </c>
      <c r="HU128" s="646">
        <v>0</v>
      </c>
      <c r="HV128" s="646">
        <v>20.922951338469353</v>
      </c>
      <c r="HW128" s="646">
        <v>1.5708096052841913</v>
      </c>
      <c r="HX128" s="646">
        <v>3600</v>
      </c>
      <c r="HY128" s="563" t="s">
        <v>68</v>
      </c>
      <c r="HZ128" s="563">
        <v>2</v>
      </c>
      <c r="IA128" s="563">
        <v>0</v>
      </c>
      <c r="IB128" s="563">
        <v>0</v>
      </c>
      <c r="IC128" s="563">
        <v>0</v>
      </c>
      <c r="ID128" s="650">
        <v>6513.3830144487802</v>
      </c>
      <c r="IE128" s="563">
        <v>0</v>
      </c>
      <c r="IF128" s="563">
        <v>0</v>
      </c>
      <c r="IG128" s="563">
        <v>0</v>
      </c>
      <c r="IH128" s="650">
        <v>6433.6826900001097</v>
      </c>
      <c r="II128" s="564">
        <v>4000</v>
      </c>
      <c r="IJ128" s="565">
        <v>141.79054843201934</v>
      </c>
      <c r="IK128" s="649">
        <v>3.5117760000000007</v>
      </c>
      <c r="IL128" s="646">
        <v>34.417060543499161</v>
      </c>
      <c r="IM128" s="646">
        <v>0</v>
      </c>
      <c r="IN128" s="646">
        <v>0</v>
      </c>
      <c r="IO128" s="646">
        <v>20.922951338469353</v>
      </c>
      <c r="IP128" s="646">
        <v>1.5708096052841913</v>
      </c>
      <c r="IQ128" s="646">
        <v>3600</v>
      </c>
      <c r="IR128" s="563" t="s">
        <v>68</v>
      </c>
      <c r="IS128" s="563">
        <v>2</v>
      </c>
      <c r="IT128" s="563">
        <v>0</v>
      </c>
      <c r="IU128" s="563">
        <v>0</v>
      </c>
      <c r="IV128" s="563">
        <v>0</v>
      </c>
      <c r="IW128" s="650">
        <v>6513.3830144487802</v>
      </c>
      <c r="IX128" s="563">
        <v>0</v>
      </c>
      <c r="IY128" s="563">
        <v>0</v>
      </c>
      <c r="IZ128" s="563">
        <v>0</v>
      </c>
      <c r="JA128" s="650">
        <v>6433.6826900001097</v>
      </c>
      <c r="JB128" s="564">
        <v>4000</v>
      </c>
      <c r="JC128" s="565">
        <v>141.79054843201934</v>
      </c>
      <c r="JD128" s="649">
        <v>3.5117760000000007</v>
      </c>
      <c r="JE128" s="646">
        <v>34.417060543499161</v>
      </c>
      <c r="JF128" s="646">
        <v>0</v>
      </c>
      <c r="JG128" s="646">
        <v>0</v>
      </c>
      <c r="JH128" s="646">
        <v>20.922951338469353</v>
      </c>
      <c r="JI128" s="646">
        <v>1.5708096052841913</v>
      </c>
      <c r="JJ128" s="646">
        <v>3600</v>
      </c>
      <c r="JK128" s="563" t="s">
        <v>67</v>
      </c>
      <c r="JL128" s="563">
        <v>2</v>
      </c>
      <c r="JM128" s="563">
        <v>0</v>
      </c>
      <c r="JN128" s="563">
        <v>0</v>
      </c>
      <c r="JO128" s="563">
        <v>0</v>
      </c>
      <c r="JP128" s="650">
        <v>8876.2448447454426</v>
      </c>
      <c r="JQ128" s="563">
        <v>0</v>
      </c>
      <c r="JR128" s="563">
        <v>0</v>
      </c>
      <c r="JS128" s="563">
        <v>0</v>
      </c>
      <c r="JT128" s="650">
        <v>8767.6316106696158</v>
      </c>
      <c r="JU128" s="564">
        <v>4000</v>
      </c>
      <c r="JV128" s="565">
        <v>141.79054843201934</v>
      </c>
      <c r="JW128" s="649">
        <v>3.5117760000000007</v>
      </c>
      <c r="JX128" s="646">
        <v>34.417060543499161</v>
      </c>
      <c r="JY128" s="646">
        <v>0</v>
      </c>
      <c r="JZ128" s="646">
        <v>0</v>
      </c>
      <c r="KA128" s="646">
        <v>20.922951338469353</v>
      </c>
      <c r="KB128" s="646">
        <v>1.5708096052841913</v>
      </c>
      <c r="KC128" s="646">
        <v>3600</v>
      </c>
      <c r="KD128" s="563" t="s">
        <v>67</v>
      </c>
      <c r="KE128" s="563">
        <v>2</v>
      </c>
      <c r="KF128" s="563">
        <v>0</v>
      </c>
      <c r="KG128" s="563">
        <v>0</v>
      </c>
      <c r="KH128" s="563">
        <v>0</v>
      </c>
      <c r="KI128" s="650">
        <v>8876.2448447454426</v>
      </c>
      <c r="KJ128" s="563">
        <v>0</v>
      </c>
      <c r="KK128" s="563">
        <v>0</v>
      </c>
      <c r="KL128" s="563">
        <v>0</v>
      </c>
      <c r="KM128" s="650">
        <v>8767.6316106696158</v>
      </c>
      <c r="KN128" s="564">
        <v>4000</v>
      </c>
      <c r="KO128" s="566">
        <v>141.79054843201934</v>
      </c>
    </row>
    <row r="129" spans="1:301" ht="15" customHeight="1">
      <c r="A129" s="663" t="s">
        <v>883</v>
      </c>
      <c r="B129" s="629" t="s">
        <v>384</v>
      </c>
      <c r="C129" s="629">
        <v>350</v>
      </c>
      <c r="D129" s="629">
        <v>677</v>
      </c>
      <c r="E129" s="629">
        <v>320</v>
      </c>
      <c r="F129" s="629">
        <v>350</v>
      </c>
      <c r="G129" s="629">
        <v>91</v>
      </c>
      <c r="H129" s="629">
        <v>75</v>
      </c>
      <c r="I129" s="629">
        <v>75</v>
      </c>
      <c r="J129" s="629">
        <v>34.840000000000003</v>
      </c>
      <c r="K129" s="629">
        <v>64.25</v>
      </c>
      <c r="L129" s="629">
        <v>16</v>
      </c>
      <c r="M129" s="629">
        <v>204</v>
      </c>
      <c r="N129" s="629">
        <v>3</v>
      </c>
      <c r="O129" s="623">
        <v>6.5833078972924195</v>
      </c>
      <c r="P129" s="629">
        <v>3</v>
      </c>
      <c r="Q129" s="623">
        <v>4.0120585223333309</v>
      </c>
      <c r="R129" s="629">
        <v>13.000000000000002</v>
      </c>
      <c r="S129" s="629">
        <v>491.34057199553052</v>
      </c>
      <c r="T129" s="645">
        <v>19.349428600472979</v>
      </c>
      <c r="U129" s="645">
        <v>73.701085799329576</v>
      </c>
      <c r="V129" s="645">
        <v>85</v>
      </c>
      <c r="W129" s="793">
        <v>2.1349489729848785</v>
      </c>
      <c r="X129" s="646">
        <v>0</v>
      </c>
      <c r="Y129" s="646">
        <v>0</v>
      </c>
      <c r="Z129" s="646">
        <v>0</v>
      </c>
      <c r="AA129" s="646">
        <v>0</v>
      </c>
      <c r="AB129" s="647">
        <v>3.4474529042511075</v>
      </c>
      <c r="AC129" s="784">
        <v>4000</v>
      </c>
      <c r="AD129" s="631">
        <v>2.3349606056645249</v>
      </c>
      <c r="AE129" s="631">
        <v>0.69605397264490643</v>
      </c>
      <c r="AF129" s="631">
        <v>-0.1992880915750587</v>
      </c>
      <c r="AG129" s="631">
        <v>0.6106821508349296</v>
      </c>
      <c r="AH129" s="629"/>
      <c r="AI129" s="648">
        <v>1.7370604692947818</v>
      </c>
      <c r="AJ129" s="649">
        <v>5.7650400000000008</v>
      </c>
      <c r="AK129" s="646">
        <v>37.84478399308361</v>
      </c>
      <c r="AL129" s="646">
        <v>0</v>
      </c>
      <c r="AM129" s="646">
        <v>0</v>
      </c>
      <c r="AN129" s="646">
        <v>24.63911004237141</v>
      </c>
      <c r="AO129" s="646">
        <v>1.8148279105972027</v>
      </c>
      <c r="AP129" s="801">
        <v>3600</v>
      </c>
      <c r="AQ129" s="563" t="s">
        <v>71</v>
      </c>
      <c r="AR129" s="563">
        <v>3</v>
      </c>
      <c r="AS129" s="563">
        <v>0</v>
      </c>
      <c r="AT129" s="563">
        <v>0</v>
      </c>
      <c r="AU129" s="563">
        <v>0</v>
      </c>
      <c r="AV129" s="650">
        <v>4924.628559336481</v>
      </c>
      <c r="AW129" s="563">
        <v>0</v>
      </c>
      <c r="AX129" s="563">
        <v>0</v>
      </c>
      <c r="AY129" s="563">
        <v>0</v>
      </c>
      <c r="AZ129" s="650">
        <v>5363.3634885816964</v>
      </c>
      <c r="BA129" s="564">
        <v>4000</v>
      </c>
      <c r="BB129" s="565">
        <v>141.79054843201934</v>
      </c>
      <c r="BC129" s="649">
        <v>5.7650400000000008</v>
      </c>
      <c r="BD129" s="646">
        <v>37.84478399308361</v>
      </c>
      <c r="BE129" s="646">
        <v>0</v>
      </c>
      <c r="BF129" s="646">
        <v>0</v>
      </c>
      <c r="BG129" s="646">
        <v>24.63911004237141</v>
      </c>
      <c r="BH129" s="646">
        <v>1.8148279105972027</v>
      </c>
      <c r="BI129" s="646">
        <v>3600</v>
      </c>
      <c r="BJ129" s="563" t="s">
        <v>71</v>
      </c>
      <c r="BK129" s="563">
        <v>3</v>
      </c>
      <c r="BL129" s="563">
        <v>0</v>
      </c>
      <c r="BM129" s="563">
        <v>0</v>
      </c>
      <c r="BN129" s="563">
        <v>0</v>
      </c>
      <c r="BO129" s="650">
        <v>4924.628559336481</v>
      </c>
      <c r="BP129" s="563">
        <v>0</v>
      </c>
      <c r="BQ129" s="563">
        <v>0</v>
      </c>
      <c r="BR129" s="563">
        <v>0</v>
      </c>
      <c r="BS129" s="650">
        <v>5363.3634885816964</v>
      </c>
      <c r="BT129" s="564">
        <v>4000</v>
      </c>
      <c r="BU129" s="565">
        <v>141.79054843201934</v>
      </c>
      <c r="BV129" s="649">
        <v>5.7650400000000008</v>
      </c>
      <c r="BW129" s="646">
        <v>37.84478399308361</v>
      </c>
      <c r="BX129" s="646">
        <v>0</v>
      </c>
      <c r="BY129" s="646">
        <v>0</v>
      </c>
      <c r="BZ129" s="646">
        <v>24.63911004237141</v>
      </c>
      <c r="CA129" s="646">
        <v>1.8148279105972027</v>
      </c>
      <c r="CB129" s="646">
        <v>3600</v>
      </c>
      <c r="CC129" s="563" t="s">
        <v>1584</v>
      </c>
      <c r="CD129" s="563">
        <v>3</v>
      </c>
      <c r="CE129" s="563">
        <v>0</v>
      </c>
      <c r="CF129" s="563">
        <v>0</v>
      </c>
      <c r="CG129" s="563">
        <v>0</v>
      </c>
      <c r="CH129" s="650">
        <v>4577.5210551762284</v>
      </c>
      <c r="CI129" s="563">
        <v>0</v>
      </c>
      <c r="CJ129" s="563">
        <v>0</v>
      </c>
      <c r="CK129" s="563">
        <v>0</v>
      </c>
      <c r="CL129" s="650">
        <v>4985.3321930241163</v>
      </c>
      <c r="CM129" s="564">
        <v>4000</v>
      </c>
      <c r="CN129" s="565">
        <v>141.79054843201934</v>
      </c>
      <c r="CO129" s="649">
        <v>5.7650400000000008</v>
      </c>
      <c r="CP129" s="646">
        <v>37.84478399308361</v>
      </c>
      <c r="CQ129" s="646">
        <v>0</v>
      </c>
      <c r="CR129" s="646">
        <v>0</v>
      </c>
      <c r="CS129" s="646">
        <v>24.63911004237141</v>
      </c>
      <c r="CT129" s="646">
        <v>1.8148279105972027</v>
      </c>
      <c r="CU129" s="646">
        <v>3600</v>
      </c>
      <c r="CV129" s="563" t="s">
        <v>1584</v>
      </c>
      <c r="CW129" s="563">
        <v>3</v>
      </c>
      <c r="CX129" s="563">
        <v>0</v>
      </c>
      <c r="CY129" s="563">
        <v>0</v>
      </c>
      <c r="CZ129" s="563">
        <v>0</v>
      </c>
      <c r="DA129" s="650">
        <v>4577.5210551762284</v>
      </c>
      <c r="DB129" s="563">
        <v>0</v>
      </c>
      <c r="DC129" s="563">
        <v>0</v>
      </c>
      <c r="DD129" s="563">
        <v>0</v>
      </c>
      <c r="DE129" s="650">
        <v>4985.3321930241163</v>
      </c>
      <c r="DF129" s="564">
        <v>4000</v>
      </c>
      <c r="DG129" s="565">
        <v>141.79054843201934</v>
      </c>
      <c r="DH129" s="649">
        <v>3.8433600000000006</v>
      </c>
      <c r="DI129" s="646">
        <v>35.923103993083615</v>
      </c>
      <c r="DJ129" s="646">
        <v>0</v>
      </c>
      <c r="DK129" s="646">
        <v>0</v>
      </c>
      <c r="DL129" s="646">
        <v>23.951126202819736</v>
      </c>
      <c r="DM129" s="646">
        <v>1.6753069765072026</v>
      </c>
      <c r="DN129" s="646">
        <v>3600</v>
      </c>
      <c r="DO129" s="563" t="s">
        <v>1585</v>
      </c>
      <c r="DP129" s="563">
        <v>2</v>
      </c>
      <c r="DQ129" s="563">
        <v>0</v>
      </c>
      <c r="DR129" s="563">
        <v>0</v>
      </c>
      <c r="DS129" s="563">
        <v>0</v>
      </c>
      <c r="DT129" s="650">
        <v>3904.8365409904541</v>
      </c>
      <c r="DU129" s="563">
        <v>0</v>
      </c>
      <c r="DV129" s="563">
        <v>0</v>
      </c>
      <c r="DW129" s="563">
        <v>0</v>
      </c>
      <c r="DX129" s="650">
        <v>4226.557882996578</v>
      </c>
      <c r="DY129" s="564">
        <v>3904.8365409904541</v>
      </c>
      <c r="DZ129" s="565">
        <v>138.41722867110644</v>
      </c>
      <c r="EA129" s="649">
        <v>3.8433600000000006</v>
      </c>
      <c r="EB129" s="646">
        <v>35.923103993083615</v>
      </c>
      <c r="EC129" s="646">
        <v>0</v>
      </c>
      <c r="ED129" s="646">
        <v>0</v>
      </c>
      <c r="EE129" s="646">
        <v>23.951126202819736</v>
      </c>
      <c r="EF129" s="646">
        <v>1.6753069765072026</v>
      </c>
      <c r="EG129" s="646">
        <v>3600</v>
      </c>
      <c r="EH129" s="563" t="s">
        <v>1585</v>
      </c>
      <c r="EI129" s="563">
        <v>2</v>
      </c>
      <c r="EJ129" s="563">
        <v>0</v>
      </c>
      <c r="EK129" s="563">
        <v>0</v>
      </c>
      <c r="EL129" s="563">
        <v>0</v>
      </c>
      <c r="EM129" s="650">
        <v>3904.8365409904541</v>
      </c>
      <c r="EN129" s="563">
        <v>0</v>
      </c>
      <c r="EO129" s="563">
        <v>0</v>
      </c>
      <c r="EP129" s="563">
        <v>0</v>
      </c>
      <c r="EQ129" s="650">
        <v>4226.557882996578</v>
      </c>
      <c r="ER129" s="564">
        <v>3904.8365409904541</v>
      </c>
      <c r="ES129" s="565">
        <v>138.41722867110644</v>
      </c>
      <c r="ET129" s="649">
        <v>3.8433600000000006</v>
      </c>
      <c r="EU129" s="646">
        <v>35.923103993083615</v>
      </c>
      <c r="EV129" s="646">
        <v>0</v>
      </c>
      <c r="EW129" s="646">
        <v>0</v>
      </c>
      <c r="EX129" s="646">
        <v>23.951126202819736</v>
      </c>
      <c r="EY129" s="646">
        <v>1.6753069765072026</v>
      </c>
      <c r="EZ129" s="646">
        <v>3600</v>
      </c>
      <c r="FA129" s="563" t="s">
        <v>1586</v>
      </c>
      <c r="FB129" s="563">
        <v>2</v>
      </c>
      <c r="FC129" s="563">
        <v>0</v>
      </c>
      <c r="FD129" s="563">
        <v>0</v>
      </c>
      <c r="FE129" s="563">
        <v>0</v>
      </c>
      <c r="FF129" s="650">
        <v>4098.581083059813</v>
      </c>
      <c r="FG129" s="563">
        <v>0</v>
      </c>
      <c r="FH129" s="563">
        <v>0</v>
      </c>
      <c r="FI129" s="563">
        <v>0</v>
      </c>
      <c r="FJ129" s="650">
        <v>4436.2651301437554</v>
      </c>
      <c r="FK129" s="564">
        <v>4000</v>
      </c>
      <c r="FL129" s="565">
        <v>141.79054843201934</v>
      </c>
      <c r="FM129" s="649">
        <v>3.8433600000000006</v>
      </c>
      <c r="FN129" s="646">
        <v>35.923103993083615</v>
      </c>
      <c r="FO129" s="646">
        <v>0</v>
      </c>
      <c r="FP129" s="646">
        <v>0</v>
      </c>
      <c r="FQ129" s="646">
        <v>23.951126202819736</v>
      </c>
      <c r="FR129" s="646">
        <v>1.6753069765072026</v>
      </c>
      <c r="FS129" s="646">
        <v>3600</v>
      </c>
      <c r="FT129" s="563" t="s">
        <v>1586</v>
      </c>
      <c r="FU129" s="563">
        <v>2</v>
      </c>
      <c r="FV129" s="563">
        <v>0</v>
      </c>
      <c r="FW129" s="563">
        <v>0</v>
      </c>
      <c r="FX129" s="563">
        <v>0</v>
      </c>
      <c r="FY129" s="650">
        <v>4098.581083059813</v>
      </c>
      <c r="FZ129" s="563">
        <v>0</v>
      </c>
      <c r="GA129" s="563">
        <v>0</v>
      </c>
      <c r="GB129" s="563">
        <v>0</v>
      </c>
      <c r="GC129" s="650">
        <v>4436.2651301437554</v>
      </c>
      <c r="GD129" s="564">
        <v>4000</v>
      </c>
      <c r="GE129" s="565">
        <v>141.79054843201934</v>
      </c>
      <c r="GF129" s="649">
        <v>3.8433600000000006</v>
      </c>
      <c r="GG129" s="646">
        <v>35.923103993083615</v>
      </c>
      <c r="GH129" s="646">
        <v>0</v>
      </c>
      <c r="GI129" s="646">
        <v>0</v>
      </c>
      <c r="GJ129" s="646">
        <v>23.951126202819736</v>
      </c>
      <c r="GK129" s="646">
        <v>1.6753069765072026</v>
      </c>
      <c r="GL129" s="646">
        <v>3600</v>
      </c>
      <c r="GM129" s="563" t="s">
        <v>1587</v>
      </c>
      <c r="GN129" s="563">
        <v>2</v>
      </c>
      <c r="GO129" s="563">
        <v>0</v>
      </c>
      <c r="GP129" s="563">
        <v>0</v>
      </c>
      <c r="GQ129" s="563">
        <v>0</v>
      </c>
      <c r="GR129" s="650">
        <v>4822.7872893609774</v>
      </c>
      <c r="GS129" s="563">
        <v>0</v>
      </c>
      <c r="GT129" s="563">
        <v>0</v>
      </c>
      <c r="GU129" s="563">
        <v>0</v>
      </c>
      <c r="GV129" s="650">
        <v>5220.1390306325166</v>
      </c>
      <c r="GW129" s="564">
        <v>4000</v>
      </c>
      <c r="GX129" s="565">
        <v>141.79054843201934</v>
      </c>
      <c r="GY129" s="649">
        <v>3.8433600000000006</v>
      </c>
      <c r="GZ129" s="646">
        <v>35.923103993083615</v>
      </c>
      <c r="HA129" s="646">
        <v>0</v>
      </c>
      <c r="HB129" s="646">
        <v>0</v>
      </c>
      <c r="HC129" s="646">
        <v>23.951126202819736</v>
      </c>
      <c r="HD129" s="646">
        <v>1.6753069765072026</v>
      </c>
      <c r="HE129" s="646">
        <v>3600</v>
      </c>
      <c r="HF129" s="563" t="s">
        <v>1587</v>
      </c>
      <c r="HG129" s="563">
        <v>2</v>
      </c>
      <c r="HH129" s="563">
        <v>0</v>
      </c>
      <c r="HI129" s="563">
        <v>0</v>
      </c>
      <c r="HJ129" s="563">
        <v>0</v>
      </c>
      <c r="HK129" s="650">
        <v>4822.7872893609774</v>
      </c>
      <c r="HL129" s="563">
        <v>0</v>
      </c>
      <c r="HM129" s="563">
        <v>0</v>
      </c>
      <c r="HN129" s="563">
        <v>0</v>
      </c>
      <c r="HO129" s="650">
        <v>5220.1390306325166</v>
      </c>
      <c r="HP129" s="564">
        <v>4000</v>
      </c>
      <c r="HQ129" s="565">
        <v>141.79054843201934</v>
      </c>
      <c r="HR129" s="649">
        <v>3.8433600000000006</v>
      </c>
      <c r="HS129" s="646">
        <v>35.923103993083615</v>
      </c>
      <c r="HT129" s="646">
        <v>0</v>
      </c>
      <c r="HU129" s="646">
        <v>0</v>
      </c>
      <c r="HV129" s="646">
        <v>23.951126202819736</v>
      </c>
      <c r="HW129" s="646">
        <v>1.6753069765072026</v>
      </c>
      <c r="HX129" s="646">
        <v>3600</v>
      </c>
      <c r="HY129" s="563" t="s">
        <v>68</v>
      </c>
      <c r="HZ129" s="563">
        <v>2</v>
      </c>
      <c r="IA129" s="563">
        <v>0</v>
      </c>
      <c r="IB129" s="563">
        <v>0</v>
      </c>
      <c r="IC129" s="563">
        <v>0</v>
      </c>
      <c r="ID129" s="650">
        <v>4253.2985979374826</v>
      </c>
      <c r="IE129" s="563">
        <v>0</v>
      </c>
      <c r="IF129" s="563">
        <v>0</v>
      </c>
      <c r="IG129" s="563">
        <v>0</v>
      </c>
      <c r="IH129" s="650">
        <v>4603.7298947451409</v>
      </c>
      <c r="II129" s="564">
        <v>4000</v>
      </c>
      <c r="IJ129" s="565">
        <v>141.79054843201934</v>
      </c>
      <c r="IK129" s="649">
        <v>3.8433600000000006</v>
      </c>
      <c r="IL129" s="646">
        <v>35.923103993083615</v>
      </c>
      <c r="IM129" s="646">
        <v>0</v>
      </c>
      <c r="IN129" s="646">
        <v>0</v>
      </c>
      <c r="IO129" s="646">
        <v>23.951126202819736</v>
      </c>
      <c r="IP129" s="646">
        <v>1.6753069765072026</v>
      </c>
      <c r="IQ129" s="646">
        <v>3600</v>
      </c>
      <c r="IR129" s="563" t="s">
        <v>68</v>
      </c>
      <c r="IS129" s="563">
        <v>2</v>
      </c>
      <c r="IT129" s="563">
        <v>0</v>
      </c>
      <c r="IU129" s="563">
        <v>0</v>
      </c>
      <c r="IV129" s="563">
        <v>0</v>
      </c>
      <c r="IW129" s="650">
        <v>4253.2985979374826</v>
      </c>
      <c r="IX129" s="563">
        <v>0</v>
      </c>
      <c r="IY129" s="563">
        <v>0</v>
      </c>
      <c r="IZ129" s="563">
        <v>0</v>
      </c>
      <c r="JA129" s="650">
        <v>4603.7298947451409</v>
      </c>
      <c r="JB129" s="564">
        <v>4000</v>
      </c>
      <c r="JC129" s="565">
        <v>141.79054843201934</v>
      </c>
      <c r="JD129" s="649">
        <v>3.8433600000000006</v>
      </c>
      <c r="JE129" s="646">
        <v>35.923103993083615</v>
      </c>
      <c r="JF129" s="646">
        <v>0</v>
      </c>
      <c r="JG129" s="646">
        <v>0</v>
      </c>
      <c r="JH129" s="646">
        <v>23.951126202819736</v>
      </c>
      <c r="JI129" s="646">
        <v>1.6753069765072026</v>
      </c>
      <c r="JJ129" s="646">
        <v>3600</v>
      </c>
      <c r="JK129" s="563" t="s">
        <v>67</v>
      </c>
      <c r="JL129" s="563">
        <v>2</v>
      </c>
      <c r="JM129" s="563">
        <v>0</v>
      </c>
      <c r="JN129" s="563">
        <v>0</v>
      </c>
      <c r="JO129" s="563">
        <v>0</v>
      </c>
      <c r="JP129" s="650">
        <v>5796.2689541489972</v>
      </c>
      <c r="JQ129" s="563">
        <v>0</v>
      </c>
      <c r="JR129" s="563">
        <v>0</v>
      </c>
      <c r="JS129" s="563">
        <v>0</v>
      </c>
      <c r="JT129" s="650">
        <v>6273.8263133321416</v>
      </c>
      <c r="JU129" s="564">
        <v>4000</v>
      </c>
      <c r="JV129" s="565">
        <v>141.79054843201934</v>
      </c>
      <c r="JW129" s="649">
        <v>3.8433600000000006</v>
      </c>
      <c r="JX129" s="646">
        <v>35.923103993083615</v>
      </c>
      <c r="JY129" s="646">
        <v>0</v>
      </c>
      <c r="JZ129" s="646">
        <v>0</v>
      </c>
      <c r="KA129" s="646">
        <v>23.951126202819736</v>
      </c>
      <c r="KB129" s="646">
        <v>1.6753069765072026</v>
      </c>
      <c r="KC129" s="646">
        <v>3600</v>
      </c>
      <c r="KD129" s="563" t="s">
        <v>67</v>
      </c>
      <c r="KE129" s="563">
        <v>2</v>
      </c>
      <c r="KF129" s="563">
        <v>0</v>
      </c>
      <c r="KG129" s="563">
        <v>0</v>
      </c>
      <c r="KH129" s="563">
        <v>0</v>
      </c>
      <c r="KI129" s="650">
        <v>5796.2689541489972</v>
      </c>
      <c r="KJ129" s="563">
        <v>0</v>
      </c>
      <c r="KK129" s="563">
        <v>0</v>
      </c>
      <c r="KL129" s="563">
        <v>0</v>
      </c>
      <c r="KM129" s="650">
        <v>6273.8263133321416</v>
      </c>
      <c r="KN129" s="564">
        <v>4000</v>
      </c>
      <c r="KO129" s="566">
        <v>141.79054843201934</v>
      </c>
    </row>
    <row r="130" spans="1:301" ht="15" customHeight="1">
      <c r="A130" s="663" t="s">
        <v>884</v>
      </c>
      <c r="B130" s="629" t="s">
        <v>385</v>
      </c>
      <c r="C130" s="629">
        <v>385</v>
      </c>
      <c r="D130" s="629">
        <v>677</v>
      </c>
      <c r="E130" s="629">
        <v>360</v>
      </c>
      <c r="F130" s="629">
        <v>385</v>
      </c>
      <c r="G130" s="629">
        <v>116</v>
      </c>
      <c r="H130" s="629">
        <v>100</v>
      </c>
      <c r="I130" s="629">
        <v>100</v>
      </c>
      <c r="J130" s="629">
        <v>32.619999999999997</v>
      </c>
      <c r="K130" s="629">
        <v>60.51</v>
      </c>
      <c r="L130" s="629">
        <v>16</v>
      </c>
      <c r="M130" s="629">
        <v>190</v>
      </c>
      <c r="N130" s="629">
        <v>3</v>
      </c>
      <c r="O130" s="623">
        <v>6.0802132497465484</v>
      </c>
      <c r="P130" s="629">
        <v>3</v>
      </c>
      <c r="Q130" s="623">
        <v>3.822892577096999</v>
      </c>
      <c r="R130" s="629">
        <v>13.000000000000002</v>
      </c>
      <c r="S130" s="629">
        <v>501.64019492263634</v>
      </c>
      <c r="T130" s="645">
        <v>20.169147696497085</v>
      </c>
      <c r="U130" s="645">
        <v>75.246029238395451</v>
      </c>
      <c r="V130" s="645">
        <v>97.5</v>
      </c>
      <c r="W130" s="793">
        <v>2.5526577553379122</v>
      </c>
      <c r="X130" s="646">
        <v>0</v>
      </c>
      <c r="Y130" s="646">
        <v>0</v>
      </c>
      <c r="Z130" s="646">
        <v>0</v>
      </c>
      <c r="AA130" s="646">
        <v>0</v>
      </c>
      <c r="AB130" s="647">
        <v>3.213960675543559</v>
      </c>
      <c r="AC130" s="784">
        <v>4000</v>
      </c>
      <c r="AD130" s="631">
        <v>2.3082822663629066</v>
      </c>
      <c r="AE130" s="631">
        <v>0.64001862224193418</v>
      </c>
      <c r="AF130" s="631">
        <v>-0.27738843922522366</v>
      </c>
      <c r="AG130" s="631">
        <v>0.57603169659081344</v>
      </c>
      <c r="AH130" s="629"/>
      <c r="AI130" s="648">
        <v>1.8150517337879828</v>
      </c>
      <c r="AJ130" s="649">
        <v>7.159200000000002</v>
      </c>
      <c r="AK130" s="646">
        <v>39.784111278678552</v>
      </c>
      <c r="AL130" s="646">
        <v>0</v>
      </c>
      <c r="AM130" s="646">
        <v>0</v>
      </c>
      <c r="AN130" s="646">
        <v>30.84792270068823</v>
      </c>
      <c r="AO130" s="646">
        <v>1.9633429824811421</v>
      </c>
      <c r="AP130" s="801">
        <v>2550</v>
      </c>
      <c r="AQ130" s="563" t="s">
        <v>71</v>
      </c>
      <c r="AR130" s="563">
        <v>3</v>
      </c>
      <c r="AS130" s="563">
        <v>0</v>
      </c>
      <c r="AT130" s="563">
        <v>0</v>
      </c>
      <c r="AU130" s="563">
        <v>0</v>
      </c>
      <c r="AV130" s="650">
        <v>3390.1091684769531</v>
      </c>
      <c r="AW130" s="563">
        <v>0</v>
      </c>
      <c r="AX130" s="563">
        <v>0</v>
      </c>
      <c r="AY130" s="563">
        <v>0</v>
      </c>
      <c r="AZ130" s="650">
        <v>3622.9352828268547</v>
      </c>
      <c r="BA130" s="564">
        <v>3390.1091684769531</v>
      </c>
      <c r="BB130" s="565">
        <v>120.17135956069106</v>
      </c>
      <c r="BC130" s="649">
        <v>7.159200000000002</v>
      </c>
      <c r="BD130" s="646">
        <v>39.784111278678552</v>
      </c>
      <c r="BE130" s="646">
        <v>0</v>
      </c>
      <c r="BF130" s="646">
        <v>0</v>
      </c>
      <c r="BG130" s="646">
        <v>30.84792270068823</v>
      </c>
      <c r="BH130" s="646">
        <v>1.9633429824811421</v>
      </c>
      <c r="BI130" s="646">
        <v>3187.5</v>
      </c>
      <c r="BJ130" s="563" t="s">
        <v>71</v>
      </c>
      <c r="BK130" s="563">
        <v>3</v>
      </c>
      <c r="BL130" s="563">
        <v>0</v>
      </c>
      <c r="BM130" s="563">
        <v>0</v>
      </c>
      <c r="BN130" s="563">
        <v>0</v>
      </c>
      <c r="BO130" s="650">
        <v>3390.1091684769531</v>
      </c>
      <c r="BP130" s="563">
        <v>0</v>
      </c>
      <c r="BQ130" s="563">
        <v>0</v>
      </c>
      <c r="BR130" s="563">
        <v>0</v>
      </c>
      <c r="BS130" s="650">
        <v>3622.9352828268547</v>
      </c>
      <c r="BT130" s="564">
        <v>3390.1091684769531</v>
      </c>
      <c r="BU130" s="565">
        <v>120.17135956069106</v>
      </c>
      <c r="BV130" s="649">
        <v>9.5456000000000021</v>
      </c>
      <c r="BW130" s="646">
        <v>42.170511278678546</v>
      </c>
      <c r="BX130" s="646">
        <v>0</v>
      </c>
      <c r="BY130" s="646">
        <v>0</v>
      </c>
      <c r="BZ130" s="646">
        <v>31.931725478535647</v>
      </c>
      <c r="CA130" s="646">
        <v>2.1442780406811424</v>
      </c>
      <c r="CB130" s="646">
        <v>2550</v>
      </c>
      <c r="CC130" s="563" t="s">
        <v>1584</v>
      </c>
      <c r="CD130" s="563">
        <v>4</v>
      </c>
      <c r="CE130" s="563">
        <v>0</v>
      </c>
      <c r="CF130" s="563">
        <v>0</v>
      </c>
      <c r="CG130" s="563">
        <v>0</v>
      </c>
      <c r="CH130" s="650">
        <v>3973.0720296616987</v>
      </c>
      <c r="CI130" s="563">
        <v>0</v>
      </c>
      <c r="CJ130" s="563">
        <v>0</v>
      </c>
      <c r="CK130" s="563">
        <v>0</v>
      </c>
      <c r="CL130" s="650">
        <v>3924.8828360265429</v>
      </c>
      <c r="CM130" s="564">
        <v>3924.8828360265429</v>
      </c>
      <c r="CN130" s="565">
        <v>139.12782246290575</v>
      </c>
      <c r="CO130" s="649">
        <v>9.5456000000000021</v>
      </c>
      <c r="CP130" s="646">
        <v>42.170511278678546</v>
      </c>
      <c r="CQ130" s="646">
        <v>0</v>
      </c>
      <c r="CR130" s="646">
        <v>0</v>
      </c>
      <c r="CS130" s="646">
        <v>31.931725478535647</v>
      </c>
      <c r="CT130" s="646">
        <v>2.1442780406811424</v>
      </c>
      <c r="CU130" s="646">
        <v>3187.5</v>
      </c>
      <c r="CV130" s="563" t="s">
        <v>1584</v>
      </c>
      <c r="CW130" s="563">
        <v>4</v>
      </c>
      <c r="CX130" s="563">
        <v>0</v>
      </c>
      <c r="CY130" s="563">
        <v>0</v>
      </c>
      <c r="CZ130" s="563">
        <v>0</v>
      </c>
      <c r="DA130" s="650">
        <v>3973.0720296616987</v>
      </c>
      <c r="DB130" s="563">
        <v>0</v>
      </c>
      <c r="DC130" s="563">
        <v>0</v>
      </c>
      <c r="DD130" s="563">
        <v>0</v>
      </c>
      <c r="DE130" s="650">
        <v>3924.8828360265429</v>
      </c>
      <c r="DF130" s="564">
        <v>3924.8828360265429</v>
      </c>
      <c r="DG130" s="565">
        <v>139.12782246290575</v>
      </c>
      <c r="DH130" s="649">
        <v>7.159200000000002</v>
      </c>
      <c r="DI130" s="646">
        <v>39.784111278678552</v>
      </c>
      <c r="DJ130" s="646">
        <v>0</v>
      </c>
      <c r="DK130" s="646">
        <v>0</v>
      </c>
      <c r="DL130" s="646">
        <v>30.84792270068823</v>
      </c>
      <c r="DM130" s="646">
        <v>1.9633429824811421</v>
      </c>
      <c r="DN130" s="646">
        <v>2550</v>
      </c>
      <c r="DO130" s="563" t="s">
        <v>1585</v>
      </c>
      <c r="DP130" s="563">
        <v>3</v>
      </c>
      <c r="DQ130" s="563">
        <v>0</v>
      </c>
      <c r="DR130" s="563">
        <v>0</v>
      </c>
      <c r="DS130" s="563">
        <v>0</v>
      </c>
      <c r="DT130" s="650">
        <v>3408.9229813490492</v>
      </c>
      <c r="DU130" s="563">
        <v>0</v>
      </c>
      <c r="DV130" s="563">
        <v>0</v>
      </c>
      <c r="DW130" s="563">
        <v>0</v>
      </c>
      <c r="DX130" s="650">
        <v>3367.5763235461613</v>
      </c>
      <c r="DY130" s="564">
        <v>3367.5763235461613</v>
      </c>
      <c r="DZ130" s="565">
        <v>119.3726234505734</v>
      </c>
      <c r="EA130" s="649">
        <v>9.5456000000000021</v>
      </c>
      <c r="EB130" s="646">
        <v>42.170511278678546</v>
      </c>
      <c r="EC130" s="646">
        <v>0</v>
      </c>
      <c r="ED130" s="646">
        <v>0</v>
      </c>
      <c r="EE130" s="646">
        <v>31.931725478535647</v>
      </c>
      <c r="EF130" s="646">
        <v>2.1442780406811424</v>
      </c>
      <c r="EG130" s="646">
        <v>3187.5</v>
      </c>
      <c r="EH130" s="563" t="s">
        <v>1585</v>
      </c>
      <c r="EI130" s="563">
        <v>4</v>
      </c>
      <c r="EJ130" s="563">
        <v>0</v>
      </c>
      <c r="EK130" s="563">
        <v>0</v>
      </c>
      <c r="EL130" s="563">
        <v>0</v>
      </c>
      <c r="EM130" s="650">
        <v>4247.39265941958</v>
      </c>
      <c r="EN130" s="563">
        <v>0</v>
      </c>
      <c r="EO130" s="563">
        <v>0</v>
      </c>
      <c r="EP130" s="563">
        <v>0</v>
      </c>
      <c r="EQ130" s="650">
        <v>4195.8762444688491</v>
      </c>
      <c r="ER130" s="564">
        <v>4000</v>
      </c>
      <c r="ES130" s="565">
        <v>141.79054843201934</v>
      </c>
      <c r="ET130" s="649">
        <v>7.159200000000002</v>
      </c>
      <c r="EU130" s="646">
        <v>39.784111278678552</v>
      </c>
      <c r="EV130" s="646">
        <v>0</v>
      </c>
      <c r="EW130" s="646">
        <v>0</v>
      </c>
      <c r="EX130" s="646">
        <v>30.84792270068823</v>
      </c>
      <c r="EY130" s="646">
        <v>1.9633429824811421</v>
      </c>
      <c r="EZ130" s="646">
        <v>2550</v>
      </c>
      <c r="FA130" s="563" t="s">
        <v>1586</v>
      </c>
      <c r="FB130" s="563">
        <v>3</v>
      </c>
      <c r="FC130" s="563">
        <v>0</v>
      </c>
      <c r="FD130" s="563">
        <v>0</v>
      </c>
      <c r="FE130" s="563">
        <v>0</v>
      </c>
      <c r="FF130" s="650">
        <v>3479.2174486464992</v>
      </c>
      <c r="FG130" s="563">
        <v>0</v>
      </c>
      <c r="FH130" s="563">
        <v>0</v>
      </c>
      <c r="FI130" s="563">
        <v>0</v>
      </c>
      <c r="FJ130" s="650">
        <v>3437.0181927374429</v>
      </c>
      <c r="FK130" s="564">
        <v>3437.0181927374429</v>
      </c>
      <c r="FL130" s="565">
        <v>121.83417362976749</v>
      </c>
      <c r="FM130" s="649">
        <v>9.5456000000000021</v>
      </c>
      <c r="FN130" s="646">
        <v>42.170511278678546</v>
      </c>
      <c r="FO130" s="646">
        <v>0</v>
      </c>
      <c r="FP130" s="646">
        <v>0</v>
      </c>
      <c r="FQ130" s="646">
        <v>31.931725478535647</v>
      </c>
      <c r="FR130" s="646">
        <v>2.1442780406811424</v>
      </c>
      <c r="FS130" s="646">
        <v>3187.5</v>
      </c>
      <c r="FT130" s="563" t="s">
        <v>1586</v>
      </c>
      <c r="FU130" s="563">
        <v>4</v>
      </c>
      <c r="FV130" s="563">
        <v>0</v>
      </c>
      <c r="FW130" s="563">
        <v>0</v>
      </c>
      <c r="FX130" s="563">
        <v>0</v>
      </c>
      <c r="FY130" s="650">
        <v>4334.9769803420113</v>
      </c>
      <c r="FZ130" s="563">
        <v>0</v>
      </c>
      <c r="GA130" s="563">
        <v>0</v>
      </c>
      <c r="GB130" s="563">
        <v>0</v>
      </c>
      <c r="GC130" s="650">
        <v>4282.3982595058542</v>
      </c>
      <c r="GD130" s="564">
        <v>4000</v>
      </c>
      <c r="GE130" s="565">
        <v>141.79054843201934</v>
      </c>
      <c r="GF130" s="649">
        <v>4.772800000000001</v>
      </c>
      <c r="GG130" s="646">
        <v>37.39771127867855</v>
      </c>
      <c r="GH130" s="646">
        <v>0</v>
      </c>
      <c r="GI130" s="646">
        <v>0</v>
      </c>
      <c r="GJ130" s="646">
        <v>29.625801995854218</v>
      </c>
      <c r="GK130" s="646">
        <v>1.7824079242811421</v>
      </c>
      <c r="GL130" s="646">
        <v>2550</v>
      </c>
      <c r="GM130" s="563" t="s">
        <v>1587</v>
      </c>
      <c r="GN130" s="563">
        <v>2</v>
      </c>
      <c r="GO130" s="563">
        <v>0</v>
      </c>
      <c r="GP130" s="563">
        <v>0</v>
      </c>
      <c r="GQ130" s="563">
        <v>0</v>
      </c>
      <c r="GR130" s="650">
        <v>3637.5356148402229</v>
      </c>
      <c r="GS130" s="563">
        <v>0</v>
      </c>
      <c r="GT130" s="563">
        <v>0</v>
      </c>
      <c r="GU130" s="563">
        <v>0</v>
      </c>
      <c r="GV130" s="650">
        <v>3593.4161257422275</v>
      </c>
      <c r="GW130" s="564">
        <v>3593.4161257422275</v>
      </c>
      <c r="GX130" s="565">
        <v>127.37811080336314</v>
      </c>
      <c r="GY130" s="649">
        <v>7.159200000000002</v>
      </c>
      <c r="GZ130" s="646">
        <v>39.784111278678552</v>
      </c>
      <c r="HA130" s="646">
        <v>0</v>
      </c>
      <c r="HB130" s="646">
        <v>0</v>
      </c>
      <c r="HC130" s="646">
        <v>30.84792270068823</v>
      </c>
      <c r="HD130" s="646">
        <v>1.9633429824811421</v>
      </c>
      <c r="HE130" s="646">
        <v>3187.5</v>
      </c>
      <c r="HF130" s="563" t="s">
        <v>1587</v>
      </c>
      <c r="HG130" s="563">
        <v>3</v>
      </c>
      <c r="HH130" s="563">
        <v>0</v>
      </c>
      <c r="HI130" s="563">
        <v>0</v>
      </c>
      <c r="HJ130" s="563">
        <v>0</v>
      </c>
      <c r="HK130" s="650">
        <v>4667.8600342061591</v>
      </c>
      <c r="HL130" s="563">
        <v>0</v>
      </c>
      <c r="HM130" s="563">
        <v>0</v>
      </c>
      <c r="HN130" s="563">
        <v>0</v>
      </c>
      <c r="HO130" s="650">
        <v>4611.2437913162175</v>
      </c>
      <c r="HP130" s="564">
        <v>4000</v>
      </c>
      <c r="HQ130" s="565">
        <v>141.79054843201934</v>
      </c>
      <c r="HR130" s="649">
        <v>7.159200000000002</v>
      </c>
      <c r="HS130" s="646">
        <v>39.784111278678552</v>
      </c>
      <c r="HT130" s="646">
        <v>0</v>
      </c>
      <c r="HU130" s="646">
        <v>0</v>
      </c>
      <c r="HV130" s="646">
        <v>30.84792270068823</v>
      </c>
      <c r="HW130" s="646">
        <v>1.9633429824811421</v>
      </c>
      <c r="HX130" s="646">
        <v>2550</v>
      </c>
      <c r="HY130" s="563" t="s">
        <v>68</v>
      </c>
      <c r="HZ130" s="563">
        <v>3</v>
      </c>
      <c r="IA130" s="563">
        <v>0</v>
      </c>
      <c r="IB130" s="563">
        <v>0</v>
      </c>
      <c r="IC130" s="563">
        <v>0</v>
      </c>
      <c r="ID130" s="650">
        <v>4116.6656017889954</v>
      </c>
      <c r="IE130" s="563">
        <v>0</v>
      </c>
      <c r="IF130" s="563">
        <v>0</v>
      </c>
      <c r="IG130" s="563">
        <v>0</v>
      </c>
      <c r="IH130" s="650">
        <v>4066.7347688379064</v>
      </c>
      <c r="II130" s="564">
        <v>4000</v>
      </c>
      <c r="IJ130" s="565">
        <v>141.79054843201934</v>
      </c>
      <c r="IK130" s="649">
        <v>7.159200000000002</v>
      </c>
      <c r="IL130" s="646">
        <v>39.784111278678552</v>
      </c>
      <c r="IM130" s="646">
        <v>0</v>
      </c>
      <c r="IN130" s="646">
        <v>0</v>
      </c>
      <c r="IO130" s="646">
        <v>30.84792270068823</v>
      </c>
      <c r="IP130" s="646">
        <v>1.9633429824811421</v>
      </c>
      <c r="IQ130" s="646">
        <v>3187.5</v>
      </c>
      <c r="IR130" s="563" t="s">
        <v>68</v>
      </c>
      <c r="IS130" s="563">
        <v>3</v>
      </c>
      <c r="IT130" s="563">
        <v>0</v>
      </c>
      <c r="IU130" s="563">
        <v>0</v>
      </c>
      <c r="IV130" s="563">
        <v>0</v>
      </c>
      <c r="IW130" s="650">
        <v>4116.6656017889954</v>
      </c>
      <c r="IX130" s="563">
        <v>0</v>
      </c>
      <c r="IY130" s="563">
        <v>0</v>
      </c>
      <c r="IZ130" s="563">
        <v>0</v>
      </c>
      <c r="JA130" s="650">
        <v>4066.7347688379064</v>
      </c>
      <c r="JB130" s="564">
        <v>4000</v>
      </c>
      <c r="JC130" s="565">
        <v>141.79054843201934</v>
      </c>
      <c r="JD130" s="649">
        <v>4.772800000000001</v>
      </c>
      <c r="JE130" s="646">
        <v>37.39771127867855</v>
      </c>
      <c r="JF130" s="646">
        <v>0</v>
      </c>
      <c r="JG130" s="646">
        <v>0</v>
      </c>
      <c r="JH130" s="646">
        <v>29.625801995854218</v>
      </c>
      <c r="JI130" s="646">
        <v>1.7824079242811421</v>
      </c>
      <c r="JJ130" s="646">
        <v>2550</v>
      </c>
      <c r="JK130" s="563" t="s">
        <v>67</v>
      </c>
      <c r="JL130" s="563">
        <v>2</v>
      </c>
      <c r="JM130" s="563">
        <v>0</v>
      </c>
      <c r="JN130" s="563">
        <v>0</v>
      </c>
      <c r="JO130" s="563">
        <v>0</v>
      </c>
      <c r="JP130" s="650">
        <v>4371.7737252109255</v>
      </c>
      <c r="JQ130" s="563">
        <v>0</v>
      </c>
      <c r="JR130" s="563">
        <v>0</v>
      </c>
      <c r="JS130" s="563">
        <v>0</v>
      </c>
      <c r="JT130" s="650">
        <v>4318.7486984809111</v>
      </c>
      <c r="JU130" s="564">
        <v>4000</v>
      </c>
      <c r="JV130" s="565">
        <v>141.79054843201934</v>
      </c>
      <c r="JW130" s="649">
        <v>4.772800000000001</v>
      </c>
      <c r="JX130" s="646">
        <v>37.39771127867855</v>
      </c>
      <c r="JY130" s="646">
        <v>0</v>
      </c>
      <c r="JZ130" s="646">
        <v>0</v>
      </c>
      <c r="KA130" s="646">
        <v>29.625801995854218</v>
      </c>
      <c r="KB130" s="646">
        <v>1.7824079242811421</v>
      </c>
      <c r="KC130" s="646">
        <v>3187.5</v>
      </c>
      <c r="KD130" s="563" t="s">
        <v>67</v>
      </c>
      <c r="KE130" s="563">
        <v>2</v>
      </c>
      <c r="KF130" s="563">
        <v>0</v>
      </c>
      <c r="KG130" s="563">
        <v>0</v>
      </c>
      <c r="KH130" s="563">
        <v>0</v>
      </c>
      <c r="KI130" s="650">
        <v>4371.7737252109255</v>
      </c>
      <c r="KJ130" s="563">
        <v>0</v>
      </c>
      <c r="KK130" s="563">
        <v>0</v>
      </c>
      <c r="KL130" s="563">
        <v>0</v>
      </c>
      <c r="KM130" s="650">
        <v>4318.7486984809111</v>
      </c>
      <c r="KN130" s="564">
        <v>4000</v>
      </c>
      <c r="KO130" s="566">
        <v>141.79054843201934</v>
      </c>
    </row>
    <row r="131" spans="1:301" ht="15" customHeight="1">
      <c r="A131" s="663" t="s">
        <v>885</v>
      </c>
      <c r="B131" s="629" t="s">
        <v>385</v>
      </c>
      <c r="C131" s="629">
        <v>375</v>
      </c>
      <c r="D131" s="629">
        <v>677</v>
      </c>
      <c r="E131" s="629">
        <v>410</v>
      </c>
      <c r="F131" s="629">
        <v>375</v>
      </c>
      <c r="G131" s="629">
        <v>126</v>
      </c>
      <c r="H131" s="629">
        <v>110</v>
      </c>
      <c r="I131" s="629">
        <v>110</v>
      </c>
      <c r="J131" s="629">
        <v>39.17</v>
      </c>
      <c r="K131" s="629">
        <v>61.34</v>
      </c>
      <c r="L131" s="629">
        <v>16</v>
      </c>
      <c r="M131" s="629">
        <v>195</v>
      </c>
      <c r="N131" s="629">
        <v>3</v>
      </c>
      <c r="O131" s="623">
        <v>5.3681123699481672</v>
      </c>
      <c r="P131" s="629">
        <v>3</v>
      </c>
      <c r="Q131" s="623">
        <v>3.5400026993356675</v>
      </c>
      <c r="R131" s="629">
        <v>13.000000000000002</v>
      </c>
      <c r="S131" s="629">
        <v>516.65988043224684</v>
      </c>
      <c r="T131" s="645">
        <v>21.395003833462855</v>
      </c>
      <c r="U131" s="645">
        <v>77.498982064837023</v>
      </c>
      <c r="V131" s="645">
        <v>97.5</v>
      </c>
      <c r="W131" s="793">
        <v>2.707805172672642</v>
      </c>
      <c r="X131" s="646">
        <v>0</v>
      </c>
      <c r="Y131" s="646">
        <v>0</v>
      </c>
      <c r="Z131" s="646">
        <v>0</v>
      </c>
      <c r="AA131" s="646">
        <v>0</v>
      </c>
      <c r="AB131" s="647">
        <v>5.3962955926030611</v>
      </c>
      <c r="AC131" s="784">
        <v>4000</v>
      </c>
      <c r="AD131" s="631">
        <v>2.5018235396828636</v>
      </c>
      <c r="AE131" s="631">
        <v>0.8147085894475915</v>
      </c>
      <c r="AF131" s="631">
        <v>-0.16899052938488204</v>
      </c>
      <c r="AG131" s="631">
        <v>0.43993061470285405</v>
      </c>
      <c r="AH131" s="629"/>
      <c r="AI131" s="648">
        <v>1.9053897858716242</v>
      </c>
      <c r="AJ131" s="649">
        <v>10.776480000000001</v>
      </c>
      <c r="AK131" s="646">
        <v>43.787404075419332</v>
      </c>
      <c r="AL131" s="646">
        <v>0</v>
      </c>
      <c r="AM131" s="646">
        <v>0</v>
      </c>
      <c r="AN131" s="646">
        <v>33.333371152001185</v>
      </c>
      <c r="AO131" s="646">
        <v>2.2619911968587489</v>
      </c>
      <c r="AP131" s="801">
        <v>3600</v>
      </c>
      <c r="AQ131" s="563" t="s">
        <v>71</v>
      </c>
      <c r="AR131" s="563">
        <v>4</v>
      </c>
      <c r="AS131" s="563">
        <v>0</v>
      </c>
      <c r="AT131" s="563">
        <v>0</v>
      </c>
      <c r="AU131" s="563">
        <v>0</v>
      </c>
      <c r="AV131" s="650">
        <v>3924.4843932319855</v>
      </c>
      <c r="AW131" s="563">
        <v>0</v>
      </c>
      <c r="AX131" s="563">
        <v>0</v>
      </c>
      <c r="AY131" s="563">
        <v>0</v>
      </c>
      <c r="AZ131" s="650">
        <v>4075.9605527103408</v>
      </c>
      <c r="BA131" s="564">
        <v>3924.4843932319855</v>
      </c>
      <c r="BB131" s="565">
        <v>139.11369860731597</v>
      </c>
      <c r="BC131" s="649">
        <v>10.776480000000001</v>
      </c>
      <c r="BD131" s="646">
        <v>43.787404075419332</v>
      </c>
      <c r="BE131" s="646">
        <v>0</v>
      </c>
      <c r="BF131" s="646">
        <v>0</v>
      </c>
      <c r="BG131" s="646">
        <v>33.333371152001185</v>
      </c>
      <c r="BH131" s="646">
        <v>2.2619911968587489</v>
      </c>
      <c r="BI131" s="646">
        <v>3600</v>
      </c>
      <c r="BJ131" s="563" t="s">
        <v>71</v>
      </c>
      <c r="BK131" s="563">
        <v>4</v>
      </c>
      <c r="BL131" s="563">
        <v>0</v>
      </c>
      <c r="BM131" s="563">
        <v>0</v>
      </c>
      <c r="BN131" s="563">
        <v>0</v>
      </c>
      <c r="BO131" s="650">
        <v>3924.4843932319855</v>
      </c>
      <c r="BP131" s="563">
        <v>0</v>
      </c>
      <c r="BQ131" s="563">
        <v>0</v>
      </c>
      <c r="BR131" s="563">
        <v>0</v>
      </c>
      <c r="BS131" s="650">
        <v>4075.9605527103408</v>
      </c>
      <c r="BT131" s="564">
        <v>3924.4843932319855</v>
      </c>
      <c r="BU131" s="565">
        <v>139.11369860731597</v>
      </c>
      <c r="BV131" s="649">
        <v>10.776480000000001</v>
      </c>
      <c r="BW131" s="646">
        <v>43.787404075419332</v>
      </c>
      <c r="BX131" s="646">
        <v>0</v>
      </c>
      <c r="BY131" s="646">
        <v>0</v>
      </c>
      <c r="BZ131" s="646">
        <v>33.333371152001185</v>
      </c>
      <c r="CA131" s="646">
        <v>2.2619911968587489</v>
      </c>
      <c r="CB131" s="646">
        <v>3600</v>
      </c>
      <c r="CC131" s="563" t="s">
        <v>1584</v>
      </c>
      <c r="CD131" s="563">
        <v>4</v>
      </c>
      <c r="CE131" s="563">
        <v>0</v>
      </c>
      <c r="CF131" s="563">
        <v>0</v>
      </c>
      <c r="CG131" s="563">
        <v>0</v>
      </c>
      <c r="CH131" s="650">
        <v>3589.7330188763858</v>
      </c>
      <c r="CI131" s="563">
        <v>0</v>
      </c>
      <c r="CJ131" s="563">
        <v>0</v>
      </c>
      <c r="CK131" s="563">
        <v>0</v>
      </c>
      <c r="CL131" s="650">
        <v>3543.9767983159309</v>
      </c>
      <c r="CM131" s="564">
        <v>3543.9767983159309</v>
      </c>
      <c r="CN131" s="565">
        <v>125.62560346589196</v>
      </c>
      <c r="CO131" s="649">
        <v>13.470600000000001</v>
      </c>
      <c r="CP131" s="646">
        <v>46.48152407541933</v>
      </c>
      <c r="CQ131" s="646">
        <v>0</v>
      </c>
      <c r="CR131" s="646">
        <v>0</v>
      </c>
      <c r="CS131" s="646">
        <v>34.589192669756443</v>
      </c>
      <c r="CT131" s="646">
        <v>2.4636979406687489</v>
      </c>
      <c r="CU131" s="646">
        <v>3600</v>
      </c>
      <c r="CV131" s="563" t="s">
        <v>1584</v>
      </c>
      <c r="CW131" s="563">
        <v>5</v>
      </c>
      <c r="CX131" s="563">
        <v>0</v>
      </c>
      <c r="CY131" s="563">
        <v>0</v>
      </c>
      <c r="CZ131" s="563">
        <v>0</v>
      </c>
      <c r="DA131" s="650">
        <v>4553.3377461092887</v>
      </c>
      <c r="DB131" s="563">
        <v>0</v>
      </c>
      <c r="DC131" s="563">
        <v>0</v>
      </c>
      <c r="DD131" s="563">
        <v>0</v>
      </c>
      <c r="DE131" s="650">
        <v>4495.2990214739084</v>
      </c>
      <c r="DF131" s="564">
        <v>4000</v>
      </c>
      <c r="DG131" s="565">
        <v>141.79054843201934</v>
      </c>
      <c r="DH131" s="649">
        <v>10.776480000000001</v>
      </c>
      <c r="DI131" s="646">
        <v>43.787404075419332</v>
      </c>
      <c r="DJ131" s="646">
        <v>0</v>
      </c>
      <c r="DK131" s="646">
        <v>0</v>
      </c>
      <c r="DL131" s="646">
        <v>33.333371152001185</v>
      </c>
      <c r="DM131" s="646">
        <v>2.2619911968587489</v>
      </c>
      <c r="DN131" s="646">
        <v>3600</v>
      </c>
      <c r="DO131" s="563" t="s">
        <v>1585</v>
      </c>
      <c r="DP131" s="563">
        <v>4</v>
      </c>
      <c r="DQ131" s="563">
        <v>0</v>
      </c>
      <c r="DR131" s="563">
        <v>0</v>
      </c>
      <c r="DS131" s="563">
        <v>0</v>
      </c>
      <c r="DT131" s="650">
        <v>3837.5860190356466</v>
      </c>
      <c r="DU131" s="563">
        <v>0</v>
      </c>
      <c r="DV131" s="563">
        <v>0</v>
      </c>
      <c r="DW131" s="563">
        <v>0</v>
      </c>
      <c r="DX131" s="650">
        <v>3788.6705617068937</v>
      </c>
      <c r="DY131" s="564">
        <v>3788.6705617068937</v>
      </c>
      <c r="DZ131" s="565">
        <v>134.29941919316678</v>
      </c>
      <c r="EA131" s="649">
        <v>10.776480000000001</v>
      </c>
      <c r="EB131" s="646">
        <v>43.787404075419332</v>
      </c>
      <c r="EC131" s="646">
        <v>0</v>
      </c>
      <c r="ED131" s="646">
        <v>0</v>
      </c>
      <c r="EE131" s="646">
        <v>33.333371152001185</v>
      </c>
      <c r="EF131" s="646">
        <v>2.2619911968587489</v>
      </c>
      <c r="EG131" s="646">
        <v>3600</v>
      </c>
      <c r="EH131" s="563" t="s">
        <v>1585</v>
      </c>
      <c r="EI131" s="563">
        <v>4</v>
      </c>
      <c r="EJ131" s="563">
        <v>0</v>
      </c>
      <c r="EK131" s="563">
        <v>0</v>
      </c>
      <c r="EL131" s="563">
        <v>0</v>
      </c>
      <c r="EM131" s="650">
        <v>3837.5860190356466</v>
      </c>
      <c r="EN131" s="563">
        <v>0</v>
      </c>
      <c r="EO131" s="563">
        <v>0</v>
      </c>
      <c r="EP131" s="563">
        <v>0</v>
      </c>
      <c r="EQ131" s="650">
        <v>3788.6705617068937</v>
      </c>
      <c r="ER131" s="564">
        <v>3788.6705617068937</v>
      </c>
      <c r="ES131" s="565">
        <v>134.29941919316678</v>
      </c>
      <c r="ET131" s="649">
        <v>10.776480000000001</v>
      </c>
      <c r="EU131" s="646">
        <v>43.787404075419332</v>
      </c>
      <c r="EV131" s="646">
        <v>0</v>
      </c>
      <c r="EW131" s="646">
        <v>0</v>
      </c>
      <c r="EX131" s="646">
        <v>33.333371152001185</v>
      </c>
      <c r="EY131" s="646">
        <v>2.2619911968587489</v>
      </c>
      <c r="EZ131" s="646">
        <v>3600</v>
      </c>
      <c r="FA131" s="563" t="s">
        <v>1586</v>
      </c>
      <c r="FB131" s="563">
        <v>4</v>
      </c>
      <c r="FC131" s="563">
        <v>0</v>
      </c>
      <c r="FD131" s="563">
        <v>0</v>
      </c>
      <c r="FE131" s="563">
        <v>0</v>
      </c>
      <c r="FF131" s="650">
        <v>3916.7198294484242</v>
      </c>
      <c r="FG131" s="563">
        <v>0</v>
      </c>
      <c r="FH131" s="563">
        <v>0</v>
      </c>
      <c r="FI131" s="563">
        <v>0</v>
      </c>
      <c r="FJ131" s="650">
        <v>3866.7956998689351</v>
      </c>
      <c r="FK131" s="564">
        <v>3866.7956998689351</v>
      </c>
      <c r="FL131" s="565">
        <v>137.06877073974758</v>
      </c>
      <c r="FM131" s="649">
        <v>10.776480000000001</v>
      </c>
      <c r="FN131" s="646">
        <v>43.787404075419332</v>
      </c>
      <c r="FO131" s="646">
        <v>0</v>
      </c>
      <c r="FP131" s="646">
        <v>0</v>
      </c>
      <c r="FQ131" s="646">
        <v>33.333371152001185</v>
      </c>
      <c r="FR131" s="646">
        <v>2.2619911968587489</v>
      </c>
      <c r="FS131" s="646">
        <v>3600</v>
      </c>
      <c r="FT131" s="563" t="s">
        <v>1586</v>
      </c>
      <c r="FU131" s="563">
        <v>4</v>
      </c>
      <c r="FV131" s="563">
        <v>0</v>
      </c>
      <c r="FW131" s="563">
        <v>0</v>
      </c>
      <c r="FX131" s="563">
        <v>0</v>
      </c>
      <c r="FY131" s="650">
        <v>3916.7198294484242</v>
      </c>
      <c r="FZ131" s="563">
        <v>0</v>
      </c>
      <c r="GA131" s="563">
        <v>0</v>
      </c>
      <c r="GB131" s="563">
        <v>0</v>
      </c>
      <c r="GC131" s="650">
        <v>3866.7956998689351</v>
      </c>
      <c r="GD131" s="564">
        <v>3866.7956998689351</v>
      </c>
      <c r="GE131" s="565">
        <v>137.06877073974758</v>
      </c>
      <c r="GF131" s="649">
        <v>8.0823600000000013</v>
      </c>
      <c r="GG131" s="646">
        <v>41.093284075419334</v>
      </c>
      <c r="GH131" s="646">
        <v>0</v>
      </c>
      <c r="GI131" s="646">
        <v>0</v>
      </c>
      <c r="GJ131" s="646">
        <v>31.912883609442201</v>
      </c>
      <c r="GK131" s="646">
        <v>2.060284453048749</v>
      </c>
      <c r="GL131" s="646">
        <v>3600</v>
      </c>
      <c r="GM131" s="563" t="s">
        <v>1587</v>
      </c>
      <c r="GN131" s="563">
        <v>3</v>
      </c>
      <c r="GO131" s="563">
        <v>0</v>
      </c>
      <c r="GP131" s="563">
        <v>0</v>
      </c>
      <c r="GQ131" s="563">
        <v>0</v>
      </c>
      <c r="GR131" s="650">
        <v>4254.6515347326358</v>
      </c>
      <c r="GS131" s="563">
        <v>0</v>
      </c>
      <c r="GT131" s="563">
        <v>0</v>
      </c>
      <c r="GU131" s="563">
        <v>0</v>
      </c>
      <c r="GV131" s="650">
        <v>4200.4199879832231</v>
      </c>
      <c r="GW131" s="564">
        <v>4000</v>
      </c>
      <c r="GX131" s="565">
        <v>141.79054843201934</v>
      </c>
      <c r="GY131" s="649">
        <v>8.0823600000000013</v>
      </c>
      <c r="GZ131" s="646">
        <v>41.093284075419334</v>
      </c>
      <c r="HA131" s="646">
        <v>0</v>
      </c>
      <c r="HB131" s="646">
        <v>0</v>
      </c>
      <c r="HC131" s="646">
        <v>31.912883609442201</v>
      </c>
      <c r="HD131" s="646">
        <v>2.060284453048749</v>
      </c>
      <c r="HE131" s="646">
        <v>3600</v>
      </c>
      <c r="HF131" s="563" t="s">
        <v>1587</v>
      </c>
      <c r="HG131" s="563">
        <v>3</v>
      </c>
      <c r="HH131" s="563">
        <v>0</v>
      </c>
      <c r="HI131" s="563">
        <v>0</v>
      </c>
      <c r="HJ131" s="563">
        <v>0</v>
      </c>
      <c r="HK131" s="650">
        <v>4254.6515347326358</v>
      </c>
      <c r="HL131" s="563">
        <v>0</v>
      </c>
      <c r="HM131" s="563">
        <v>0</v>
      </c>
      <c r="HN131" s="563">
        <v>0</v>
      </c>
      <c r="HO131" s="650">
        <v>4200.4199879832231</v>
      </c>
      <c r="HP131" s="564">
        <v>4000</v>
      </c>
      <c r="HQ131" s="565">
        <v>141.79054843201934</v>
      </c>
      <c r="HR131" s="649">
        <v>8.0823600000000013</v>
      </c>
      <c r="HS131" s="646">
        <v>41.093284075419334</v>
      </c>
      <c r="HT131" s="646">
        <v>0</v>
      </c>
      <c r="HU131" s="646">
        <v>0</v>
      </c>
      <c r="HV131" s="646">
        <v>31.912883609442201</v>
      </c>
      <c r="HW131" s="646">
        <v>2.060284453048749</v>
      </c>
      <c r="HX131" s="646">
        <v>3600</v>
      </c>
      <c r="HY131" s="563" t="s">
        <v>68</v>
      </c>
      <c r="HZ131" s="563">
        <v>3</v>
      </c>
      <c r="IA131" s="563">
        <v>0</v>
      </c>
      <c r="IB131" s="563">
        <v>0</v>
      </c>
      <c r="IC131" s="563">
        <v>0</v>
      </c>
      <c r="ID131" s="650">
        <v>3752.2499587139328</v>
      </c>
      <c r="IE131" s="563">
        <v>0</v>
      </c>
      <c r="IF131" s="563">
        <v>0</v>
      </c>
      <c r="IG131" s="563">
        <v>0</v>
      </c>
      <c r="IH131" s="650">
        <v>3704.4222300761699</v>
      </c>
      <c r="II131" s="564">
        <v>3704.4222300761699</v>
      </c>
      <c r="IJ131" s="565">
        <v>131.31301490656605</v>
      </c>
      <c r="IK131" s="649">
        <v>8.0823600000000013</v>
      </c>
      <c r="IL131" s="646">
        <v>41.093284075419334</v>
      </c>
      <c r="IM131" s="646">
        <v>0</v>
      </c>
      <c r="IN131" s="646">
        <v>0</v>
      </c>
      <c r="IO131" s="646">
        <v>31.912883609442201</v>
      </c>
      <c r="IP131" s="646">
        <v>2.060284453048749</v>
      </c>
      <c r="IQ131" s="646">
        <v>3600</v>
      </c>
      <c r="IR131" s="563" t="s">
        <v>68</v>
      </c>
      <c r="IS131" s="563">
        <v>3</v>
      </c>
      <c r="IT131" s="563">
        <v>0</v>
      </c>
      <c r="IU131" s="563">
        <v>0</v>
      </c>
      <c r="IV131" s="563">
        <v>0</v>
      </c>
      <c r="IW131" s="650">
        <v>3752.2499587139328</v>
      </c>
      <c r="IX131" s="563">
        <v>0</v>
      </c>
      <c r="IY131" s="563">
        <v>0</v>
      </c>
      <c r="IZ131" s="563">
        <v>0</v>
      </c>
      <c r="JA131" s="650">
        <v>3704.4222300761699</v>
      </c>
      <c r="JB131" s="564">
        <v>3704.4222300761699</v>
      </c>
      <c r="JC131" s="565">
        <v>131.31301490656605</v>
      </c>
      <c r="JD131" s="649">
        <v>5.3882400000000006</v>
      </c>
      <c r="JE131" s="646">
        <v>38.399164075419336</v>
      </c>
      <c r="JF131" s="646">
        <v>0</v>
      </c>
      <c r="JG131" s="646">
        <v>0</v>
      </c>
      <c r="JH131" s="646">
        <v>30.293070691432725</v>
      </c>
      <c r="JI131" s="646">
        <v>1.8585777092387488</v>
      </c>
      <c r="JJ131" s="646">
        <v>3600</v>
      </c>
      <c r="JK131" s="563" t="s">
        <v>67</v>
      </c>
      <c r="JL131" s="563">
        <v>2</v>
      </c>
      <c r="JM131" s="563">
        <v>0</v>
      </c>
      <c r="JN131" s="563">
        <v>0</v>
      </c>
      <c r="JO131" s="563">
        <v>0</v>
      </c>
      <c r="JP131" s="650">
        <v>4004.0230338472697</v>
      </c>
      <c r="JQ131" s="563">
        <v>0</v>
      </c>
      <c r="JR131" s="563">
        <v>0</v>
      </c>
      <c r="JS131" s="563">
        <v>0</v>
      </c>
      <c r="JT131" s="650">
        <v>3952.986101545056</v>
      </c>
      <c r="JU131" s="564">
        <v>3952.986101545056</v>
      </c>
      <c r="JV131" s="565">
        <v>140.12401682055588</v>
      </c>
      <c r="JW131" s="649">
        <v>5.3882400000000006</v>
      </c>
      <c r="JX131" s="646">
        <v>38.399164075419336</v>
      </c>
      <c r="JY131" s="646">
        <v>0</v>
      </c>
      <c r="JZ131" s="646">
        <v>0</v>
      </c>
      <c r="KA131" s="646">
        <v>30.293070691432725</v>
      </c>
      <c r="KB131" s="646">
        <v>1.8585777092387488</v>
      </c>
      <c r="KC131" s="646">
        <v>3600</v>
      </c>
      <c r="KD131" s="563" t="s">
        <v>67</v>
      </c>
      <c r="KE131" s="563">
        <v>2</v>
      </c>
      <c r="KF131" s="563">
        <v>0</v>
      </c>
      <c r="KG131" s="563">
        <v>0</v>
      </c>
      <c r="KH131" s="563">
        <v>0</v>
      </c>
      <c r="KI131" s="650">
        <v>4004.0230338472697</v>
      </c>
      <c r="KJ131" s="563">
        <v>0</v>
      </c>
      <c r="KK131" s="563">
        <v>0</v>
      </c>
      <c r="KL131" s="563">
        <v>0</v>
      </c>
      <c r="KM131" s="650">
        <v>3952.986101545056</v>
      </c>
      <c r="KN131" s="564">
        <v>3952.986101545056</v>
      </c>
      <c r="KO131" s="566">
        <v>140.12401682055588</v>
      </c>
    </row>
    <row r="132" spans="1:301" ht="15" customHeight="1">
      <c r="A132" s="663" t="s">
        <v>789</v>
      </c>
      <c r="B132" s="629" t="s">
        <v>386</v>
      </c>
      <c r="C132" s="629">
        <v>400</v>
      </c>
      <c r="D132" s="629">
        <v>727</v>
      </c>
      <c r="E132" s="629">
        <v>460</v>
      </c>
      <c r="F132" s="629">
        <v>400</v>
      </c>
      <c r="G132" s="629">
        <v>141</v>
      </c>
      <c r="H132" s="629">
        <v>125</v>
      </c>
      <c r="I132" s="629">
        <v>125</v>
      </c>
      <c r="J132" s="629">
        <v>41</v>
      </c>
      <c r="K132" s="629">
        <v>62.05</v>
      </c>
      <c r="L132" s="629">
        <v>18</v>
      </c>
      <c r="M132" s="629">
        <v>210</v>
      </c>
      <c r="N132" s="629">
        <v>4</v>
      </c>
      <c r="O132" s="623">
        <v>7.8159452721600431</v>
      </c>
      <c r="P132" s="629">
        <v>4</v>
      </c>
      <c r="Q132" s="623">
        <v>5.5099435792087768</v>
      </c>
      <c r="R132" s="629">
        <v>13.000000000000002</v>
      </c>
      <c r="S132" s="629">
        <v>552.36412992554176</v>
      </c>
      <c r="T132" s="645">
        <v>24.454220654900169</v>
      </c>
      <c r="U132" s="645">
        <v>82.854619488831261</v>
      </c>
      <c r="V132" s="645">
        <v>97.5</v>
      </c>
      <c r="W132" s="793">
        <v>3.0949873016358023</v>
      </c>
      <c r="X132" s="646">
        <v>0</v>
      </c>
      <c r="Y132" s="646">
        <v>0</v>
      </c>
      <c r="Z132" s="646">
        <v>0</v>
      </c>
      <c r="AA132" s="646">
        <v>0</v>
      </c>
      <c r="AB132" s="647">
        <v>7.1983046174003222</v>
      </c>
      <c r="AC132" s="784">
        <v>4000</v>
      </c>
      <c r="AD132" s="631">
        <v>2.4182147950644302</v>
      </c>
      <c r="AE132" s="631">
        <v>0.86928673781622645</v>
      </c>
      <c r="AF132" s="631">
        <v>-0.19267335160302518</v>
      </c>
      <c r="AG132" s="631">
        <v>0.40782268326227739</v>
      </c>
      <c r="AH132" s="629"/>
      <c r="AI132" s="648">
        <v>2.3540954113219761</v>
      </c>
      <c r="AJ132" s="649">
        <v>14.836500000000003</v>
      </c>
      <c r="AK132" s="646">
        <v>55.71159680790479</v>
      </c>
      <c r="AL132" s="646">
        <v>0</v>
      </c>
      <c r="AM132" s="646">
        <v>0</v>
      </c>
      <c r="AN132" s="646">
        <v>39.940111016065892</v>
      </c>
      <c r="AO132" s="646">
        <v>3.5068229357183633</v>
      </c>
      <c r="AP132" s="801">
        <v>3150</v>
      </c>
      <c r="AQ132" s="563" t="s">
        <v>71</v>
      </c>
      <c r="AR132" s="563">
        <v>4</v>
      </c>
      <c r="AS132" s="563">
        <v>0</v>
      </c>
      <c r="AT132" s="563">
        <v>0</v>
      </c>
      <c r="AU132" s="563">
        <v>0</v>
      </c>
      <c r="AV132" s="650">
        <v>3185.1305224836005</v>
      </c>
      <c r="AW132" s="563">
        <v>0</v>
      </c>
      <c r="AX132" s="563">
        <v>0</v>
      </c>
      <c r="AY132" s="563">
        <v>0</v>
      </c>
      <c r="AZ132" s="650">
        <v>3349.5725107248736</v>
      </c>
      <c r="BA132" s="564">
        <v>3185.1305224836005</v>
      </c>
      <c r="BB132" s="565">
        <v>121.24400311109441</v>
      </c>
      <c r="BC132" s="649">
        <v>18.545625000000005</v>
      </c>
      <c r="BD132" s="646">
        <v>59.420721807904798</v>
      </c>
      <c r="BE132" s="646">
        <v>0</v>
      </c>
      <c r="BF132" s="646">
        <v>0</v>
      </c>
      <c r="BG132" s="646">
        <v>41.348331005349202</v>
      </c>
      <c r="BH132" s="646">
        <v>3.8260529516089887</v>
      </c>
      <c r="BI132" s="646">
        <v>3600</v>
      </c>
      <c r="BJ132" s="563" t="s">
        <v>71</v>
      </c>
      <c r="BK132" s="563">
        <v>5</v>
      </c>
      <c r="BL132" s="563">
        <v>0</v>
      </c>
      <c r="BM132" s="563">
        <v>0</v>
      </c>
      <c r="BN132" s="563">
        <v>0</v>
      </c>
      <c r="BO132" s="650">
        <v>3780.5177188017938</v>
      </c>
      <c r="BP132" s="563">
        <v>0</v>
      </c>
      <c r="BQ132" s="563">
        <v>0</v>
      </c>
      <c r="BR132" s="563">
        <v>0</v>
      </c>
      <c r="BS132" s="650">
        <v>3992.5301888127001</v>
      </c>
      <c r="BT132" s="564">
        <v>3780.5177188017938</v>
      </c>
      <c r="BU132" s="565">
        <v>143.90779241992971</v>
      </c>
      <c r="BV132" s="649">
        <v>14.836500000000003</v>
      </c>
      <c r="BW132" s="646">
        <v>55.71159680790479</v>
      </c>
      <c r="BX132" s="646">
        <v>0</v>
      </c>
      <c r="BY132" s="646">
        <v>0</v>
      </c>
      <c r="BZ132" s="646">
        <v>39.940111016065892</v>
      </c>
      <c r="CA132" s="646">
        <v>3.5068229357183633</v>
      </c>
      <c r="CB132" s="646">
        <v>3150</v>
      </c>
      <c r="CC132" s="563" t="s">
        <v>1584</v>
      </c>
      <c r="CD132" s="563">
        <v>4</v>
      </c>
      <c r="CE132" s="563">
        <v>0</v>
      </c>
      <c r="CF132" s="563">
        <v>0</v>
      </c>
      <c r="CG132" s="563">
        <v>0</v>
      </c>
      <c r="CH132" s="650">
        <v>2937.9483091157358</v>
      </c>
      <c r="CI132" s="563">
        <v>0</v>
      </c>
      <c r="CJ132" s="563">
        <v>0</v>
      </c>
      <c r="CK132" s="563">
        <v>0</v>
      </c>
      <c r="CL132" s="650">
        <v>2912.3950314956292</v>
      </c>
      <c r="CM132" s="564">
        <v>2912.3950314956292</v>
      </c>
      <c r="CN132" s="565">
        <v>110.86215455436177</v>
      </c>
      <c r="CO132" s="649">
        <v>22.254750000000005</v>
      </c>
      <c r="CP132" s="646">
        <v>63.129846807904798</v>
      </c>
      <c r="CQ132" s="646">
        <v>0</v>
      </c>
      <c r="CR132" s="646">
        <v>0</v>
      </c>
      <c r="CS132" s="646">
        <v>42.59107414867583</v>
      </c>
      <c r="CT132" s="646">
        <v>4.1452829674996137</v>
      </c>
      <c r="CU132" s="646">
        <v>3600</v>
      </c>
      <c r="CV132" s="563" t="s">
        <v>1584</v>
      </c>
      <c r="CW132" s="563">
        <v>6</v>
      </c>
      <c r="CX132" s="563">
        <v>0</v>
      </c>
      <c r="CY132" s="563">
        <v>0</v>
      </c>
      <c r="CZ132" s="563">
        <v>0</v>
      </c>
      <c r="DA132" s="650">
        <v>4273.346034625898</v>
      </c>
      <c r="DB132" s="563">
        <v>0</v>
      </c>
      <c r="DC132" s="563">
        <v>0</v>
      </c>
      <c r="DD132" s="563">
        <v>0</v>
      </c>
      <c r="DE132" s="650">
        <v>4236.1779206565261</v>
      </c>
      <c r="DF132" s="564">
        <v>4000</v>
      </c>
      <c r="DG132" s="565">
        <v>152.26252394398531</v>
      </c>
      <c r="DH132" s="649">
        <v>14.836500000000003</v>
      </c>
      <c r="DI132" s="646">
        <v>55.71159680790479</v>
      </c>
      <c r="DJ132" s="646">
        <v>0</v>
      </c>
      <c r="DK132" s="646">
        <v>0</v>
      </c>
      <c r="DL132" s="646">
        <v>39.940111016065892</v>
      </c>
      <c r="DM132" s="646">
        <v>3.5068229357183633</v>
      </c>
      <c r="DN132" s="646">
        <v>3150</v>
      </c>
      <c r="DO132" s="563" t="s">
        <v>1585</v>
      </c>
      <c r="DP132" s="563">
        <v>4</v>
      </c>
      <c r="DQ132" s="563">
        <v>0</v>
      </c>
      <c r="DR132" s="563">
        <v>0</v>
      </c>
      <c r="DS132" s="563">
        <v>0</v>
      </c>
      <c r="DT132" s="650">
        <v>3140.7988550750529</v>
      </c>
      <c r="DU132" s="563">
        <v>0</v>
      </c>
      <c r="DV132" s="563">
        <v>0</v>
      </c>
      <c r="DW132" s="563">
        <v>0</v>
      </c>
      <c r="DX132" s="650">
        <v>3113.4812522283842</v>
      </c>
      <c r="DY132" s="564">
        <v>3113.4812522283842</v>
      </c>
      <c r="DZ132" s="565">
        <v>118.51662842914342</v>
      </c>
      <c r="EA132" s="649">
        <v>18.545625000000005</v>
      </c>
      <c r="EB132" s="646">
        <v>59.420721807904798</v>
      </c>
      <c r="EC132" s="646">
        <v>0</v>
      </c>
      <c r="ED132" s="646">
        <v>0</v>
      </c>
      <c r="EE132" s="646">
        <v>41.348331005349202</v>
      </c>
      <c r="EF132" s="646">
        <v>3.8260529516089887</v>
      </c>
      <c r="EG132" s="646">
        <v>3600</v>
      </c>
      <c r="EH132" s="563" t="s">
        <v>1585</v>
      </c>
      <c r="EI132" s="563">
        <v>5</v>
      </c>
      <c r="EJ132" s="563">
        <v>0</v>
      </c>
      <c r="EK132" s="563">
        <v>0</v>
      </c>
      <c r="EL132" s="563">
        <v>0</v>
      </c>
      <c r="EM132" s="650">
        <v>3743.6819790407508</v>
      </c>
      <c r="EN132" s="563">
        <v>0</v>
      </c>
      <c r="EO132" s="563">
        <v>0</v>
      </c>
      <c r="EP132" s="563">
        <v>0</v>
      </c>
      <c r="EQ132" s="650">
        <v>3711.1207033214387</v>
      </c>
      <c r="ER132" s="564">
        <v>3711.1207033214387</v>
      </c>
      <c r="ES132" s="565">
        <v>141.26615123712503</v>
      </c>
      <c r="ET132" s="649">
        <v>14.836500000000003</v>
      </c>
      <c r="EU132" s="646">
        <v>55.71159680790479</v>
      </c>
      <c r="EV132" s="646">
        <v>0</v>
      </c>
      <c r="EW132" s="646">
        <v>0</v>
      </c>
      <c r="EX132" s="646">
        <v>39.940111016065892</v>
      </c>
      <c r="EY132" s="646">
        <v>3.5068229357183633</v>
      </c>
      <c r="EZ132" s="646">
        <v>3150</v>
      </c>
      <c r="FA132" s="563" t="s">
        <v>1586</v>
      </c>
      <c r="FB132" s="563">
        <v>4</v>
      </c>
      <c r="FC132" s="563">
        <v>0</v>
      </c>
      <c r="FD132" s="563">
        <v>0</v>
      </c>
      <c r="FE132" s="563">
        <v>0</v>
      </c>
      <c r="FF132" s="650">
        <v>3205.5644081881183</v>
      </c>
      <c r="FG132" s="563">
        <v>0</v>
      </c>
      <c r="FH132" s="563">
        <v>0</v>
      </c>
      <c r="FI132" s="563">
        <v>0</v>
      </c>
      <c r="FJ132" s="650">
        <v>3177.6834965338116</v>
      </c>
      <c r="FK132" s="564">
        <v>3177.6834965338116</v>
      </c>
      <c r="FL132" s="565">
        <v>120.96052736934662</v>
      </c>
      <c r="FM132" s="649">
        <v>18.545625000000005</v>
      </c>
      <c r="FN132" s="646">
        <v>59.420721807904798</v>
      </c>
      <c r="FO132" s="646">
        <v>0</v>
      </c>
      <c r="FP132" s="646">
        <v>0</v>
      </c>
      <c r="FQ132" s="646">
        <v>41.348331005349202</v>
      </c>
      <c r="FR132" s="646">
        <v>3.8260529516089887</v>
      </c>
      <c r="FS132" s="646">
        <v>3600</v>
      </c>
      <c r="FT132" s="563" t="s">
        <v>1586</v>
      </c>
      <c r="FU132" s="563">
        <v>5</v>
      </c>
      <c r="FV132" s="563">
        <v>0</v>
      </c>
      <c r="FW132" s="563">
        <v>0</v>
      </c>
      <c r="FX132" s="563">
        <v>0</v>
      </c>
      <c r="FY132" s="650">
        <v>3820.8794199546787</v>
      </c>
      <c r="FZ132" s="563">
        <v>0</v>
      </c>
      <c r="GA132" s="563">
        <v>0</v>
      </c>
      <c r="GB132" s="563">
        <v>0</v>
      </c>
      <c r="GC132" s="650">
        <v>3787.6467070890735</v>
      </c>
      <c r="GD132" s="564">
        <v>3787.6467070890735</v>
      </c>
      <c r="GE132" s="565">
        <v>144.17916185737678</v>
      </c>
      <c r="GF132" s="649">
        <v>11.127375000000002</v>
      </c>
      <c r="GG132" s="646">
        <v>52.00247180790479</v>
      </c>
      <c r="GH132" s="646">
        <v>0</v>
      </c>
      <c r="GI132" s="646">
        <v>0</v>
      </c>
      <c r="GJ132" s="646">
        <v>38.331005807824326</v>
      </c>
      <c r="GK132" s="646">
        <v>3.1875929198277384</v>
      </c>
      <c r="GL132" s="646">
        <v>3150</v>
      </c>
      <c r="GM132" s="563" t="s">
        <v>1587</v>
      </c>
      <c r="GN132" s="563">
        <v>3</v>
      </c>
      <c r="GO132" s="563">
        <v>0</v>
      </c>
      <c r="GP132" s="563">
        <v>0</v>
      </c>
      <c r="GQ132" s="563">
        <v>0</v>
      </c>
      <c r="GR132" s="650">
        <v>3570.7201926324688</v>
      </c>
      <c r="GS132" s="563">
        <v>0</v>
      </c>
      <c r="GT132" s="563">
        <v>0</v>
      </c>
      <c r="GU132" s="563">
        <v>0</v>
      </c>
      <c r="GV132" s="650">
        <v>3539.6632798533201</v>
      </c>
      <c r="GW132" s="564">
        <v>3539.6632798533201</v>
      </c>
      <c r="GX132" s="565">
        <v>134.73951622557792</v>
      </c>
      <c r="GY132" s="649">
        <v>14.836500000000003</v>
      </c>
      <c r="GZ132" s="646">
        <v>55.71159680790479</v>
      </c>
      <c r="HA132" s="646">
        <v>0</v>
      </c>
      <c r="HB132" s="646">
        <v>0</v>
      </c>
      <c r="HC132" s="646">
        <v>39.940111016065892</v>
      </c>
      <c r="HD132" s="646">
        <v>3.5068229357183633</v>
      </c>
      <c r="HE132" s="646">
        <v>3600</v>
      </c>
      <c r="HF132" s="563" t="s">
        <v>1587</v>
      </c>
      <c r="HG132" s="563">
        <v>4</v>
      </c>
      <c r="HH132" s="563">
        <v>0</v>
      </c>
      <c r="HI132" s="563">
        <v>0</v>
      </c>
      <c r="HJ132" s="563">
        <v>0</v>
      </c>
      <c r="HK132" s="650">
        <v>4300.7159537775333</v>
      </c>
      <c r="HL132" s="563">
        <v>0</v>
      </c>
      <c r="HM132" s="563">
        <v>0</v>
      </c>
      <c r="HN132" s="563">
        <v>0</v>
      </c>
      <c r="HO132" s="650">
        <v>4263.3097855372944</v>
      </c>
      <c r="HP132" s="564">
        <v>4000</v>
      </c>
      <c r="HQ132" s="565">
        <v>152.26252394398531</v>
      </c>
      <c r="HR132" s="649">
        <v>11.127375000000002</v>
      </c>
      <c r="HS132" s="646">
        <v>52.00247180790479</v>
      </c>
      <c r="HT132" s="646">
        <v>0</v>
      </c>
      <c r="HU132" s="646">
        <v>0</v>
      </c>
      <c r="HV132" s="646">
        <v>38.331005807824326</v>
      </c>
      <c r="HW132" s="646">
        <v>3.1875929198277384</v>
      </c>
      <c r="HX132" s="646">
        <v>3150</v>
      </c>
      <c r="HY132" s="563" t="s">
        <v>68</v>
      </c>
      <c r="HZ132" s="563">
        <v>3</v>
      </c>
      <c r="IA132" s="563">
        <v>0</v>
      </c>
      <c r="IB132" s="563">
        <v>0</v>
      </c>
      <c r="IC132" s="563">
        <v>0</v>
      </c>
      <c r="ID132" s="650">
        <v>3149.0792103673866</v>
      </c>
      <c r="IE132" s="563">
        <v>0</v>
      </c>
      <c r="IF132" s="563">
        <v>0</v>
      </c>
      <c r="IG132" s="563">
        <v>0</v>
      </c>
      <c r="IH132" s="650">
        <v>3121.6895877997031</v>
      </c>
      <c r="II132" s="564">
        <v>3121.6895877997031</v>
      </c>
      <c r="IJ132" s="565">
        <v>118.82908390201048</v>
      </c>
      <c r="IK132" s="649">
        <v>14.836500000000003</v>
      </c>
      <c r="IL132" s="646">
        <v>55.71159680790479</v>
      </c>
      <c r="IM132" s="646">
        <v>0</v>
      </c>
      <c r="IN132" s="646">
        <v>0</v>
      </c>
      <c r="IO132" s="646">
        <v>39.940111016065892</v>
      </c>
      <c r="IP132" s="646">
        <v>3.5068229357183633</v>
      </c>
      <c r="IQ132" s="646">
        <v>3600</v>
      </c>
      <c r="IR132" s="563" t="s">
        <v>68</v>
      </c>
      <c r="IS132" s="563">
        <v>4</v>
      </c>
      <c r="IT132" s="563">
        <v>0</v>
      </c>
      <c r="IU132" s="563">
        <v>0</v>
      </c>
      <c r="IV132" s="563">
        <v>0</v>
      </c>
      <c r="IW132" s="650">
        <v>3792.8749577410863</v>
      </c>
      <c r="IX132" s="563">
        <v>0</v>
      </c>
      <c r="IY132" s="563">
        <v>0</v>
      </c>
      <c r="IZ132" s="563">
        <v>0</v>
      </c>
      <c r="JA132" s="650">
        <v>3759.8858181865971</v>
      </c>
      <c r="JB132" s="564">
        <v>3759.8858181865971</v>
      </c>
      <c r="JC132" s="565">
        <v>143.12242610457187</v>
      </c>
      <c r="JD132" s="649">
        <v>11.127375000000002</v>
      </c>
      <c r="JE132" s="646">
        <v>52.00247180790479</v>
      </c>
      <c r="JF132" s="646">
        <v>0</v>
      </c>
      <c r="JG132" s="646">
        <v>0</v>
      </c>
      <c r="JH132" s="646">
        <v>38.331005807824326</v>
      </c>
      <c r="JI132" s="646">
        <v>3.1875929198277384</v>
      </c>
      <c r="JJ132" s="646">
        <v>3150</v>
      </c>
      <c r="JK132" s="563" t="s">
        <v>67</v>
      </c>
      <c r="JL132" s="563">
        <v>3</v>
      </c>
      <c r="JM132" s="563">
        <v>0</v>
      </c>
      <c r="JN132" s="563">
        <v>0</v>
      </c>
      <c r="JO132" s="563">
        <v>0</v>
      </c>
      <c r="JP132" s="650">
        <v>4291.471581623673</v>
      </c>
      <c r="JQ132" s="563">
        <v>0</v>
      </c>
      <c r="JR132" s="563">
        <v>0</v>
      </c>
      <c r="JS132" s="563">
        <v>0</v>
      </c>
      <c r="JT132" s="650">
        <v>4254.1458177960612</v>
      </c>
      <c r="JU132" s="564">
        <v>4000</v>
      </c>
      <c r="JV132" s="565">
        <v>152.26252394398531</v>
      </c>
      <c r="JW132" s="649">
        <v>11.127375000000002</v>
      </c>
      <c r="JX132" s="646">
        <v>52.00247180790479</v>
      </c>
      <c r="JY132" s="646">
        <v>0</v>
      </c>
      <c r="JZ132" s="646">
        <v>0</v>
      </c>
      <c r="KA132" s="646">
        <v>38.331005807824326</v>
      </c>
      <c r="KB132" s="646">
        <v>3.1875929198277384</v>
      </c>
      <c r="KC132" s="646">
        <v>3600</v>
      </c>
      <c r="KD132" s="563" t="s">
        <v>67</v>
      </c>
      <c r="KE132" s="563">
        <v>3</v>
      </c>
      <c r="KF132" s="563">
        <v>0</v>
      </c>
      <c r="KG132" s="563">
        <v>0</v>
      </c>
      <c r="KH132" s="563">
        <v>0</v>
      </c>
      <c r="KI132" s="650">
        <v>4291.471581623673</v>
      </c>
      <c r="KJ132" s="563">
        <v>0</v>
      </c>
      <c r="KK132" s="563">
        <v>0</v>
      </c>
      <c r="KL132" s="563">
        <v>0</v>
      </c>
      <c r="KM132" s="650">
        <v>4254.1458177960612</v>
      </c>
      <c r="KN132" s="564">
        <v>4000</v>
      </c>
      <c r="KO132" s="566">
        <v>152.26252394398531</v>
      </c>
    </row>
    <row r="133" spans="1:301" ht="15" customHeight="1">
      <c r="A133" s="663" t="s">
        <v>886</v>
      </c>
      <c r="B133" s="629" t="s">
        <v>382</v>
      </c>
      <c r="C133" s="629">
        <v>250</v>
      </c>
      <c r="D133" s="629">
        <v>802</v>
      </c>
      <c r="E133" s="629">
        <v>210</v>
      </c>
      <c r="F133" s="629">
        <v>250</v>
      </c>
      <c r="G133" s="629">
        <v>61</v>
      </c>
      <c r="H133" s="629">
        <v>45</v>
      </c>
      <c r="I133" s="629">
        <v>45</v>
      </c>
      <c r="J133" s="629">
        <v>45.88</v>
      </c>
      <c r="K133" s="629">
        <v>76.989999999999995</v>
      </c>
      <c r="L133" s="629">
        <v>18</v>
      </c>
      <c r="M133" s="629">
        <v>300</v>
      </c>
      <c r="N133" s="629">
        <v>4</v>
      </c>
      <c r="O133" s="623">
        <v>14.774804692319638</v>
      </c>
      <c r="P133" s="629">
        <v>4</v>
      </c>
      <c r="Q133" s="623">
        <v>9.3942212271901813</v>
      </c>
      <c r="R133" s="629">
        <v>13.000000000000002</v>
      </c>
      <c r="S133" s="629">
        <v>512.13029671532342</v>
      </c>
      <c r="T133" s="645">
        <v>21.021506083215428</v>
      </c>
      <c r="U133" s="645">
        <v>76.819544507298517</v>
      </c>
      <c r="V133" s="645">
        <v>60</v>
      </c>
      <c r="W133" s="793">
        <v>1.6372519160965862</v>
      </c>
      <c r="X133" s="646">
        <v>0</v>
      </c>
      <c r="Y133" s="646">
        <v>0</v>
      </c>
      <c r="Z133" s="646">
        <v>0</v>
      </c>
      <c r="AA133" s="646">
        <v>0</v>
      </c>
      <c r="AB133" s="647">
        <v>3.6903921206869605</v>
      </c>
      <c r="AC133" s="784">
        <v>4000</v>
      </c>
      <c r="AD133" s="631">
        <v>2.185087908944638</v>
      </c>
      <c r="AE133" s="631">
        <v>1.0311994370988982</v>
      </c>
      <c r="AF133" s="631">
        <v>-0.10831877303733745</v>
      </c>
      <c r="AG133" s="631">
        <v>0.71267189446262824</v>
      </c>
      <c r="AH133" s="629"/>
      <c r="AI133" s="648">
        <v>2.4085101907348885</v>
      </c>
      <c r="AJ133" s="649">
        <v>5.7226499999999998</v>
      </c>
      <c r="AK133" s="646">
        <v>52.550433918821838</v>
      </c>
      <c r="AL133" s="646">
        <v>0</v>
      </c>
      <c r="AM133" s="646">
        <v>0</v>
      </c>
      <c r="AN133" s="646">
        <v>18.994545833332307</v>
      </c>
      <c r="AO133" s="646">
        <v>3.5266298936906257</v>
      </c>
      <c r="AP133" s="801">
        <v>3600</v>
      </c>
      <c r="AQ133" s="563" t="s">
        <v>71</v>
      </c>
      <c r="AR133" s="563">
        <v>3</v>
      </c>
      <c r="AS133" s="563">
        <v>0</v>
      </c>
      <c r="AT133" s="563">
        <v>0</v>
      </c>
      <c r="AU133" s="563">
        <v>0</v>
      </c>
      <c r="AV133" s="650">
        <v>11344.374004484307</v>
      </c>
      <c r="AW133" s="563">
        <v>0</v>
      </c>
      <c r="AX133" s="563">
        <v>0</v>
      </c>
      <c r="AY133" s="563">
        <v>0</v>
      </c>
      <c r="AZ133" s="650">
        <v>12655.102711263766</v>
      </c>
      <c r="BA133" s="564">
        <v>4000</v>
      </c>
      <c r="BB133" s="565">
        <v>167.97048721193426</v>
      </c>
      <c r="BC133" s="649">
        <v>5.7226499999999998</v>
      </c>
      <c r="BD133" s="646">
        <v>52.550433918821838</v>
      </c>
      <c r="BE133" s="646">
        <v>0</v>
      </c>
      <c r="BF133" s="646">
        <v>0</v>
      </c>
      <c r="BG133" s="646">
        <v>18.994545833332307</v>
      </c>
      <c r="BH133" s="646">
        <v>3.5266298936906257</v>
      </c>
      <c r="BI133" s="646">
        <v>3600</v>
      </c>
      <c r="BJ133" s="563" t="s">
        <v>71</v>
      </c>
      <c r="BK133" s="563">
        <v>3</v>
      </c>
      <c r="BL133" s="563">
        <v>0</v>
      </c>
      <c r="BM133" s="563">
        <v>0</v>
      </c>
      <c r="BN133" s="563">
        <v>0</v>
      </c>
      <c r="BO133" s="650">
        <v>11344.374004484307</v>
      </c>
      <c r="BP133" s="563">
        <v>0</v>
      </c>
      <c r="BQ133" s="563">
        <v>0</v>
      </c>
      <c r="BR133" s="563">
        <v>0</v>
      </c>
      <c r="BS133" s="650">
        <v>12655.102711263766</v>
      </c>
      <c r="BT133" s="564">
        <v>4000</v>
      </c>
      <c r="BU133" s="565">
        <v>167.97048721193426</v>
      </c>
      <c r="BV133" s="649">
        <v>5.7226499999999998</v>
      </c>
      <c r="BW133" s="646">
        <v>52.550433918821838</v>
      </c>
      <c r="BX133" s="646">
        <v>0</v>
      </c>
      <c r="BY133" s="646">
        <v>0</v>
      </c>
      <c r="BZ133" s="646">
        <v>18.994545833332307</v>
      </c>
      <c r="CA133" s="646">
        <v>3.5266298936906257</v>
      </c>
      <c r="CB133" s="646">
        <v>3600</v>
      </c>
      <c r="CC133" s="563" t="s">
        <v>1584</v>
      </c>
      <c r="CD133" s="563">
        <v>3</v>
      </c>
      <c r="CE133" s="563">
        <v>0</v>
      </c>
      <c r="CF133" s="563">
        <v>0</v>
      </c>
      <c r="CG133" s="563">
        <v>0</v>
      </c>
      <c r="CH133" s="650">
        <v>11193.195016009788</v>
      </c>
      <c r="CI133" s="563">
        <v>0</v>
      </c>
      <c r="CJ133" s="563">
        <v>0</v>
      </c>
      <c r="CK133" s="563">
        <v>0</v>
      </c>
      <c r="CL133" s="650">
        <v>11003.391669017376</v>
      </c>
      <c r="CM133" s="564">
        <v>4000</v>
      </c>
      <c r="CN133" s="565">
        <v>167.97048721193426</v>
      </c>
      <c r="CO133" s="649">
        <v>5.7226499999999998</v>
      </c>
      <c r="CP133" s="646">
        <v>52.550433918821838</v>
      </c>
      <c r="CQ133" s="646">
        <v>0</v>
      </c>
      <c r="CR133" s="646">
        <v>0</v>
      </c>
      <c r="CS133" s="646">
        <v>18.994545833332307</v>
      </c>
      <c r="CT133" s="646">
        <v>3.5266298936906257</v>
      </c>
      <c r="CU133" s="646">
        <v>3600</v>
      </c>
      <c r="CV133" s="563" t="s">
        <v>1584</v>
      </c>
      <c r="CW133" s="563">
        <v>3</v>
      </c>
      <c r="CX133" s="563">
        <v>0</v>
      </c>
      <c r="CY133" s="563">
        <v>0</v>
      </c>
      <c r="CZ133" s="563">
        <v>0</v>
      </c>
      <c r="DA133" s="650">
        <v>11193.195016009788</v>
      </c>
      <c r="DB133" s="563">
        <v>0</v>
      </c>
      <c r="DC133" s="563">
        <v>0</v>
      </c>
      <c r="DD133" s="563">
        <v>0</v>
      </c>
      <c r="DE133" s="650">
        <v>11003.391669017376</v>
      </c>
      <c r="DF133" s="564">
        <v>4000</v>
      </c>
      <c r="DG133" s="565">
        <v>167.97048721193426</v>
      </c>
      <c r="DH133" s="649">
        <v>5.7226499999999998</v>
      </c>
      <c r="DI133" s="646">
        <v>52.550433918821838</v>
      </c>
      <c r="DJ133" s="646">
        <v>0</v>
      </c>
      <c r="DK133" s="646">
        <v>0</v>
      </c>
      <c r="DL133" s="646">
        <v>18.994545833332307</v>
      </c>
      <c r="DM133" s="646">
        <v>3.5266298936906257</v>
      </c>
      <c r="DN133" s="646">
        <v>3600</v>
      </c>
      <c r="DO133" s="563" t="s">
        <v>1585</v>
      </c>
      <c r="DP133" s="563">
        <v>3</v>
      </c>
      <c r="DQ133" s="563">
        <v>0</v>
      </c>
      <c r="DR133" s="563">
        <v>0</v>
      </c>
      <c r="DS133" s="563">
        <v>0</v>
      </c>
      <c r="DT133" s="650">
        <v>11966.028803786921</v>
      </c>
      <c r="DU133" s="563">
        <v>0</v>
      </c>
      <c r="DV133" s="563">
        <v>0</v>
      </c>
      <c r="DW133" s="563">
        <v>0</v>
      </c>
      <c r="DX133" s="650">
        <v>11763.120490841626</v>
      </c>
      <c r="DY133" s="564">
        <v>4000</v>
      </c>
      <c r="DZ133" s="565">
        <v>167.97048721193426</v>
      </c>
      <c r="EA133" s="649">
        <v>5.7226499999999998</v>
      </c>
      <c r="EB133" s="646">
        <v>52.550433918821838</v>
      </c>
      <c r="EC133" s="646">
        <v>0</v>
      </c>
      <c r="ED133" s="646">
        <v>0</v>
      </c>
      <c r="EE133" s="646">
        <v>18.994545833332307</v>
      </c>
      <c r="EF133" s="646">
        <v>3.5266298936906257</v>
      </c>
      <c r="EG133" s="646">
        <v>3600</v>
      </c>
      <c r="EH133" s="563" t="s">
        <v>1585</v>
      </c>
      <c r="EI133" s="563">
        <v>3</v>
      </c>
      <c r="EJ133" s="563">
        <v>0</v>
      </c>
      <c r="EK133" s="563">
        <v>0</v>
      </c>
      <c r="EL133" s="563">
        <v>0</v>
      </c>
      <c r="EM133" s="650">
        <v>11966.028803786921</v>
      </c>
      <c r="EN133" s="563">
        <v>0</v>
      </c>
      <c r="EO133" s="563">
        <v>0</v>
      </c>
      <c r="EP133" s="563">
        <v>0</v>
      </c>
      <c r="EQ133" s="650">
        <v>11763.120490841626</v>
      </c>
      <c r="ER133" s="564">
        <v>4000</v>
      </c>
      <c r="ES133" s="565">
        <v>167.97048721193426</v>
      </c>
      <c r="ET133" s="649">
        <v>5.7226499999999998</v>
      </c>
      <c r="EU133" s="646">
        <v>52.550433918821838</v>
      </c>
      <c r="EV133" s="646">
        <v>0</v>
      </c>
      <c r="EW133" s="646">
        <v>0</v>
      </c>
      <c r="EX133" s="646">
        <v>18.994545833332307</v>
      </c>
      <c r="EY133" s="646">
        <v>3.5266298936906257</v>
      </c>
      <c r="EZ133" s="646">
        <v>3600</v>
      </c>
      <c r="FA133" s="563" t="s">
        <v>1586</v>
      </c>
      <c r="FB133" s="563">
        <v>3</v>
      </c>
      <c r="FC133" s="563">
        <v>0</v>
      </c>
      <c r="FD133" s="563">
        <v>0</v>
      </c>
      <c r="FE133" s="563">
        <v>0</v>
      </c>
      <c r="FF133" s="650">
        <v>12212.777006968343</v>
      </c>
      <c r="FG133" s="563">
        <v>0</v>
      </c>
      <c r="FH133" s="563">
        <v>0</v>
      </c>
      <c r="FI133" s="563">
        <v>0</v>
      </c>
      <c r="FJ133" s="650">
        <v>12005.684577266305</v>
      </c>
      <c r="FK133" s="564">
        <v>4000</v>
      </c>
      <c r="FL133" s="565">
        <v>167.97048721193426</v>
      </c>
      <c r="FM133" s="649">
        <v>5.7226499999999998</v>
      </c>
      <c r="FN133" s="646">
        <v>52.550433918821838</v>
      </c>
      <c r="FO133" s="646">
        <v>0</v>
      </c>
      <c r="FP133" s="646">
        <v>0</v>
      </c>
      <c r="FQ133" s="646">
        <v>18.994545833332307</v>
      </c>
      <c r="FR133" s="646">
        <v>3.5266298936906257</v>
      </c>
      <c r="FS133" s="646">
        <v>3600</v>
      </c>
      <c r="FT133" s="563" t="s">
        <v>1586</v>
      </c>
      <c r="FU133" s="563">
        <v>3</v>
      </c>
      <c r="FV133" s="563">
        <v>0</v>
      </c>
      <c r="FW133" s="563">
        <v>0</v>
      </c>
      <c r="FX133" s="563">
        <v>0</v>
      </c>
      <c r="FY133" s="650">
        <v>12212.777006968343</v>
      </c>
      <c r="FZ133" s="563">
        <v>0</v>
      </c>
      <c r="GA133" s="563">
        <v>0</v>
      </c>
      <c r="GB133" s="563">
        <v>0</v>
      </c>
      <c r="GC133" s="650">
        <v>12005.684577266305</v>
      </c>
      <c r="GD133" s="564">
        <v>4000</v>
      </c>
      <c r="GE133" s="565">
        <v>167.97048721193426</v>
      </c>
      <c r="GF133" s="649">
        <v>5.7226499999999998</v>
      </c>
      <c r="GG133" s="646">
        <v>52.550433918821838</v>
      </c>
      <c r="GH133" s="646">
        <v>0</v>
      </c>
      <c r="GI133" s="646">
        <v>0</v>
      </c>
      <c r="GJ133" s="646">
        <v>18.994545833332307</v>
      </c>
      <c r="GK133" s="646">
        <v>3.5266298936906257</v>
      </c>
      <c r="GL133" s="646">
        <v>3600</v>
      </c>
      <c r="GM133" s="563" t="s">
        <v>1587</v>
      </c>
      <c r="GN133" s="563">
        <v>3</v>
      </c>
      <c r="GO133" s="563">
        <v>0</v>
      </c>
      <c r="GP133" s="563">
        <v>0</v>
      </c>
      <c r="GQ133" s="563">
        <v>0</v>
      </c>
      <c r="GR133" s="650">
        <v>16385.159748973652</v>
      </c>
      <c r="GS133" s="563">
        <v>0</v>
      </c>
      <c r="GT133" s="563">
        <v>0</v>
      </c>
      <c r="GU133" s="563">
        <v>0</v>
      </c>
      <c r="GV133" s="650">
        <v>16107.316098712412</v>
      </c>
      <c r="GW133" s="564">
        <v>4000</v>
      </c>
      <c r="GX133" s="565">
        <v>167.97048721193426</v>
      </c>
      <c r="GY133" s="649">
        <v>5.7226499999999998</v>
      </c>
      <c r="GZ133" s="646">
        <v>52.550433918821838</v>
      </c>
      <c r="HA133" s="646">
        <v>0</v>
      </c>
      <c r="HB133" s="646">
        <v>0</v>
      </c>
      <c r="HC133" s="646">
        <v>18.994545833332307</v>
      </c>
      <c r="HD133" s="646">
        <v>3.5266298936906257</v>
      </c>
      <c r="HE133" s="646">
        <v>3600</v>
      </c>
      <c r="HF133" s="563" t="s">
        <v>1587</v>
      </c>
      <c r="HG133" s="563">
        <v>3</v>
      </c>
      <c r="HH133" s="563">
        <v>0</v>
      </c>
      <c r="HI133" s="563">
        <v>0</v>
      </c>
      <c r="HJ133" s="563">
        <v>0</v>
      </c>
      <c r="HK133" s="650">
        <v>16385.159748973652</v>
      </c>
      <c r="HL133" s="563">
        <v>0</v>
      </c>
      <c r="HM133" s="563">
        <v>0</v>
      </c>
      <c r="HN133" s="563">
        <v>0</v>
      </c>
      <c r="HO133" s="650">
        <v>16107.316098712412</v>
      </c>
      <c r="HP133" s="564">
        <v>4000</v>
      </c>
      <c r="HQ133" s="565">
        <v>167.97048721193426</v>
      </c>
      <c r="HR133" s="649">
        <v>5.7226499999999998</v>
      </c>
      <c r="HS133" s="646">
        <v>52.550433918821838</v>
      </c>
      <c r="HT133" s="646">
        <v>0</v>
      </c>
      <c r="HU133" s="646">
        <v>0</v>
      </c>
      <c r="HV133" s="646">
        <v>18.994545833332307</v>
      </c>
      <c r="HW133" s="646">
        <v>3.5266298936906257</v>
      </c>
      <c r="HX133" s="646">
        <v>3600</v>
      </c>
      <c r="HY133" s="563" t="s">
        <v>68</v>
      </c>
      <c r="HZ133" s="563">
        <v>3</v>
      </c>
      <c r="IA133" s="563">
        <v>0</v>
      </c>
      <c r="IB133" s="563">
        <v>0</v>
      </c>
      <c r="IC133" s="563">
        <v>0</v>
      </c>
      <c r="ID133" s="650">
        <v>14450.352629285921</v>
      </c>
      <c r="IE133" s="563">
        <v>0</v>
      </c>
      <c r="IF133" s="563">
        <v>0</v>
      </c>
      <c r="IG133" s="563">
        <v>0</v>
      </c>
      <c r="IH133" s="650">
        <v>14205.317561967244</v>
      </c>
      <c r="II133" s="564">
        <v>4000</v>
      </c>
      <c r="IJ133" s="565">
        <v>167.97048721193426</v>
      </c>
      <c r="IK133" s="649">
        <v>5.7226499999999998</v>
      </c>
      <c r="IL133" s="646">
        <v>52.550433918821838</v>
      </c>
      <c r="IM133" s="646">
        <v>0</v>
      </c>
      <c r="IN133" s="646">
        <v>0</v>
      </c>
      <c r="IO133" s="646">
        <v>18.994545833332307</v>
      </c>
      <c r="IP133" s="646">
        <v>3.5266298936906257</v>
      </c>
      <c r="IQ133" s="646">
        <v>3600</v>
      </c>
      <c r="IR133" s="563" t="s">
        <v>68</v>
      </c>
      <c r="IS133" s="563">
        <v>3</v>
      </c>
      <c r="IT133" s="563">
        <v>0</v>
      </c>
      <c r="IU133" s="563">
        <v>0</v>
      </c>
      <c r="IV133" s="563">
        <v>0</v>
      </c>
      <c r="IW133" s="650">
        <v>14450.352629285921</v>
      </c>
      <c r="IX133" s="563">
        <v>0</v>
      </c>
      <c r="IY133" s="563">
        <v>0</v>
      </c>
      <c r="IZ133" s="563">
        <v>0</v>
      </c>
      <c r="JA133" s="650">
        <v>14205.317561967244</v>
      </c>
      <c r="JB133" s="564">
        <v>4000</v>
      </c>
      <c r="JC133" s="565">
        <v>167.97048721193426</v>
      </c>
      <c r="JD133" s="649">
        <v>5.7226499999999998</v>
      </c>
      <c r="JE133" s="646">
        <v>52.550433918821838</v>
      </c>
      <c r="JF133" s="646">
        <v>0</v>
      </c>
      <c r="JG133" s="646">
        <v>0</v>
      </c>
      <c r="JH133" s="646">
        <v>18.994545833332307</v>
      </c>
      <c r="JI133" s="646">
        <v>3.5266298936906257</v>
      </c>
      <c r="JJ133" s="646">
        <v>3600</v>
      </c>
      <c r="JK133" s="563" t="s">
        <v>67</v>
      </c>
      <c r="JL133" s="563">
        <v>3</v>
      </c>
      <c r="JM133" s="563">
        <v>0</v>
      </c>
      <c r="JN133" s="563">
        <v>0</v>
      </c>
      <c r="JO133" s="563">
        <v>0</v>
      </c>
      <c r="JP133" s="650">
        <v>19692.51121053454</v>
      </c>
      <c r="JQ133" s="563">
        <v>0</v>
      </c>
      <c r="JR133" s="563">
        <v>0</v>
      </c>
      <c r="JS133" s="563">
        <v>0</v>
      </c>
      <c r="JT133" s="650">
        <v>19358.584701338725</v>
      </c>
      <c r="JU133" s="564">
        <v>4000</v>
      </c>
      <c r="JV133" s="565">
        <v>167.97048721193426</v>
      </c>
      <c r="JW133" s="649">
        <v>5.7226499999999998</v>
      </c>
      <c r="JX133" s="646">
        <v>52.550433918821838</v>
      </c>
      <c r="JY133" s="646">
        <v>0</v>
      </c>
      <c r="JZ133" s="646">
        <v>0</v>
      </c>
      <c r="KA133" s="646">
        <v>18.994545833332307</v>
      </c>
      <c r="KB133" s="646">
        <v>3.5266298936906257</v>
      </c>
      <c r="KC133" s="646">
        <v>3600</v>
      </c>
      <c r="KD133" s="563" t="s">
        <v>67</v>
      </c>
      <c r="KE133" s="563">
        <v>3</v>
      </c>
      <c r="KF133" s="563">
        <v>0</v>
      </c>
      <c r="KG133" s="563">
        <v>0</v>
      </c>
      <c r="KH133" s="563">
        <v>0</v>
      </c>
      <c r="KI133" s="650">
        <v>19692.51121053454</v>
      </c>
      <c r="KJ133" s="563">
        <v>0</v>
      </c>
      <c r="KK133" s="563">
        <v>0</v>
      </c>
      <c r="KL133" s="563">
        <v>0</v>
      </c>
      <c r="KM133" s="650">
        <v>19358.584701338725</v>
      </c>
      <c r="KN133" s="564">
        <v>4000</v>
      </c>
      <c r="KO133" s="566">
        <v>167.97048721193426</v>
      </c>
    </row>
    <row r="134" spans="1:301" ht="15" customHeight="1">
      <c r="A134" s="663" t="s">
        <v>887</v>
      </c>
      <c r="B134" s="629" t="s">
        <v>383</v>
      </c>
      <c r="C134" s="629">
        <v>325</v>
      </c>
      <c r="D134" s="629">
        <v>802</v>
      </c>
      <c r="E134" s="629">
        <v>260</v>
      </c>
      <c r="F134" s="629">
        <v>325</v>
      </c>
      <c r="G134" s="629">
        <v>76</v>
      </c>
      <c r="H134" s="629">
        <v>60</v>
      </c>
      <c r="I134" s="629">
        <v>60</v>
      </c>
      <c r="J134" s="629">
        <v>28.27</v>
      </c>
      <c r="K134" s="629">
        <v>68.42</v>
      </c>
      <c r="L134" s="629">
        <v>18</v>
      </c>
      <c r="M134" s="629">
        <v>295</v>
      </c>
      <c r="N134" s="629">
        <v>4</v>
      </c>
      <c r="O134" s="623">
        <v>14.19525938754866</v>
      </c>
      <c r="P134" s="629">
        <v>4</v>
      </c>
      <c r="Q134" s="623">
        <v>8.463271756416745</v>
      </c>
      <c r="R134" s="629">
        <v>13.000000000000002</v>
      </c>
      <c r="S134" s="629">
        <v>547.74678357220296</v>
      </c>
      <c r="T134" s="645">
        <v>24.047091863229099</v>
      </c>
      <c r="U134" s="645">
        <v>82.162017535830444</v>
      </c>
      <c r="V134" s="645">
        <v>85</v>
      </c>
      <c r="W134" s="793">
        <v>2.6532728762553255</v>
      </c>
      <c r="X134" s="646">
        <v>0</v>
      </c>
      <c r="Y134" s="646">
        <v>0</v>
      </c>
      <c r="Z134" s="646">
        <v>0</v>
      </c>
      <c r="AA134" s="646">
        <v>0</v>
      </c>
      <c r="AB134" s="647">
        <v>5.0384904422264816</v>
      </c>
      <c r="AC134" s="784">
        <v>4000</v>
      </c>
      <c r="AD134" s="631">
        <v>1.627431386624145</v>
      </c>
      <c r="AE134" s="631">
        <v>0.53776931193798139</v>
      </c>
      <c r="AF134" s="631">
        <v>-0.18525812504817221</v>
      </c>
      <c r="AG134" s="631">
        <v>0.97457738730306898</v>
      </c>
      <c r="AH134" s="629"/>
      <c r="AI134" s="648">
        <v>2.4919695991418589</v>
      </c>
      <c r="AJ134" s="649">
        <v>7.5030300000000008</v>
      </c>
      <c r="AK134" s="646">
        <v>56.861925883449835</v>
      </c>
      <c r="AL134" s="646">
        <v>0</v>
      </c>
      <c r="AM134" s="646">
        <v>0</v>
      </c>
      <c r="AN134" s="646">
        <v>23.966884342098044</v>
      </c>
      <c r="AO134" s="646">
        <v>3.8632644660024278</v>
      </c>
      <c r="AP134" s="801">
        <v>3600</v>
      </c>
      <c r="AQ134" s="563" t="s">
        <v>71</v>
      </c>
      <c r="AR134" s="563">
        <v>3</v>
      </c>
      <c r="AS134" s="563">
        <v>0</v>
      </c>
      <c r="AT134" s="563">
        <v>0</v>
      </c>
      <c r="AU134" s="563">
        <v>0</v>
      </c>
      <c r="AV134" s="650">
        <v>6403.6107574223124</v>
      </c>
      <c r="AW134" s="563">
        <v>0</v>
      </c>
      <c r="AX134" s="563">
        <v>0</v>
      </c>
      <c r="AY134" s="563">
        <v>0</v>
      </c>
      <c r="AZ134" s="650">
        <v>6892.6337043086914</v>
      </c>
      <c r="BA134" s="564">
        <v>4000</v>
      </c>
      <c r="BB134" s="565">
        <v>167.97048721193426</v>
      </c>
      <c r="BC134" s="649">
        <v>7.5030300000000008</v>
      </c>
      <c r="BD134" s="646">
        <v>56.861925883449835</v>
      </c>
      <c r="BE134" s="646">
        <v>0</v>
      </c>
      <c r="BF134" s="646">
        <v>0</v>
      </c>
      <c r="BG134" s="646">
        <v>23.966884342098044</v>
      </c>
      <c r="BH134" s="646">
        <v>3.8632644660024278</v>
      </c>
      <c r="BI134" s="646">
        <v>3600</v>
      </c>
      <c r="BJ134" s="563" t="s">
        <v>71</v>
      </c>
      <c r="BK134" s="563">
        <v>3</v>
      </c>
      <c r="BL134" s="563">
        <v>0</v>
      </c>
      <c r="BM134" s="563">
        <v>0</v>
      </c>
      <c r="BN134" s="563">
        <v>0</v>
      </c>
      <c r="BO134" s="650">
        <v>6403.6107574223124</v>
      </c>
      <c r="BP134" s="563">
        <v>0</v>
      </c>
      <c r="BQ134" s="563">
        <v>0</v>
      </c>
      <c r="BR134" s="563">
        <v>0</v>
      </c>
      <c r="BS134" s="650">
        <v>6892.6337043086914</v>
      </c>
      <c r="BT134" s="564">
        <v>4000</v>
      </c>
      <c r="BU134" s="565">
        <v>167.97048721193426</v>
      </c>
      <c r="BV134" s="649">
        <v>7.5030300000000008</v>
      </c>
      <c r="BW134" s="646">
        <v>56.861925883449835</v>
      </c>
      <c r="BX134" s="646">
        <v>0</v>
      </c>
      <c r="BY134" s="646">
        <v>0</v>
      </c>
      <c r="BZ134" s="646">
        <v>23.966884342098044</v>
      </c>
      <c r="CA134" s="646">
        <v>3.8632644660024278</v>
      </c>
      <c r="CB134" s="646">
        <v>3600</v>
      </c>
      <c r="CC134" s="563" t="s">
        <v>1584</v>
      </c>
      <c r="CD134" s="563">
        <v>3</v>
      </c>
      <c r="CE134" s="563">
        <v>0</v>
      </c>
      <c r="CF134" s="563">
        <v>0</v>
      </c>
      <c r="CG134" s="563">
        <v>0</v>
      </c>
      <c r="CH134" s="650">
        <v>6076.2408806418453</v>
      </c>
      <c r="CI134" s="563">
        <v>0</v>
      </c>
      <c r="CJ134" s="563">
        <v>0</v>
      </c>
      <c r="CK134" s="563">
        <v>0</v>
      </c>
      <c r="CL134" s="650">
        <v>5993.0251069482483</v>
      </c>
      <c r="CM134" s="564">
        <v>4000</v>
      </c>
      <c r="CN134" s="565">
        <v>167.97048721193426</v>
      </c>
      <c r="CO134" s="649">
        <v>7.5030300000000008</v>
      </c>
      <c r="CP134" s="646">
        <v>56.861925883449835</v>
      </c>
      <c r="CQ134" s="646">
        <v>0</v>
      </c>
      <c r="CR134" s="646">
        <v>0</v>
      </c>
      <c r="CS134" s="646">
        <v>23.966884342098044</v>
      </c>
      <c r="CT134" s="646">
        <v>3.8632644660024278</v>
      </c>
      <c r="CU134" s="646">
        <v>3600</v>
      </c>
      <c r="CV134" s="563" t="s">
        <v>1584</v>
      </c>
      <c r="CW134" s="563">
        <v>3</v>
      </c>
      <c r="CX134" s="563">
        <v>0</v>
      </c>
      <c r="CY134" s="563">
        <v>0</v>
      </c>
      <c r="CZ134" s="563">
        <v>0</v>
      </c>
      <c r="DA134" s="650">
        <v>6076.2408806418453</v>
      </c>
      <c r="DB134" s="563">
        <v>0</v>
      </c>
      <c r="DC134" s="563">
        <v>0</v>
      </c>
      <c r="DD134" s="563">
        <v>0</v>
      </c>
      <c r="DE134" s="650">
        <v>5993.0251069482483</v>
      </c>
      <c r="DF134" s="564">
        <v>4000</v>
      </c>
      <c r="DG134" s="565">
        <v>167.97048721193426</v>
      </c>
      <c r="DH134" s="649">
        <v>7.5030300000000008</v>
      </c>
      <c r="DI134" s="646">
        <v>56.861925883449835</v>
      </c>
      <c r="DJ134" s="646">
        <v>0</v>
      </c>
      <c r="DK134" s="646">
        <v>0</v>
      </c>
      <c r="DL134" s="646">
        <v>23.966884342098044</v>
      </c>
      <c r="DM134" s="646">
        <v>3.8632644660024278</v>
      </c>
      <c r="DN134" s="646">
        <v>3600</v>
      </c>
      <c r="DO134" s="563" t="s">
        <v>1585</v>
      </c>
      <c r="DP134" s="563">
        <v>3</v>
      </c>
      <c r="DQ134" s="563">
        <v>0</v>
      </c>
      <c r="DR134" s="563">
        <v>0</v>
      </c>
      <c r="DS134" s="563">
        <v>0</v>
      </c>
      <c r="DT134" s="650">
        <v>6495.7747356778364</v>
      </c>
      <c r="DU134" s="563">
        <v>0</v>
      </c>
      <c r="DV134" s="563">
        <v>0</v>
      </c>
      <c r="DW134" s="563">
        <v>0</v>
      </c>
      <c r="DX134" s="650">
        <v>6406.8133315907517</v>
      </c>
      <c r="DY134" s="564">
        <v>4000</v>
      </c>
      <c r="DZ134" s="565">
        <v>167.97048721193426</v>
      </c>
      <c r="EA134" s="649">
        <v>7.5030300000000008</v>
      </c>
      <c r="EB134" s="646">
        <v>56.861925883449835</v>
      </c>
      <c r="EC134" s="646">
        <v>0</v>
      </c>
      <c r="ED134" s="646">
        <v>0</v>
      </c>
      <c r="EE134" s="646">
        <v>23.966884342098044</v>
      </c>
      <c r="EF134" s="646">
        <v>3.8632644660024278</v>
      </c>
      <c r="EG134" s="646">
        <v>3600</v>
      </c>
      <c r="EH134" s="563" t="s">
        <v>1585</v>
      </c>
      <c r="EI134" s="563">
        <v>3</v>
      </c>
      <c r="EJ134" s="563">
        <v>0</v>
      </c>
      <c r="EK134" s="563">
        <v>0</v>
      </c>
      <c r="EL134" s="563">
        <v>0</v>
      </c>
      <c r="EM134" s="650">
        <v>6495.7747356778364</v>
      </c>
      <c r="EN134" s="563">
        <v>0</v>
      </c>
      <c r="EO134" s="563">
        <v>0</v>
      </c>
      <c r="EP134" s="563">
        <v>0</v>
      </c>
      <c r="EQ134" s="650">
        <v>6406.8133315907517</v>
      </c>
      <c r="ER134" s="564">
        <v>4000</v>
      </c>
      <c r="ES134" s="565">
        <v>167.97048721193426</v>
      </c>
      <c r="ET134" s="649">
        <v>7.5030300000000008</v>
      </c>
      <c r="EU134" s="646">
        <v>56.861925883449835</v>
      </c>
      <c r="EV134" s="646">
        <v>0</v>
      </c>
      <c r="EW134" s="646">
        <v>0</v>
      </c>
      <c r="EX134" s="646">
        <v>23.966884342098044</v>
      </c>
      <c r="EY134" s="646">
        <v>3.8632644660024278</v>
      </c>
      <c r="EZ134" s="646">
        <v>3600</v>
      </c>
      <c r="FA134" s="563" t="s">
        <v>1586</v>
      </c>
      <c r="FB134" s="563">
        <v>3</v>
      </c>
      <c r="FC134" s="563">
        <v>0</v>
      </c>
      <c r="FD134" s="563">
        <v>0</v>
      </c>
      <c r="FE134" s="563">
        <v>0</v>
      </c>
      <c r="FF134" s="650">
        <v>6629.7223276970653</v>
      </c>
      <c r="FG134" s="563">
        <v>0</v>
      </c>
      <c r="FH134" s="563">
        <v>0</v>
      </c>
      <c r="FI134" s="563">
        <v>0</v>
      </c>
      <c r="FJ134" s="650">
        <v>6538.9264748575288</v>
      </c>
      <c r="FK134" s="564">
        <v>4000</v>
      </c>
      <c r="FL134" s="565">
        <v>167.97048721193426</v>
      </c>
      <c r="FM134" s="649">
        <v>7.5030300000000008</v>
      </c>
      <c r="FN134" s="646">
        <v>56.861925883449835</v>
      </c>
      <c r="FO134" s="646">
        <v>0</v>
      </c>
      <c r="FP134" s="646">
        <v>0</v>
      </c>
      <c r="FQ134" s="646">
        <v>23.966884342098044</v>
      </c>
      <c r="FR134" s="646">
        <v>3.8632644660024278</v>
      </c>
      <c r="FS134" s="646">
        <v>3600</v>
      </c>
      <c r="FT134" s="563" t="s">
        <v>1586</v>
      </c>
      <c r="FU134" s="563">
        <v>3</v>
      </c>
      <c r="FV134" s="563">
        <v>0</v>
      </c>
      <c r="FW134" s="563">
        <v>0</v>
      </c>
      <c r="FX134" s="563">
        <v>0</v>
      </c>
      <c r="FY134" s="650">
        <v>6629.7223276970653</v>
      </c>
      <c r="FZ134" s="563">
        <v>0</v>
      </c>
      <c r="GA134" s="563">
        <v>0</v>
      </c>
      <c r="GB134" s="563">
        <v>0</v>
      </c>
      <c r="GC134" s="650">
        <v>6538.9264748575288</v>
      </c>
      <c r="GD134" s="564">
        <v>4000</v>
      </c>
      <c r="GE134" s="565">
        <v>167.97048721193426</v>
      </c>
      <c r="GF134" s="649">
        <v>7.5030300000000008</v>
      </c>
      <c r="GG134" s="646">
        <v>56.861925883449835</v>
      </c>
      <c r="GH134" s="646">
        <v>0</v>
      </c>
      <c r="GI134" s="646">
        <v>0</v>
      </c>
      <c r="GJ134" s="646">
        <v>23.966884342098044</v>
      </c>
      <c r="GK134" s="646">
        <v>3.8632644660024278</v>
      </c>
      <c r="GL134" s="646">
        <v>3600</v>
      </c>
      <c r="GM134" s="563" t="s">
        <v>1587</v>
      </c>
      <c r="GN134" s="563">
        <v>3</v>
      </c>
      <c r="GO134" s="563">
        <v>0</v>
      </c>
      <c r="GP134" s="563">
        <v>0</v>
      </c>
      <c r="GQ134" s="563">
        <v>0</v>
      </c>
      <c r="GR134" s="650">
        <v>8894.7058780040152</v>
      </c>
      <c r="GS134" s="563">
        <v>0</v>
      </c>
      <c r="GT134" s="563">
        <v>0</v>
      </c>
      <c r="GU134" s="563">
        <v>0</v>
      </c>
      <c r="GV134" s="650">
        <v>8772.890458592703</v>
      </c>
      <c r="GW134" s="564">
        <v>4000</v>
      </c>
      <c r="GX134" s="565">
        <v>167.97048721193426</v>
      </c>
      <c r="GY134" s="649">
        <v>7.5030300000000008</v>
      </c>
      <c r="GZ134" s="646">
        <v>56.861925883449835</v>
      </c>
      <c r="HA134" s="646">
        <v>0</v>
      </c>
      <c r="HB134" s="646">
        <v>0</v>
      </c>
      <c r="HC134" s="646">
        <v>23.966884342098044</v>
      </c>
      <c r="HD134" s="646">
        <v>3.8632644660024278</v>
      </c>
      <c r="HE134" s="646">
        <v>3600</v>
      </c>
      <c r="HF134" s="563" t="s">
        <v>1587</v>
      </c>
      <c r="HG134" s="563">
        <v>3</v>
      </c>
      <c r="HH134" s="563">
        <v>0</v>
      </c>
      <c r="HI134" s="563">
        <v>0</v>
      </c>
      <c r="HJ134" s="563">
        <v>0</v>
      </c>
      <c r="HK134" s="650">
        <v>8894.7058780040152</v>
      </c>
      <c r="HL134" s="563">
        <v>0</v>
      </c>
      <c r="HM134" s="563">
        <v>0</v>
      </c>
      <c r="HN134" s="563">
        <v>0</v>
      </c>
      <c r="HO134" s="650">
        <v>8772.890458592703</v>
      </c>
      <c r="HP134" s="564">
        <v>4000</v>
      </c>
      <c r="HQ134" s="565">
        <v>167.97048721193426</v>
      </c>
      <c r="HR134" s="649">
        <v>7.5030300000000008</v>
      </c>
      <c r="HS134" s="646">
        <v>56.861925883449835</v>
      </c>
      <c r="HT134" s="646">
        <v>0</v>
      </c>
      <c r="HU134" s="646">
        <v>0</v>
      </c>
      <c r="HV134" s="646">
        <v>23.966884342098044</v>
      </c>
      <c r="HW134" s="646">
        <v>3.8632644660024278</v>
      </c>
      <c r="HX134" s="646">
        <v>3600</v>
      </c>
      <c r="HY134" s="563" t="s">
        <v>68</v>
      </c>
      <c r="HZ134" s="563">
        <v>3</v>
      </c>
      <c r="IA134" s="563">
        <v>0</v>
      </c>
      <c r="IB134" s="563">
        <v>0</v>
      </c>
      <c r="IC134" s="563">
        <v>0</v>
      </c>
      <c r="ID134" s="650">
        <v>7844.3932460905535</v>
      </c>
      <c r="IE134" s="563">
        <v>0</v>
      </c>
      <c r="IF134" s="563">
        <v>0</v>
      </c>
      <c r="IG134" s="563">
        <v>0</v>
      </c>
      <c r="IH134" s="650">
        <v>7736.9621442158932</v>
      </c>
      <c r="II134" s="564">
        <v>4000</v>
      </c>
      <c r="IJ134" s="565">
        <v>167.97048721193426</v>
      </c>
      <c r="IK134" s="649">
        <v>7.5030300000000008</v>
      </c>
      <c r="IL134" s="646">
        <v>56.861925883449835</v>
      </c>
      <c r="IM134" s="646">
        <v>0</v>
      </c>
      <c r="IN134" s="646">
        <v>0</v>
      </c>
      <c r="IO134" s="646">
        <v>23.966884342098044</v>
      </c>
      <c r="IP134" s="646">
        <v>3.8632644660024278</v>
      </c>
      <c r="IQ134" s="646">
        <v>3600</v>
      </c>
      <c r="IR134" s="563" t="s">
        <v>68</v>
      </c>
      <c r="IS134" s="563">
        <v>3</v>
      </c>
      <c r="IT134" s="563">
        <v>0</v>
      </c>
      <c r="IU134" s="563">
        <v>0</v>
      </c>
      <c r="IV134" s="563">
        <v>0</v>
      </c>
      <c r="IW134" s="650">
        <v>7844.3932460905535</v>
      </c>
      <c r="IX134" s="563">
        <v>0</v>
      </c>
      <c r="IY134" s="563">
        <v>0</v>
      </c>
      <c r="IZ134" s="563">
        <v>0</v>
      </c>
      <c r="JA134" s="650">
        <v>7736.9621442158932</v>
      </c>
      <c r="JB134" s="564">
        <v>4000</v>
      </c>
      <c r="JC134" s="565">
        <v>167.97048721193426</v>
      </c>
      <c r="JD134" s="649">
        <v>7.5030300000000008</v>
      </c>
      <c r="JE134" s="646">
        <v>56.861925883449835</v>
      </c>
      <c r="JF134" s="646">
        <v>0</v>
      </c>
      <c r="JG134" s="646">
        <v>0</v>
      </c>
      <c r="JH134" s="646">
        <v>23.966884342098044</v>
      </c>
      <c r="JI134" s="646">
        <v>3.8632644660024278</v>
      </c>
      <c r="JJ134" s="646">
        <v>3600</v>
      </c>
      <c r="JK134" s="563" t="s">
        <v>67</v>
      </c>
      <c r="JL134" s="563">
        <v>3</v>
      </c>
      <c r="JM134" s="563">
        <v>0</v>
      </c>
      <c r="JN134" s="563">
        <v>0</v>
      </c>
      <c r="JO134" s="563">
        <v>0</v>
      </c>
      <c r="JP134" s="650">
        <v>10690.10604110872</v>
      </c>
      <c r="JQ134" s="563">
        <v>0</v>
      </c>
      <c r="JR134" s="563">
        <v>0</v>
      </c>
      <c r="JS134" s="563">
        <v>0</v>
      </c>
      <c r="JT134" s="650">
        <v>10543.702127494929</v>
      </c>
      <c r="JU134" s="564">
        <v>4000</v>
      </c>
      <c r="JV134" s="565">
        <v>167.97048721193426</v>
      </c>
      <c r="JW134" s="649">
        <v>7.5030300000000008</v>
      </c>
      <c r="JX134" s="646">
        <v>56.861925883449835</v>
      </c>
      <c r="JY134" s="646">
        <v>0</v>
      </c>
      <c r="JZ134" s="646">
        <v>0</v>
      </c>
      <c r="KA134" s="646">
        <v>23.966884342098044</v>
      </c>
      <c r="KB134" s="646">
        <v>3.8632644660024278</v>
      </c>
      <c r="KC134" s="646">
        <v>3600</v>
      </c>
      <c r="KD134" s="563" t="s">
        <v>67</v>
      </c>
      <c r="KE134" s="563">
        <v>3</v>
      </c>
      <c r="KF134" s="563">
        <v>0</v>
      </c>
      <c r="KG134" s="563">
        <v>0</v>
      </c>
      <c r="KH134" s="563">
        <v>0</v>
      </c>
      <c r="KI134" s="650">
        <v>10690.10604110872</v>
      </c>
      <c r="KJ134" s="563">
        <v>0</v>
      </c>
      <c r="KK134" s="563">
        <v>0</v>
      </c>
      <c r="KL134" s="563">
        <v>0</v>
      </c>
      <c r="KM134" s="650">
        <v>10543.702127494929</v>
      </c>
      <c r="KN134" s="564">
        <v>4000</v>
      </c>
      <c r="KO134" s="566">
        <v>167.97048721193426</v>
      </c>
    </row>
    <row r="135" spans="1:301" ht="15" customHeight="1">
      <c r="A135" s="663" t="s">
        <v>888</v>
      </c>
      <c r="B135" s="629" t="s">
        <v>384</v>
      </c>
      <c r="C135" s="629">
        <v>360</v>
      </c>
      <c r="D135" s="629">
        <v>802</v>
      </c>
      <c r="E135" s="629">
        <v>320</v>
      </c>
      <c r="F135" s="629">
        <v>360</v>
      </c>
      <c r="G135" s="629">
        <v>101</v>
      </c>
      <c r="H135" s="629">
        <v>85</v>
      </c>
      <c r="I135" s="629">
        <v>85</v>
      </c>
      <c r="J135" s="629">
        <v>30.82</v>
      </c>
      <c r="K135" s="629">
        <v>66.64</v>
      </c>
      <c r="L135" s="629">
        <v>18</v>
      </c>
      <c r="M135" s="629">
        <v>275</v>
      </c>
      <c r="N135" s="629">
        <v>4</v>
      </c>
      <c r="O135" s="623">
        <v>13.337039106441001</v>
      </c>
      <c r="P135" s="629">
        <v>4</v>
      </c>
      <c r="Q135" s="623">
        <v>8.1388963731718924</v>
      </c>
      <c r="R135" s="629">
        <v>13.000000000000002</v>
      </c>
      <c r="S135" s="629">
        <v>559.62455815341605</v>
      </c>
      <c r="T135" s="645">
        <v>25.101311858774867</v>
      </c>
      <c r="U135" s="645">
        <v>83.943683723012398</v>
      </c>
      <c r="V135" s="645">
        <v>85</v>
      </c>
      <c r="W135" s="793">
        <v>2.7695918613407837</v>
      </c>
      <c r="X135" s="646">
        <v>0</v>
      </c>
      <c r="Y135" s="646">
        <v>0</v>
      </c>
      <c r="Z135" s="646">
        <v>0</v>
      </c>
      <c r="AA135" s="646">
        <v>0</v>
      </c>
      <c r="AB135" s="647">
        <v>6.8467942516275135</v>
      </c>
      <c r="AC135" s="784">
        <v>4000</v>
      </c>
      <c r="AD135" s="631">
        <v>1.7726296870760909</v>
      </c>
      <c r="AE135" s="631">
        <v>0.59659284829124926</v>
      </c>
      <c r="AF135" s="631">
        <v>-0.21434026732719177</v>
      </c>
      <c r="AG135" s="631">
        <v>0.80937650620328772</v>
      </c>
      <c r="AH135" s="629"/>
      <c r="AI135" s="648">
        <v>2.6586097572069516</v>
      </c>
      <c r="AJ135" s="649">
        <v>9.9086625000000002</v>
      </c>
      <c r="AK135" s="646">
        <v>59.255501699728548</v>
      </c>
      <c r="AL135" s="646">
        <v>0</v>
      </c>
      <c r="AM135" s="646">
        <v>0</v>
      </c>
      <c r="AN135" s="646">
        <v>31.252970629077176</v>
      </c>
      <c r="AO135" s="646">
        <v>4.1558413841705626</v>
      </c>
      <c r="AP135" s="801">
        <v>3600</v>
      </c>
      <c r="AQ135" s="563" t="s">
        <v>71</v>
      </c>
      <c r="AR135" s="563">
        <v>3</v>
      </c>
      <c r="AS135" s="563">
        <v>0</v>
      </c>
      <c r="AT135" s="563">
        <v>0</v>
      </c>
      <c r="AU135" s="563">
        <v>0</v>
      </c>
      <c r="AV135" s="650">
        <v>4198.7632815837887</v>
      </c>
      <c r="AW135" s="563">
        <v>0</v>
      </c>
      <c r="AX135" s="563">
        <v>0</v>
      </c>
      <c r="AY135" s="563">
        <v>0</v>
      </c>
      <c r="AZ135" s="650">
        <v>4415.7924992403168</v>
      </c>
      <c r="BA135" s="564">
        <v>4000</v>
      </c>
      <c r="BB135" s="565">
        <v>167.97048721193426</v>
      </c>
      <c r="BC135" s="649">
        <v>9.9086625000000002</v>
      </c>
      <c r="BD135" s="646">
        <v>59.255501699728548</v>
      </c>
      <c r="BE135" s="646">
        <v>0</v>
      </c>
      <c r="BF135" s="646">
        <v>0</v>
      </c>
      <c r="BG135" s="646">
        <v>31.252970629077176</v>
      </c>
      <c r="BH135" s="646">
        <v>4.1558413841705626</v>
      </c>
      <c r="BI135" s="646">
        <v>3600</v>
      </c>
      <c r="BJ135" s="563" t="s">
        <v>71</v>
      </c>
      <c r="BK135" s="563">
        <v>3</v>
      </c>
      <c r="BL135" s="563">
        <v>0</v>
      </c>
      <c r="BM135" s="563">
        <v>0</v>
      </c>
      <c r="BN135" s="563">
        <v>0</v>
      </c>
      <c r="BO135" s="650">
        <v>4198.7632815837887</v>
      </c>
      <c r="BP135" s="563">
        <v>0</v>
      </c>
      <c r="BQ135" s="563">
        <v>0</v>
      </c>
      <c r="BR135" s="563">
        <v>0</v>
      </c>
      <c r="BS135" s="650">
        <v>4415.7924992403168</v>
      </c>
      <c r="BT135" s="564">
        <v>4000</v>
      </c>
      <c r="BU135" s="565">
        <v>167.97048721193426</v>
      </c>
      <c r="BV135" s="649">
        <v>9.9086625000000002</v>
      </c>
      <c r="BW135" s="646">
        <v>59.255501699728548</v>
      </c>
      <c r="BX135" s="646">
        <v>0</v>
      </c>
      <c r="BY135" s="646">
        <v>0</v>
      </c>
      <c r="BZ135" s="646">
        <v>31.252970629077176</v>
      </c>
      <c r="CA135" s="646">
        <v>4.1558413841705626</v>
      </c>
      <c r="CB135" s="646">
        <v>3600</v>
      </c>
      <c r="CC135" s="563" t="s">
        <v>1584</v>
      </c>
      <c r="CD135" s="563">
        <v>3</v>
      </c>
      <c r="CE135" s="563">
        <v>0</v>
      </c>
      <c r="CF135" s="563">
        <v>0</v>
      </c>
      <c r="CG135" s="563">
        <v>0</v>
      </c>
      <c r="CH135" s="650">
        <v>3902.8176634178926</v>
      </c>
      <c r="CI135" s="563">
        <v>0</v>
      </c>
      <c r="CJ135" s="563">
        <v>0</v>
      </c>
      <c r="CK135" s="563">
        <v>0</v>
      </c>
      <c r="CL135" s="650">
        <v>4104.5497943676901</v>
      </c>
      <c r="CM135" s="564">
        <v>3902.8176634178926</v>
      </c>
      <c r="CN135" s="565">
        <v>163.88954610591156</v>
      </c>
      <c r="CO135" s="649">
        <v>9.9086625000000002</v>
      </c>
      <c r="CP135" s="646">
        <v>59.255501699728548</v>
      </c>
      <c r="CQ135" s="646">
        <v>0</v>
      </c>
      <c r="CR135" s="646">
        <v>0</v>
      </c>
      <c r="CS135" s="646">
        <v>31.252970629077176</v>
      </c>
      <c r="CT135" s="646">
        <v>4.1558413841705626</v>
      </c>
      <c r="CU135" s="646">
        <v>3600</v>
      </c>
      <c r="CV135" s="563" t="s">
        <v>1584</v>
      </c>
      <c r="CW135" s="563">
        <v>3</v>
      </c>
      <c r="CX135" s="563">
        <v>0</v>
      </c>
      <c r="CY135" s="563">
        <v>0</v>
      </c>
      <c r="CZ135" s="563">
        <v>0</v>
      </c>
      <c r="DA135" s="650">
        <v>3902.8176634178926</v>
      </c>
      <c r="DB135" s="563">
        <v>0</v>
      </c>
      <c r="DC135" s="563">
        <v>0</v>
      </c>
      <c r="DD135" s="563">
        <v>0</v>
      </c>
      <c r="DE135" s="650">
        <v>4104.5497943676901</v>
      </c>
      <c r="DF135" s="564">
        <v>3902.8176634178926</v>
      </c>
      <c r="DG135" s="565">
        <v>163.88954610591156</v>
      </c>
      <c r="DH135" s="649">
        <v>9.9086625000000002</v>
      </c>
      <c r="DI135" s="646">
        <v>59.255501699728548</v>
      </c>
      <c r="DJ135" s="646">
        <v>0</v>
      </c>
      <c r="DK135" s="646">
        <v>0</v>
      </c>
      <c r="DL135" s="646">
        <v>31.252970629077176</v>
      </c>
      <c r="DM135" s="646">
        <v>4.1558413841705626</v>
      </c>
      <c r="DN135" s="646">
        <v>3600</v>
      </c>
      <c r="DO135" s="563" t="s">
        <v>1585</v>
      </c>
      <c r="DP135" s="563">
        <v>3</v>
      </c>
      <c r="DQ135" s="563">
        <v>0</v>
      </c>
      <c r="DR135" s="563">
        <v>0</v>
      </c>
      <c r="DS135" s="563">
        <v>0</v>
      </c>
      <c r="DT135" s="650">
        <v>4326.9676572228273</v>
      </c>
      <c r="DU135" s="563">
        <v>0</v>
      </c>
      <c r="DV135" s="563">
        <v>0</v>
      </c>
      <c r="DW135" s="563">
        <v>0</v>
      </c>
      <c r="DX135" s="650">
        <v>4550.6236107725463</v>
      </c>
      <c r="DY135" s="564">
        <v>4000</v>
      </c>
      <c r="DZ135" s="565">
        <v>167.97048721193426</v>
      </c>
      <c r="EA135" s="649">
        <v>9.9086625000000002</v>
      </c>
      <c r="EB135" s="646">
        <v>59.255501699728548</v>
      </c>
      <c r="EC135" s="646">
        <v>0</v>
      </c>
      <c r="ED135" s="646">
        <v>0</v>
      </c>
      <c r="EE135" s="646">
        <v>31.252970629077176</v>
      </c>
      <c r="EF135" s="646">
        <v>4.1558413841705626</v>
      </c>
      <c r="EG135" s="646">
        <v>3600</v>
      </c>
      <c r="EH135" s="563" t="s">
        <v>1585</v>
      </c>
      <c r="EI135" s="563">
        <v>3</v>
      </c>
      <c r="EJ135" s="563">
        <v>0</v>
      </c>
      <c r="EK135" s="563">
        <v>0</v>
      </c>
      <c r="EL135" s="563">
        <v>0</v>
      </c>
      <c r="EM135" s="650">
        <v>4326.9676572228273</v>
      </c>
      <c r="EN135" s="563">
        <v>0</v>
      </c>
      <c r="EO135" s="563">
        <v>0</v>
      </c>
      <c r="EP135" s="563">
        <v>0</v>
      </c>
      <c r="EQ135" s="650">
        <v>4550.6236107725463</v>
      </c>
      <c r="ER135" s="564">
        <v>4000</v>
      </c>
      <c r="ES135" s="565">
        <v>167.97048721193426</v>
      </c>
      <c r="ET135" s="649">
        <v>9.9086625000000002</v>
      </c>
      <c r="EU135" s="646">
        <v>59.255501699728548</v>
      </c>
      <c r="EV135" s="646">
        <v>0</v>
      </c>
      <c r="EW135" s="646">
        <v>0</v>
      </c>
      <c r="EX135" s="646">
        <v>31.252970629077176</v>
      </c>
      <c r="EY135" s="646">
        <v>4.1558413841705626</v>
      </c>
      <c r="EZ135" s="646">
        <v>3600</v>
      </c>
      <c r="FA135" s="563" t="s">
        <v>1586</v>
      </c>
      <c r="FB135" s="563">
        <v>3</v>
      </c>
      <c r="FC135" s="563">
        <v>0</v>
      </c>
      <c r="FD135" s="563">
        <v>0</v>
      </c>
      <c r="FE135" s="563">
        <v>0</v>
      </c>
      <c r="FF135" s="650">
        <v>4541.6568915857397</v>
      </c>
      <c r="FG135" s="563">
        <v>0</v>
      </c>
      <c r="FH135" s="563">
        <v>0</v>
      </c>
      <c r="FI135" s="563">
        <v>0</v>
      </c>
      <c r="FJ135" s="650">
        <v>4776.4098833460739</v>
      </c>
      <c r="FK135" s="564">
        <v>4000</v>
      </c>
      <c r="FL135" s="565">
        <v>167.97048721193426</v>
      </c>
      <c r="FM135" s="649">
        <v>9.9086625000000002</v>
      </c>
      <c r="FN135" s="646">
        <v>59.255501699728548</v>
      </c>
      <c r="FO135" s="646">
        <v>0</v>
      </c>
      <c r="FP135" s="646">
        <v>0</v>
      </c>
      <c r="FQ135" s="646">
        <v>31.252970629077176</v>
      </c>
      <c r="FR135" s="646">
        <v>4.1558413841705626</v>
      </c>
      <c r="FS135" s="646">
        <v>3600</v>
      </c>
      <c r="FT135" s="563" t="s">
        <v>1586</v>
      </c>
      <c r="FU135" s="563">
        <v>3</v>
      </c>
      <c r="FV135" s="563">
        <v>0</v>
      </c>
      <c r="FW135" s="563">
        <v>0</v>
      </c>
      <c r="FX135" s="563">
        <v>0</v>
      </c>
      <c r="FY135" s="650">
        <v>4541.6568915857397</v>
      </c>
      <c r="FZ135" s="563">
        <v>0</v>
      </c>
      <c r="GA135" s="563">
        <v>0</v>
      </c>
      <c r="GB135" s="563">
        <v>0</v>
      </c>
      <c r="GC135" s="650">
        <v>4776.4098833460739</v>
      </c>
      <c r="GD135" s="564">
        <v>4000</v>
      </c>
      <c r="GE135" s="565">
        <v>167.97048721193426</v>
      </c>
      <c r="GF135" s="649">
        <v>9.9086625000000002</v>
      </c>
      <c r="GG135" s="646">
        <v>59.255501699728548</v>
      </c>
      <c r="GH135" s="646">
        <v>0</v>
      </c>
      <c r="GI135" s="646">
        <v>0</v>
      </c>
      <c r="GJ135" s="646">
        <v>31.252970629077176</v>
      </c>
      <c r="GK135" s="646">
        <v>4.1558413841705626</v>
      </c>
      <c r="GL135" s="646">
        <v>3600</v>
      </c>
      <c r="GM135" s="563" t="s">
        <v>1587</v>
      </c>
      <c r="GN135" s="563">
        <v>3</v>
      </c>
      <c r="GO135" s="563">
        <v>0</v>
      </c>
      <c r="GP135" s="563">
        <v>0</v>
      </c>
      <c r="GQ135" s="563">
        <v>0</v>
      </c>
      <c r="GR135" s="650">
        <v>5344.1531802089621</v>
      </c>
      <c r="GS135" s="563">
        <v>0</v>
      </c>
      <c r="GT135" s="563">
        <v>0</v>
      </c>
      <c r="GU135" s="563">
        <v>0</v>
      </c>
      <c r="GV135" s="650">
        <v>5620.3862769459374</v>
      </c>
      <c r="GW135" s="564">
        <v>4000</v>
      </c>
      <c r="GX135" s="565">
        <v>167.97048721193426</v>
      </c>
      <c r="GY135" s="649">
        <v>9.9086625000000002</v>
      </c>
      <c r="GZ135" s="646">
        <v>59.255501699728548</v>
      </c>
      <c r="HA135" s="646">
        <v>0</v>
      </c>
      <c r="HB135" s="646">
        <v>0</v>
      </c>
      <c r="HC135" s="646">
        <v>31.252970629077176</v>
      </c>
      <c r="HD135" s="646">
        <v>4.1558413841705626</v>
      </c>
      <c r="HE135" s="646">
        <v>3600</v>
      </c>
      <c r="HF135" s="563" t="s">
        <v>1587</v>
      </c>
      <c r="HG135" s="563">
        <v>3</v>
      </c>
      <c r="HH135" s="563">
        <v>0</v>
      </c>
      <c r="HI135" s="563">
        <v>0</v>
      </c>
      <c r="HJ135" s="563">
        <v>0</v>
      </c>
      <c r="HK135" s="650">
        <v>5344.1531802089621</v>
      </c>
      <c r="HL135" s="563">
        <v>0</v>
      </c>
      <c r="HM135" s="563">
        <v>0</v>
      </c>
      <c r="HN135" s="563">
        <v>0</v>
      </c>
      <c r="HO135" s="650">
        <v>5620.3862769459374</v>
      </c>
      <c r="HP135" s="564">
        <v>4000</v>
      </c>
      <c r="HQ135" s="565">
        <v>167.97048721193426</v>
      </c>
      <c r="HR135" s="649">
        <v>9.9086625000000002</v>
      </c>
      <c r="HS135" s="646">
        <v>59.255501699728548</v>
      </c>
      <c r="HT135" s="646">
        <v>0</v>
      </c>
      <c r="HU135" s="646">
        <v>0</v>
      </c>
      <c r="HV135" s="646">
        <v>31.252970629077176</v>
      </c>
      <c r="HW135" s="646">
        <v>4.1558413841705626</v>
      </c>
      <c r="HX135" s="646">
        <v>3600</v>
      </c>
      <c r="HY135" s="563" t="s">
        <v>68</v>
      </c>
      <c r="HZ135" s="563">
        <v>3</v>
      </c>
      <c r="IA135" s="563">
        <v>0</v>
      </c>
      <c r="IB135" s="563">
        <v>0</v>
      </c>
      <c r="IC135" s="563">
        <v>0</v>
      </c>
      <c r="ID135" s="650">
        <v>4713.1000943559538</v>
      </c>
      <c r="IE135" s="563">
        <v>0</v>
      </c>
      <c r="IF135" s="563">
        <v>0</v>
      </c>
      <c r="IG135" s="563">
        <v>0</v>
      </c>
      <c r="IH135" s="650">
        <v>4956.7147869730497</v>
      </c>
      <c r="II135" s="564">
        <v>4000</v>
      </c>
      <c r="IJ135" s="565">
        <v>167.97048721193426</v>
      </c>
      <c r="IK135" s="649">
        <v>9.9086625000000002</v>
      </c>
      <c r="IL135" s="646">
        <v>59.255501699728548</v>
      </c>
      <c r="IM135" s="646">
        <v>0</v>
      </c>
      <c r="IN135" s="646">
        <v>0</v>
      </c>
      <c r="IO135" s="646">
        <v>31.252970629077176</v>
      </c>
      <c r="IP135" s="646">
        <v>4.1558413841705626</v>
      </c>
      <c r="IQ135" s="646">
        <v>3600</v>
      </c>
      <c r="IR135" s="563" t="s">
        <v>68</v>
      </c>
      <c r="IS135" s="563">
        <v>3</v>
      </c>
      <c r="IT135" s="563">
        <v>0</v>
      </c>
      <c r="IU135" s="563">
        <v>0</v>
      </c>
      <c r="IV135" s="563">
        <v>0</v>
      </c>
      <c r="IW135" s="650">
        <v>4713.1000943559538</v>
      </c>
      <c r="IX135" s="563">
        <v>0</v>
      </c>
      <c r="IY135" s="563">
        <v>0</v>
      </c>
      <c r="IZ135" s="563">
        <v>0</v>
      </c>
      <c r="JA135" s="650">
        <v>4956.7147869730497</v>
      </c>
      <c r="JB135" s="564">
        <v>4000</v>
      </c>
      <c r="JC135" s="565">
        <v>167.97048721193426</v>
      </c>
      <c r="JD135" s="649">
        <v>9.9086625000000002</v>
      </c>
      <c r="JE135" s="646">
        <v>59.255501699728548</v>
      </c>
      <c r="JF135" s="646">
        <v>0</v>
      </c>
      <c r="JG135" s="646">
        <v>0</v>
      </c>
      <c r="JH135" s="646">
        <v>31.252970629077176</v>
      </c>
      <c r="JI135" s="646">
        <v>4.1558413841705626</v>
      </c>
      <c r="JJ135" s="646">
        <v>3600</v>
      </c>
      <c r="JK135" s="563" t="s">
        <v>67</v>
      </c>
      <c r="JL135" s="563">
        <v>3</v>
      </c>
      <c r="JM135" s="563">
        <v>0</v>
      </c>
      <c r="JN135" s="563">
        <v>0</v>
      </c>
      <c r="JO135" s="563">
        <v>0</v>
      </c>
      <c r="JP135" s="650">
        <v>6422.8727717257852</v>
      </c>
      <c r="JQ135" s="563">
        <v>0</v>
      </c>
      <c r="JR135" s="563">
        <v>0</v>
      </c>
      <c r="JS135" s="563">
        <v>0</v>
      </c>
      <c r="JT135" s="650">
        <v>6754.863636480909</v>
      </c>
      <c r="JU135" s="564">
        <v>4000</v>
      </c>
      <c r="JV135" s="565">
        <v>167.97048721193426</v>
      </c>
      <c r="JW135" s="649">
        <v>9.9086625000000002</v>
      </c>
      <c r="JX135" s="646">
        <v>59.255501699728548</v>
      </c>
      <c r="JY135" s="646">
        <v>0</v>
      </c>
      <c r="JZ135" s="646">
        <v>0</v>
      </c>
      <c r="KA135" s="646">
        <v>31.252970629077176</v>
      </c>
      <c r="KB135" s="646">
        <v>4.1558413841705626</v>
      </c>
      <c r="KC135" s="646">
        <v>3600</v>
      </c>
      <c r="KD135" s="563" t="s">
        <v>67</v>
      </c>
      <c r="KE135" s="563">
        <v>3</v>
      </c>
      <c r="KF135" s="563">
        <v>0</v>
      </c>
      <c r="KG135" s="563">
        <v>0</v>
      </c>
      <c r="KH135" s="563">
        <v>0</v>
      </c>
      <c r="KI135" s="650">
        <v>6422.8727717257852</v>
      </c>
      <c r="KJ135" s="563">
        <v>0</v>
      </c>
      <c r="KK135" s="563">
        <v>0</v>
      </c>
      <c r="KL135" s="563">
        <v>0</v>
      </c>
      <c r="KM135" s="650">
        <v>6754.863636480909</v>
      </c>
      <c r="KN135" s="564">
        <v>4000</v>
      </c>
      <c r="KO135" s="566">
        <v>167.97048721193426</v>
      </c>
    </row>
    <row r="136" spans="1:301" ht="15" customHeight="1">
      <c r="A136" s="663" t="s">
        <v>790</v>
      </c>
      <c r="B136" s="629" t="s">
        <v>385</v>
      </c>
      <c r="C136" s="629">
        <v>401</v>
      </c>
      <c r="D136" s="629">
        <v>802</v>
      </c>
      <c r="E136" s="629">
        <v>360</v>
      </c>
      <c r="F136" s="629">
        <v>401</v>
      </c>
      <c r="G136" s="629">
        <v>136</v>
      </c>
      <c r="H136" s="629">
        <v>120</v>
      </c>
      <c r="I136" s="629">
        <v>120</v>
      </c>
      <c r="J136" s="629">
        <v>31.53</v>
      </c>
      <c r="K136" s="629">
        <v>64.819999999999993</v>
      </c>
      <c r="L136" s="629">
        <v>18</v>
      </c>
      <c r="M136" s="629">
        <v>221.49956068604513</v>
      </c>
      <c r="N136" s="629">
        <v>4</v>
      </c>
      <c r="O136" s="623">
        <v>12.666246243046507</v>
      </c>
      <c r="P136" s="629">
        <v>4</v>
      </c>
      <c r="Q136" s="623">
        <v>7.9110420800553873</v>
      </c>
      <c r="R136" s="629">
        <v>13.000000000000002</v>
      </c>
      <c r="S136" s="629">
        <v>567.81944020565538</v>
      </c>
      <c r="T136" s="645">
        <v>25.841838311403507</v>
      </c>
      <c r="U136" s="645">
        <v>85.172916030848299</v>
      </c>
      <c r="V136" s="645">
        <v>97.5</v>
      </c>
      <c r="W136" s="793">
        <v>3.2706076612870052</v>
      </c>
      <c r="X136" s="646">
        <v>0</v>
      </c>
      <c r="Y136" s="646">
        <v>0</v>
      </c>
      <c r="Z136" s="646">
        <v>0</v>
      </c>
      <c r="AA136" s="646">
        <v>0</v>
      </c>
      <c r="AB136" s="647">
        <v>10.221016287367741</v>
      </c>
      <c r="AC136" s="784">
        <v>4000</v>
      </c>
      <c r="AD136" s="631">
        <v>1.841745265767774</v>
      </c>
      <c r="AE136" s="631">
        <v>0.61352124247620243</v>
      </c>
      <c r="AF136" s="631">
        <v>-0.2664084374688509</v>
      </c>
      <c r="AG136" s="631">
        <v>0.72493209181684237</v>
      </c>
      <c r="AH136" s="629"/>
      <c r="AI136" s="648">
        <v>2.7249774431783385</v>
      </c>
      <c r="AJ136" s="649">
        <v>15.022986203970326</v>
      </c>
      <c r="AK136" s="646">
        <v>64.712720499762725</v>
      </c>
      <c r="AL136" s="646">
        <v>0</v>
      </c>
      <c r="AM136" s="646">
        <v>0</v>
      </c>
      <c r="AN136" s="646">
        <v>42.720578840228363</v>
      </c>
      <c r="AO136" s="646">
        <v>4.7297578531356379</v>
      </c>
      <c r="AP136" s="801">
        <v>3600</v>
      </c>
      <c r="AQ136" s="563" t="s">
        <v>71</v>
      </c>
      <c r="AR136" s="563">
        <v>4</v>
      </c>
      <c r="AS136" s="563">
        <v>0</v>
      </c>
      <c r="AT136" s="563">
        <v>0</v>
      </c>
      <c r="AU136" s="563">
        <v>0</v>
      </c>
      <c r="AV136" s="650">
        <v>4059.1789874200663</v>
      </c>
      <c r="AW136" s="563">
        <v>0</v>
      </c>
      <c r="AX136" s="563">
        <v>0</v>
      </c>
      <c r="AY136" s="563">
        <v>0</v>
      </c>
      <c r="AZ136" s="650">
        <v>4333.5433950189845</v>
      </c>
      <c r="BA136" s="564">
        <v>4000</v>
      </c>
      <c r="BB136" s="565">
        <v>167.97048721193426</v>
      </c>
      <c r="BC136" s="649">
        <v>15.022986203970326</v>
      </c>
      <c r="BD136" s="646">
        <v>64.712720499762725</v>
      </c>
      <c r="BE136" s="646">
        <v>0</v>
      </c>
      <c r="BF136" s="646">
        <v>0</v>
      </c>
      <c r="BG136" s="646">
        <v>42.720578840228363</v>
      </c>
      <c r="BH136" s="646">
        <v>4.7297578531356379</v>
      </c>
      <c r="BI136" s="646">
        <v>3600</v>
      </c>
      <c r="BJ136" s="563" t="s">
        <v>71</v>
      </c>
      <c r="BK136" s="563">
        <v>4</v>
      </c>
      <c r="BL136" s="563">
        <v>0</v>
      </c>
      <c r="BM136" s="563">
        <v>0</v>
      </c>
      <c r="BN136" s="563">
        <v>0</v>
      </c>
      <c r="BO136" s="650">
        <v>4059.1789874200663</v>
      </c>
      <c r="BP136" s="563">
        <v>0</v>
      </c>
      <c r="BQ136" s="563">
        <v>0</v>
      </c>
      <c r="BR136" s="563">
        <v>0</v>
      </c>
      <c r="BS136" s="650">
        <v>4333.5433950189845</v>
      </c>
      <c r="BT136" s="564">
        <v>4000</v>
      </c>
      <c r="BU136" s="565">
        <v>167.97048721193426</v>
      </c>
      <c r="BV136" s="649">
        <v>15.022986203970326</v>
      </c>
      <c r="BW136" s="646">
        <v>64.712720499762725</v>
      </c>
      <c r="BX136" s="646">
        <v>0</v>
      </c>
      <c r="BY136" s="646">
        <v>0</v>
      </c>
      <c r="BZ136" s="646">
        <v>42.720578840228363</v>
      </c>
      <c r="CA136" s="646">
        <v>4.7297578531356379</v>
      </c>
      <c r="CB136" s="646">
        <v>3600</v>
      </c>
      <c r="CC136" s="563" t="s">
        <v>1584</v>
      </c>
      <c r="CD136" s="563">
        <v>4</v>
      </c>
      <c r="CE136" s="563">
        <v>0</v>
      </c>
      <c r="CF136" s="563">
        <v>0</v>
      </c>
      <c r="CG136" s="563">
        <v>0</v>
      </c>
      <c r="CH136" s="650">
        <v>3812.7179017821268</v>
      </c>
      <c r="CI136" s="563">
        <v>0</v>
      </c>
      <c r="CJ136" s="563">
        <v>0</v>
      </c>
      <c r="CK136" s="563">
        <v>0</v>
      </c>
      <c r="CL136" s="650">
        <v>3767.9405989908551</v>
      </c>
      <c r="CM136" s="564">
        <v>3767.9405989908551</v>
      </c>
      <c r="CN136" s="565">
        <v>158.22570454953035</v>
      </c>
      <c r="CO136" s="649">
        <v>15.022986203970326</v>
      </c>
      <c r="CP136" s="646">
        <v>64.712720499762725</v>
      </c>
      <c r="CQ136" s="646">
        <v>0</v>
      </c>
      <c r="CR136" s="646">
        <v>0</v>
      </c>
      <c r="CS136" s="646">
        <v>42.720578840228363</v>
      </c>
      <c r="CT136" s="646">
        <v>4.7297578531356379</v>
      </c>
      <c r="CU136" s="646">
        <v>3600</v>
      </c>
      <c r="CV136" s="563" t="s">
        <v>1584</v>
      </c>
      <c r="CW136" s="563">
        <v>4</v>
      </c>
      <c r="CX136" s="563">
        <v>0</v>
      </c>
      <c r="CY136" s="563">
        <v>0</v>
      </c>
      <c r="CZ136" s="563">
        <v>0</v>
      </c>
      <c r="DA136" s="650">
        <v>3812.7179017821268</v>
      </c>
      <c r="DB136" s="563">
        <v>0</v>
      </c>
      <c r="DC136" s="563">
        <v>0</v>
      </c>
      <c r="DD136" s="563">
        <v>0</v>
      </c>
      <c r="DE136" s="650">
        <v>3767.9405989908551</v>
      </c>
      <c r="DF136" s="564">
        <v>3767.9405989908551</v>
      </c>
      <c r="DG136" s="565">
        <v>158.22570454953035</v>
      </c>
      <c r="DH136" s="649">
        <v>11.267239652977745</v>
      </c>
      <c r="DI136" s="646">
        <v>60.956973948770148</v>
      </c>
      <c r="DJ136" s="646">
        <v>0</v>
      </c>
      <c r="DK136" s="646">
        <v>0</v>
      </c>
      <c r="DL136" s="646">
        <v>41.655940584423504</v>
      </c>
      <c r="DM136" s="646">
        <v>4.3523029774192885</v>
      </c>
      <c r="DN136" s="646">
        <v>3600</v>
      </c>
      <c r="DO136" s="563" t="s">
        <v>1585</v>
      </c>
      <c r="DP136" s="563">
        <v>3</v>
      </c>
      <c r="DQ136" s="563">
        <v>0</v>
      </c>
      <c r="DR136" s="563">
        <v>0</v>
      </c>
      <c r="DS136" s="563">
        <v>0</v>
      </c>
      <c r="DT136" s="650">
        <v>3340.0833145599654</v>
      </c>
      <c r="DU136" s="563">
        <v>0</v>
      </c>
      <c r="DV136" s="563">
        <v>0</v>
      </c>
      <c r="DW136" s="563">
        <v>0</v>
      </c>
      <c r="DX136" s="650">
        <v>3300.8567245550375</v>
      </c>
      <c r="DY136" s="564">
        <v>3300.8567245550375</v>
      </c>
      <c r="DZ136" s="565">
        <v>138.61162806007482</v>
      </c>
      <c r="EA136" s="649">
        <v>15.022986203970326</v>
      </c>
      <c r="EB136" s="646">
        <v>64.712720499762725</v>
      </c>
      <c r="EC136" s="646">
        <v>0</v>
      </c>
      <c r="ED136" s="646">
        <v>0</v>
      </c>
      <c r="EE136" s="646">
        <v>42.720578840228363</v>
      </c>
      <c r="EF136" s="646">
        <v>4.7297578531356379</v>
      </c>
      <c r="EG136" s="646">
        <v>3600</v>
      </c>
      <c r="EH136" s="563" t="s">
        <v>1585</v>
      </c>
      <c r="EI136" s="563">
        <v>4</v>
      </c>
      <c r="EJ136" s="563">
        <v>0</v>
      </c>
      <c r="EK136" s="563">
        <v>0</v>
      </c>
      <c r="EL136" s="563">
        <v>0</v>
      </c>
      <c r="EM136" s="650">
        <v>4075.9668859682411</v>
      </c>
      <c r="EN136" s="563">
        <v>0</v>
      </c>
      <c r="EO136" s="563">
        <v>0</v>
      </c>
      <c r="EP136" s="563">
        <v>0</v>
      </c>
      <c r="EQ136" s="650">
        <v>4028.0979357541655</v>
      </c>
      <c r="ER136" s="564">
        <v>4000</v>
      </c>
      <c r="ES136" s="565">
        <v>167.97048721193426</v>
      </c>
      <c r="ET136" s="649">
        <v>11.267239652977745</v>
      </c>
      <c r="EU136" s="646">
        <v>60.956973948770148</v>
      </c>
      <c r="EV136" s="646">
        <v>0</v>
      </c>
      <c r="EW136" s="646">
        <v>0</v>
      </c>
      <c r="EX136" s="646">
        <v>41.655940584423504</v>
      </c>
      <c r="EY136" s="646">
        <v>4.3523029774192885</v>
      </c>
      <c r="EZ136" s="646">
        <v>3600</v>
      </c>
      <c r="FA136" s="563" t="s">
        <v>1586</v>
      </c>
      <c r="FB136" s="563">
        <v>3</v>
      </c>
      <c r="FC136" s="563">
        <v>0</v>
      </c>
      <c r="FD136" s="563">
        <v>0</v>
      </c>
      <c r="FE136" s="563">
        <v>0</v>
      </c>
      <c r="FF136" s="650">
        <v>3408.9582579358271</v>
      </c>
      <c r="FG136" s="563">
        <v>0</v>
      </c>
      <c r="FH136" s="563">
        <v>0</v>
      </c>
      <c r="FI136" s="563">
        <v>0</v>
      </c>
      <c r="FJ136" s="650">
        <v>3368.9227871639041</v>
      </c>
      <c r="FK136" s="564">
        <v>3368.9227871639041</v>
      </c>
      <c r="FL136" s="565">
        <v>141.46990048482712</v>
      </c>
      <c r="FM136" s="649">
        <v>15.022986203970326</v>
      </c>
      <c r="FN136" s="646">
        <v>64.712720499762725</v>
      </c>
      <c r="FO136" s="646">
        <v>0</v>
      </c>
      <c r="FP136" s="646">
        <v>0</v>
      </c>
      <c r="FQ136" s="646">
        <v>42.720578840228363</v>
      </c>
      <c r="FR136" s="646">
        <v>4.7297578531356379</v>
      </c>
      <c r="FS136" s="646">
        <v>3600</v>
      </c>
      <c r="FT136" s="563" t="s">
        <v>1586</v>
      </c>
      <c r="FU136" s="563">
        <v>4</v>
      </c>
      <c r="FV136" s="563">
        <v>0</v>
      </c>
      <c r="FW136" s="563">
        <v>0</v>
      </c>
      <c r="FX136" s="563">
        <v>0</v>
      </c>
      <c r="FY136" s="650">
        <v>4160.0162829677865</v>
      </c>
      <c r="FZ136" s="563">
        <v>0</v>
      </c>
      <c r="GA136" s="563">
        <v>0</v>
      </c>
      <c r="GB136" s="563">
        <v>0</v>
      </c>
      <c r="GC136" s="650">
        <v>4111.1602402327298</v>
      </c>
      <c r="GD136" s="564">
        <v>4000</v>
      </c>
      <c r="GE136" s="565">
        <v>167.97048721193426</v>
      </c>
      <c r="GF136" s="649">
        <v>11.267239652977745</v>
      </c>
      <c r="GG136" s="646">
        <v>60.956973948770148</v>
      </c>
      <c r="GH136" s="646">
        <v>0</v>
      </c>
      <c r="GI136" s="646">
        <v>0</v>
      </c>
      <c r="GJ136" s="646">
        <v>41.655940584423504</v>
      </c>
      <c r="GK136" s="646">
        <v>4.3523029774192885</v>
      </c>
      <c r="GL136" s="646">
        <v>3600</v>
      </c>
      <c r="GM136" s="563" t="s">
        <v>1587</v>
      </c>
      <c r="GN136" s="563">
        <v>3</v>
      </c>
      <c r="GO136" s="563">
        <v>0</v>
      </c>
      <c r="GP136" s="563">
        <v>0</v>
      </c>
      <c r="GQ136" s="563">
        <v>0</v>
      </c>
      <c r="GR136" s="650">
        <v>4573.597438322262</v>
      </c>
      <c r="GS136" s="563">
        <v>0</v>
      </c>
      <c r="GT136" s="563">
        <v>0</v>
      </c>
      <c r="GU136" s="563">
        <v>0</v>
      </c>
      <c r="GV136" s="650">
        <v>4519.8842178240693</v>
      </c>
      <c r="GW136" s="564">
        <v>4000</v>
      </c>
      <c r="GX136" s="565">
        <v>167.97048721193426</v>
      </c>
      <c r="GY136" s="649">
        <v>11.267239652977745</v>
      </c>
      <c r="GZ136" s="646">
        <v>60.956973948770148</v>
      </c>
      <c r="HA136" s="646">
        <v>0</v>
      </c>
      <c r="HB136" s="646">
        <v>0</v>
      </c>
      <c r="HC136" s="646">
        <v>41.655940584423504</v>
      </c>
      <c r="HD136" s="646">
        <v>4.3523029774192885</v>
      </c>
      <c r="HE136" s="646">
        <v>3600</v>
      </c>
      <c r="HF136" s="563" t="s">
        <v>1587</v>
      </c>
      <c r="HG136" s="563">
        <v>3</v>
      </c>
      <c r="HH136" s="563">
        <v>0</v>
      </c>
      <c r="HI136" s="563">
        <v>0</v>
      </c>
      <c r="HJ136" s="563">
        <v>0</v>
      </c>
      <c r="HK136" s="650">
        <v>4573.597438322262</v>
      </c>
      <c r="HL136" s="563">
        <v>0</v>
      </c>
      <c r="HM136" s="563">
        <v>0</v>
      </c>
      <c r="HN136" s="563">
        <v>0</v>
      </c>
      <c r="HO136" s="650">
        <v>4519.8842178240693</v>
      </c>
      <c r="HP136" s="564">
        <v>4000</v>
      </c>
      <c r="HQ136" s="565">
        <v>167.97048721193426</v>
      </c>
      <c r="HR136" s="649">
        <v>11.267239652977745</v>
      </c>
      <c r="HS136" s="646">
        <v>60.956973948770148</v>
      </c>
      <c r="HT136" s="646">
        <v>0</v>
      </c>
      <c r="HU136" s="646">
        <v>0</v>
      </c>
      <c r="HV136" s="646">
        <v>41.655940584423504</v>
      </c>
      <c r="HW136" s="646">
        <v>4.3523029774192885</v>
      </c>
      <c r="HX136" s="646">
        <v>3600</v>
      </c>
      <c r="HY136" s="563" t="s">
        <v>68</v>
      </c>
      <c r="HZ136" s="563">
        <v>3</v>
      </c>
      <c r="IA136" s="563">
        <v>0</v>
      </c>
      <c r="IB136" s="563">
        <v>0</v>
      </c>
      <c r="IC136" s="563">
        <v>0</v>
      </c>
      <c r="ID136" s="650">
        <v>4033.5338062409255</v>
      </c>
      <c r="IE136" s="563">
        <v>0</v>
      </c>
      <c r="IF136" s="563">
        <v>0</v>
      </c>
      <c r="IG136" s="563">
        <v>0</v>
      </c>
      <c r="IH136" s="650">
        <v>3986.1631983927959</v>
      </c>
      <c r="II136" s="564">
        <v>3986.1631983927959</v>
      </c>
      <c r="IJ136" s="565">
        <v>167.38944363508006</v>
      </c>
      <c r="IK136" s="649">
        <v>11.267239652977745</v>
      </c>
      <c r="IL136" s="646">
        <v>60.956973948770148</v>
      </c>
      <c r="IM136" s="646">
        <v>0</v>
      </c>
      <c r="IN136" s="646">
        <v>0</v>
      </c>
      <c r="IO136" s="646">
        <v>41.655940584423504</v>
      </c>
      <c r="IP136" s="646">
        <v>4.3523029774192885</v>
      </c>
      <c r="IQ136" s="646">
        <v>3600</v>
      </c>
      <c r="IR136" s="563" t="s">
        <v>68</v>
      </c>
      <c r="IS136" s="563">
        <v>3</v>
      </c>
      <c r="IT136" s="563">
        <v>0</v>
      </c>
      <c r="IU136" s="563">
        <v>0</v>
      </c>
      <c r="IV136" s="563">
        <v>0</v>
      </c>
      <c r="IW136" s="650">
        <v>4033.5338062409255</v>
      </c>
      <c r="IX136" s="563">
        <v>0</v>
      </c>
      <c r="IY136" s="563">
        <v>0</v>
      </c>
      <c r="IZ136" s="563">
        <v>0</v>
      </c>
      <c r="JA136" s="650">
        <v>3986.1631983927959</v>
      </c>
      <c r="JB136" s="564">
        <v>3986.1631983927959</v>
      </c>
      <c r="JC136" s="565">
        <v>167.38944363508006</v>
      </c>
      <c r="JD136" s="649">
        <v>11.267239652977745</v>
      </c>
      <c r="JE136" s="646">
        <v>60.956973948770148</v>
      </c>
      <c r="JF136" s="646">
        <v>0</v>
      </c>
      <c r="JG136" s="646">
        <v>0</v>
      </c>
      <c r="JH136" s="646">
        <v>41.655940584423504</v>
      </c>
      <c r="JI136" s="646">
        <v>4.3523029774192885</v>
      </c>
      <c r="JJ136" s="646">
        <v>3600</v>
      </c>
      <c r="JK136" s="563" t="s">
        <v>67</v>
      </c>
      <c r="JL136" s="563">
        <v>3</v>
      </c>
      <c r="JM136" s="563">
        <v>0</v>
      </c>
      <c r="JN136" s="563">
        <v>0</v>
      </c>
      <c r="JO136" s="563">
        <v>0</v>
      </c>
      <c r="JP136" s="650">
        <v>5496.7800257337794</v>
      </c>
      <c r="JQ136" s="563">
        <v>0</v>
      </c>
      <c r="JR136" s="563">
        <v>0</v>
      </c>
      <c r="JS136" s="563">
        <v>0</v>
      </c>
      <c r="JT136" s="650">
        <v>5432.2247688463103</v>
      </c>
      <c r="JU136" s="564">
        <v>4000</v>
      </c>
      <c r="JV136" s="565">
        <v>167.97048721193426</v>
      </c>
      <c r="JW136" s="649">
        <v>11.267239652977745</v>
      </c>
      <c r="JX136" s="646">
        <v>60.956973948770148</v>
      </c>
      <c r="JY136" s="646">
        <v>0</v>
      </c>
      <c r="JZ136" s="646">
        <v>0</v>
      </c>
      <c r="KA136" s="646">
        <v>41.655940584423504</v>
      </c>
      <c r="KB136" s="646">
        <v>4.3523029774192885</v>
      </c>
      <c r="KC136" s="646">
        <v>3600</v>
      </c>
      <c r="KD136" s="563" t="s">
        <v>67</v>
      </c>
      <c r="KE136" s="563">
        <v>3</v>
      </c>
      <c r="KF136" s="563">
        <v>0</v>
      </c>
      <c r="KG136" s="563">
        <v>0</v>
      </c>
      <c r="KH136" s="563">
        <v>0</v>
      </c>
      <c r="KI136" s="650">
        <v>5496.7800257337794</v>
      </c>
      <c r="KJ136" s="563">
        <v>0</v>
      </c>
      <c r="KK136" s="563">
        <v>0</v>
      </c>
      <c r="KL136" s="563">
        <v>0</v>
      </c>
      <c r="KM136" s="650">
        <v>5432.2247688463103</v>
      </c>
      <c r="KN136" s="564">
        <v>4000</v>
      </c>
      <c r="KO136" s="566">
        <v>167.97048721193426</v>
      </c>
    </row>
    <row r="137" spans="1:301" ht="15" customHeight="1">
      <c r="A137" s="663" t="s">
        <v>889</v>
      </c>
      <c r="B137" s="629" t="s">
        <v>385</v>
      </c>
      <c r="C137" s="629">
        <v>375</v>
      </c>
      <c r="D137" s="629">
        <v>802</v>
      </c>
      <c r="E137" s="629">
        <v>415</v>
      </c>
      <c r="F137" s="629">
        <v>375</v>
      </c>
      <c r="G137" s="629">
        <v>136</v>
      </c>
      <c r="H137" s="629">
        <v>120</v>
      </c>
      <c r="I137" s="629">
        <v>120</v>
      </c>
      <c r="J137" s="629">
        <v>37.51</v>
      </c>
      <c r="K137" s="629">
        <v>65.64</v>
      </c>
      <c r="L137" s="629">
        <v>18</v>
      </c>
      <c r="M137" s="629">
        <v>275</v>
      </c>
      <c r="N137" s="629">
        <v>4</v>
      </c>
      <c r="O137" s="623">
        <v>11.615049706201278</v>
      </c>
      <c r="P137" s="629">
        <v>4</v>
      </c>
      <c r="Q137" s="623">
        <v>7.5774320234492993</v>
      </c>
      <c r="R137" s="629">
        <v>13.000000000000002</v>
      </c>
      <c r="S137" s="629">
        <v>579.60890339792536</v>
      </c>
      <c r="T137" s="645">
        <v>26.926070995373294</v>
      </c>
      <c r="U137" s="645">
        <v>86.941335509688798</v>
      </c>
      <c r="V137" s="645">
        <v>97.5</v>
      </c>
      <c r="W137" s="793">
        <v>3.4078308603519316</v>
      </c>
      <c r="X137" s="646">
        <v>0</v>
      </c>
      <c r="Y137" s="646">
        <v>0</v>
      </c>
      <c r="Z137" s="646">
        <v>0</v>
      </c>
      <c r="AA137" s="646">
        <v>0</v>
      </c>
      <c r="AB137" s="647">
        <v>9.8712383883070238</v>
      </c>
      <c r="AC137" s="784">
        <v>4000</v>
      </c>
      <c r="AD137" s="631">
        <v>2.0505413874112417</v>
      </c>
      <c r="AE137" s="631">
        <v>0.76760432141286206</v>
      </c>
      <c r="AF137" s="631">
        <v>-0.18112301158208202</v>
      </c>
      <c r="AG137" s="631">
        <v>0.57415925599140105</v>
      </c>
      <c r="AH137" s="629"/>
      <c r="AI137" s="648">
        <v>2.9877917277040376</v>
      </c>
      <c r="AJ137" s="649">
        <v>18.651600000000002</v>
      </c>
      <c r="AK137" s="646">
        <v>68.177983585375813</v>
      </c>
      <c r="AL137" s="646">
        <v>0</v>
      </c>
      <c r="AM137" s="646">
        <v>0</v>
      </c>
      <c r="AN137" s="646">
        <v>42.084084829381496</v>
      </c>
      <c r="AO137" s="646">
        <v>5.0695097935400852</v>
      </c>
      <c r="AP137" s="801">
        <v>3350</v>
      </c>
      <c r="AQ137" s="563" t="s">
        <v>71</v>
      </c>
      <c r="AR137" s="563">
        <v>4</v>
      </c>
      <c r="AS137" s="563">
        <v>0</v>
      </c>
      <c r="AT137" s="563">
        <v>0</v>
      </c>
      <c r="AU137" s="563">
        <v>0</v>
      </c>
      <c r="AV137" s="650">
        <v>3450.7733188350635</v>
      </c>
      <c r="AW137" s="563">
        <v>0</v>
      </c>
      <c r="AX137" s="563">
        <v>0</v>
      </c>
      <c r="AY137" s="563">
        <v>0</v>
      </c>
      <c r="AZ137" s="650">
        <v>3561.1183578984378</v>
      </c>
      <c r="BA137" s="564">
        <v>3450.7733188350635</v>
      </c>
      <c r="BB137" s="565">
        <v>144.90701890566726</v>
      </c>
      <c r="BC137" s="649">
        <v>23.314500000000002</v>
      </c>
      <c r="BD137" s="646">
        <v>72.840883585375806</v>
      </c>
      <c r="BE137" s="646">
        <v>0</v>
      </c>
      <c r="BF137" s="646">
        <v>0</v>
      </c>
      <c r="BG137" s="646">
        <v>43.230969885370165</v>
      </c>
      <c r="BH137" s="646">
        <v>5.5263743240525853</v>
      </c>
      <c r="BI137" s="646">
        <v>3600</v>
      </c>
      <c r="BJ137" s="563" t="s">
        <v>71</v>
      </c>
      <c r="BK137" s="563">
        <v>5</v>
      </c>
      <c r="BL137" s="563">
        <v>0</v>
      </c>
      <c r="BM137" s="563">
        <v>0</v>
      </c>
      <c r="BN137" s="563">
        <v>0</v>
      </c>
      <c r="BO137" s="650">
        <v>4115.1904515066071</v>
      </c>
      <c r="BP137" s="563">
        <v>0</v>
      </c>
      <c r="BQ137" s="563">
        <v>0</v>
      </c>
      <c r="BR137" s="563">
        <v>0</v>
      </c>
      <c r="BS137" s="650">
        <v>4259.8594883944434</v>
      </c>
      <c r="BT137" s="564">
        <v>4000</v>
      </c>
      <c r="BU137" s="565">
        <v>167.97048721193426</v>
      </c>
      <c r="BV137" s="649">
        <v>18.651600000000002</v>
      </c>
      <c r="BW137" s="646">
        <v>68.177983585375813</v>
      </c>
      <c r="BX137" s="646">
        <v>0</v>
      </c>
      <c r="BY137" s="646">
        <v>0</v>
      </c>
      <c r="BZ137" s="646">
        <v>42.084084829381496</v>
      </c>
      <c r="CA137" s="646">
        <v>5.0695097935400852</v>
      </c>
      <c r="CB137" s="646">
        <v>3350</v>
      </c>
      <c r="CC137" s="563" t="s">
        <v>1584</v>
      </c>
      <c r="CD137" s="563">
        <v>4</v>
      </c>
      <c r="CE137" s="563">
        <v>0</v>
      </c>
      <c r="CF137" s="563">
        <v>0</v>
      </c>
      <c r="CG137" s="563">
        <v>0</v>
      </c>
      <c r="CH137" s="650">
        <v>3122.639331807919</v>
      </c>
      <c r="CI137" s="563">
        <v>0</v>
      </c>
      <c r="CJ137" s="563">
        <v>0</v>
      </c>
      <c r="CK137" s="563">
        <v>0</v>
      </c>
      <c r="CL137" s="650">
        <v>3096.3304657246654</v>
      </c>
      <c r="CM137" s="564">
        <v>3096.3304657246654</v>
      </c>
      <c r="CN137" s="565">
        <v>130.02303422423185</v>
      </c>
      <c r="CO137" s="649">
        <v>23.314500000000002</v>
      </c>
      <c r="CP137" s="646">
        <v>72.840883585375806</v>
      </c>
      <c r="CQ137" s="646">
        <v>0</v>
      </c>
      <c r="CR137" s="646">
        <v>0</v>
      </c>
      <c r="CS137" s="646">
        <v>43.230969885370165</v>
      </c>
      <c r="CT137" s="646">
        <v>5.5263743240525853</v>
      </c>
      <c r="CU137" s="646">
        <v>3600</v>
      </c>
      <c r="CV137" s="563" t="s">
        <v>1584</v>
      </c>
      <c r="CW137" s="563">
        <v>5</v>
      </c>
      <c r="CX137" s="563">
        <v>0</v>
      </c>
      <c r="CY137" s="563">
        <v>0</v>
      </c>
      <c r="CZ137" s="563">
        <v>0</v>
      </c>
      <c r="DA137" s="650">
        <v>3735.3447567794801</v>
      </c>
      <c r="DB137" s="563">
        <v>0</v>
      </c>
      <c r="DC137" s="563">
        <v>0</v>
      </c>
      <c r="DD137" s="563">
        <v>0</v>
      </c>
      <c r="DE137" s="650">
        <v>3703.8737239298684</v>
      </c>
      <c r="DF137" s="564">
        <v>3703.8737239298684</v>
      </c>
      <c r="DG137" s="565">
        <v>155.53536849499534</v>
      </c>
      <c r="DH137" s="649">
        <v>18.651600000000002</v>
      </c>
      <c r="DI137" s="646">
        <v>68.177983585375813</v>
      </c>
      <c r="DJ137" s="646">
        <v>0</v>
      </c>
      <c r="DK137" s="646">
        <v>0</v>
      </c>
      <c r="DL137" s="646">
        <v>42.084084829381496</v>
      </c>
      <c r="DM137" s="646">
        <v>5.0695097935400852</v>
      </c>
      <c r="DN137" s="646">
        <v>3350</v>
      </c>
      <c r="DO137" s="563" t="s">
        <v>1585</v>
      </c>
      <c r="DP137" s="563">
        <v>4</v>
      </c>
      <c r="DQ137" s="563">
        <v>0</v>
      </c>
      <c r="DR137" s="563">
        <v>0</v>
      </c>
      <c r="DS137" s="563">
        <v>0</v>
      </c>
      <c r="DT137" s="650">
        <v>3338.2418634541436</v>
      </c>
      <c r="DU137" s="563">
        <v>0</v>
      </c>
      <c r="DV137" s="563">
        <v>0</v>
      </c>
      <c r="DW137" s="563">
        <v>0</v>
      </c>
      <c r="DX137" s="650">
        <v>3310.1165025633327</v>
      </c>
      <c r="DY137" s="564">
        <v>3310.1165025633327</v>
      </c>
      <c r="DZ137" s="565">
        <v>139.00047041595673</v>
      </c>
      <c r="EA137" s="649">
        <v>23.314500000000002</v>
      </c>
      <c r="EB137" s="646">
        <v>72.840883585375806</v>
      </c>
      <c r="EC137" s="646">
        <v>0</v>
      </c>
      <c r="ED137" s="646">
        <v>0</v>
      </c>
      <c r="EE137" s="646">
        <v>43.230969885370165</v>
      </c>
      <c r="EF137" s="646">
        <v>5.5263743240525853</v>
      </c>
      <c r="EG137" s="646">
        <v>3600</v>
      </c>
      <c r="EH137" s="563" t="s">
        <v>1585</v>
      </c>
      <c r="EI137" s="563">
        <v>5</v>
      </c>
      <c r="EJ137" s="563">
        <v>0</v>
      </c>
      <c r="EK137" s="563">
        <v>0</v>
      </c>
      <c r="EL137" s="563">
        <v>0</v>
      </c>
      <c r="EM137" s="650">
        <v>3993.25151466835</v>
      </c>
      <c r="EN137" s="563">
        <v>0</v>
      </c>
      <c r="EO137" s="563">
        <v>0</v>
      </c>
      <c r="EP137" s="563">
        <v>0</v>
      </c>
      <c r="EQ137" s="650">
        <v>3959.6075653764779</v>
      </c>
      <c r="ER137" s="564">
        <v>3959.6075653764779</v>
      </c>
      <c r="ES137" s="565">
        <v>166.27430298108695</v>
      </c>
      <c r="ET137" s="649">
        <v>18.651600000000002</v>
      </c>
      <c r="EU137" s="646">
        <v>68.177983585375813</v>
      </c>
      <c r="EV137" s="646">
        <v>0</v>
      </c>
      <c r="EW137" s="646">
        <v>0</v>
      </c>
      <c r="EX137" s="646">
        <v>42.084084829381496</v>
      </c>
      <c r="EY137" s="646">
        <v>5.0695097935400852</v>
      </c>
      <c r="EZ137" s="646">
        <v>3350</v>
      </c>
      <c r="FA137" s="563" t="s">
        <v>1586</v>
      </c>
      <c r="FB137" s="563">
        <v>4</v>
      </c>
      <c r="FC137" s="563">
        <v>0</v>
      </c>
      <c r="FD137" s="563">
        <v>0</v>
      </c>
      <c r="FE137" s="563">
        <v>0</v>
      </c>
      <c r="FF137" s="650">
        <v>3407.0788347750795</v>
      </c>
      <c r="FG137" s="563">
        <v>0</v>
      </c>
      <c r="FH137" s="563">
        <v>0</v>
      </c>
      <c r="FI137" s="563">
        <v>0</v>
      </c>
      <c r="FJ137" s="650">
        <v>3378.3735085193171</v>
      </c>
      <c r="FK137" s="564">
        <v>3378.3735085193171</v>
      </c>
      <c r="FL137" s="565">
        <v>141.86676105247037</v>
      </c>
      <c r="FM137" s="649">
        <v>23.314500000000002</v>
      </c>
      <c r="FN137" s="646">
        <v>72.840883585375806</v>
      </c>
      <c r="FO137" s="646">
        <v>0</v>
      </c>
      <c r="FP137" s="646">
        <v>0</v>
      </c>
      <c r="FQ137" s="646">
        <v>43.230969885370165</v>
      </c>
      <c r="FR137" s="646">
        <v>5.5263743240525853</v>
      </c>
      <c r="FS137" s="646">
        <v>3600</v>
      </c>
      <c r="FT137" s="563" t="s">
        <v>1586</v>
      </c>
      <c r="FU137" s="563">
        <v>5</v>
      </c>
      <c r="FV137" s="563">
        <v>0</v>
      </c>
      <c r="FW137" s="563">
        <v>0</v>
      </c>
      <c r="FX137" s="563">
        <v>0</v>
      </c>
      <c r="FY137" s="650">
        <v>4075.5952606389455</v>
      </c>
      <c r="FZ137" s="563">
        <v>0</v>
      </c>
      <c r="GA137" s="563">
        <v>0</v>
      </c>
      <c r="GB137" s="563">
        <v>0</v>
      </c>
      <c r="GC137" s="650">
        <v>4041.257548681805</v>
      </c>
      <c r="GD137" s="564">
        <v>4000</v>
      </c>
      <c r="GE137" s="565">
        <v>167.97048721193426</v>
      </c>
      <c r="GF137" s="649">
        <v>13.988700000000001</v>
      </c>
      <c r="GG137" s="646">
        <v>63.515083585375805</v>
      </c>
      <c r="GH137" s="646">
        <v>0</v>
      </c>
      <c r="GI137" s="646">
        <v>0</v>
      </c>
      <c r="GJ137" s="646">
        <v>40.768804802444542</v>
      </c>
      <c r="GK137" s="646">
        <v>4.6126452630275852</v>
      </c>
      <c r="GL137" s="646">
        <v>3350</v>
      </c>
      <c r="GM137" s="563" t="s">
        <v>1587</v>
      </c>
      <c r="GN137" s="563">
        <v>3</v>
      </c>
      <c r="GO137" s="563">
        <v>0</v>
      </c>
      <c r="GP137" s="563">
        <v>0</v>
      </c>
      <c r="GQ137" s="563">
        <v>0</v>
      </c>
      <c r="GR137" s="650">
        <v>3787.2379512938951</v>
      </c>
      <c r="GS137" s="563">
        <v>0</v>
      </c>
      <c r="GT137" s="563">
        <v>0</v>
      </c>
      <c r="GU137" s="563">
        <v>0</v>
      </c>
      <c r="GV137" s="650">
        <v>3755.3297078182445</v>
      </c>
      <c r="GW137" s="564">
        <v>3755.3297078182445</v>
      </c>
      <c r="GX137" s="565">
        <v>157.69614016592033</v>
      </c>
      <c r="GY137" s="649">
        <v>13.988700000000001</v>
      </c>
      <c r="GZ137" s="646">
        <v>63.515083585375805</v>
      </c>
      <c r="HA137" s="646">
        <v>0</v>
      </c>
      <c r="HB137" s="646">
        <v>0</v>
      </c>
      <c r="HC137" s="646">
        <v>40.768804802444542</v>
      </c>
      <c r="HD137" s="646">
        <v>4.6126452630275852</v>
      </c>
      <c r="HE137" s="646">
        <v>3600</v>
      </c>
      <c r="HF137" s="563" t="s">
        <v>1587</v>
      </c>
      <c r="HG137" s="563">
        <v>3</v>
      </c>
      <c r="HH137" s="563">
        <v>0</v>
      </c>
      <c r="HI137" s="563">
        <v>0</v>
      </c>
      <c r="HJ137" s="563">
        <v>0</v>
      </c>
      <c r="HK137" s="650">
        <v>3787.2379512938951</v>
      </c>
      <c r="HL137" s="563">
        <v>0</v>
      </c>
      <c r="HM137" s="563">
        <v>0</v>
      </c>
      <c r="HN137" s="563">
        <v>0</v>
      </c>
      <c r="HO137" s="650">
        <v>3755.3297078182445</v>
      </c>
      <c r="HP137" s="564">
        <v>3755.3297078182445</v>
      </c>
      <c r="HQ137" s="565">
        <v>157.69614016592033</v>
      </c>
      <c r="HR137" s="649">
        <v>13.988700000000001</v>
      </c>
      <c r="HS137" s="646">
        <v>63.515083585375805</v>
      </c>
      <c r="HT137" s="646">
        <v>0</v>
      </c>
      <c r="HU137" s="646">
        <v>0</v>
      </c>
      <c r="HV137" s="646">
        <v>40.768804802444542</v>
      </c>
      <c r="HW137" s="646">
        <v>4.6126452630275852</v>
      </c>
      <c r="HX137" s="646">
        <v>3350</v>
      </c>
      <c r="HY137" s="563" t="s">
        <v>68</v>
      </c>
      <c r="HZ137" s="563">
        <v>3</v>
      </c>
      <c r="IA137" s="563">
        <v>0</v>
      </c>
      <c r="IB137" s="563">
        <v>0</v>
      </c>
      <c r="IC137" s="563">
        <v>0</v>
      </c>
      <c r="ID137" s="650">
        <v>3340.0299249830196</v>
      </c>
      <c r="IE137" s="563">
        <v>0</v>
      </c>
      <c r="IF137" s="563">
        <v>0</v>
      </c>
      <c r="IG137" s="563">
        <v>0</v>
      </c>
      <c r="IH137" s="650">
        <v>3311.8894993132494</v>
      </c>
      <c r="II137" s="564">
        <v>3311.8894993132494</v>
      </c>
      <c r="IJ137" s="565">
        <v>139.07492319793388</v>
      </c>
      <c r="IK137" s="649">
        <v>18.651600000000002</v>
      </c>
      <c r="IL137" s="646">
        <v>68.177983585375813</v>
      </c>
      <c r="IM137" s="646">
        <v>0</v>
      </c>
      <c r="IN137" s="646">
        <v>0</v>
      </c>
      <c r="IO137" s="646">
        <v>42.084084829381496</v>
      </c>
      <c r="IP137" s="646">
        <v>5.0695097935400852</v>
      </c>
      <c r="IQ137" s="646">
        <v>3600</v>
      </c>
      <c r="IR137" s="563" t="s">
        <v>68</v>
      </c>
      <c r="IS137" s="563">
        <v>4</v>
      </c>
      <c r="IT137" s="563">
        <v>0</v>
      </c>
      <c r="IU137" s="563">
        <v>0</v>
      </c>
      <c r="IV137" s="563">
        <v>0</v>
      </c>
      <c r="IW137" s="650">
        <v>4031.3100427681002</v>
      </c>
      <c r="IX137" s="563">
        <v>0</v>
      </c>
      <c r="IY137" s="563">
        <v>0</v>
      </c>
      <c r="IZ137" s="563">
        <v>0</v>
      </c>
      <c r="JA137" s="650">
        <v>3997.3454427020906</v>
      </c>
      <c r="JB137" s="564">
        <v>3997.3454427020906</v>
      </c>
      <c r="JC137" s="565">
        <v>167.8590153912688</v>
      </c>
      <c r="JD137" s="649">
        <v>13.988700000000001</v>
      </c>
      <c r="JE137" s="646">
        <v>63.515083585375805</v>
      </c>
      <c r="JF137" s="646">
        <v>0</v>
      </c>
      <c r="JG137" s="646">
        <v>0</v>
      </c>
      <c r="JH137" s="646">
        <v>40.768804802444542</v>
      </c>
      <c r="JI137" s="646">
        <v>4.6126452630275852</v>
      </c>
      <c r="JJ137" s="646">
        <v>3350</v>
      </c>
      <c r="JK137" s="563" t="s">
        <v>67</v>
      </c>
      <c r="JL137" s="563">
        <v>3</v>
      </c>
      <c r="JM137" s="563">
        <v>0</v>
      </c>
      <c r="JN137" s="563">
        <v>0</v>
      </c>
      <c r="JO137" s="563">
        <v>0</v>
      </c>
      <c r="JP137" s="650">
        <v>4551.6935419244683</v>
      </c>
      <c r="JQ137" s="563">
        <v>0</v>
      </c>
      <c r="JR137" s="563">
        <v>0</v>
      </c>
      <c r="JS137" s="563">
        <v>0</v>
      </c>
      <c r="JT137" s="650">
        <v>4513.3446059378975</v>
      </c>
      <c r="JU137" s="564">
        <v>4000</v>
      </c>
      <c r="JV137" s="565">
        <v>167.97048721193426</v>
      </c>
      <c r="JW137" s="649">
        <v>13.988700000000001</v>
      </c>
      <c r="JX137" s="646">
        <v>63.515083585375805</v>
      </c>
      <c r="JY137" s="646">
        <v>0</v>
      </c>
      <c r="JZ137" s="646">
        <v>0</v>
      </c>
      <c r="KA137" s="646">
        <v>40.768804802444542</v>
      </c>
      <c r="KB137" s="646">
        <v>4.6126452630275852</v>
      </c>
      <c r="KC137" s="646">
        <v>3600</v>
      </c>
      <c r="KD137" s="563" t="s">
        <v>67</v>
      </c>
      <c r="KE137" s="563">
        <v>3</v>
      </c>
      <c r="KF137" s="563">
        <v>0</v>
      </c>
      <c r="KG137" s="563">
        <v>0</v>
      </c>
      <c r="KH137" s="563">
        <v>0</v>
      </c>
      <c r="KI137" s="650">
        <v>4551.6935419244683</v>
      </c>
      <c r="KJ137" s="563">
        <v>0</v>
      </c>
      <c r="KK137" s="563">
        <v>0</v>
      </c>
      <c r="KL137" s="563">
        <v>0</v>
      </c>
      <c r="KM137" s="650">
        <v>4513.3446059378975</v>
      </c>
      <c r="KN137" s="564">
        <v>4000</v>
      </c>
      <c r="KO137" s="566">
        <v>167.97048721193426</v>
      </c>
    </row>
    <row r="138" spans="1:301" ht="15" customHeight="1">
      <c r="A138" s="663" t="s">
        <v>791</v>
      </c>
      <c r="B138" s="629" t="s">
        <v>382</v>
      </c>
      <c r="C138" s="629">
        <v>450</v>
      </c>
      <c r="D138" s="629">
        <v>802</v>
      </c>
      <c r="E138" s="629">
        <v>515</v>
      </c>
      <c r="F138" s="629">
        <v>450</v>
      </c>
      <c r="G138" s="629">
        <v>156</v>
      </c>
      <c r="H138" s="629">
        <v>140</v>
      </c>
      <c r="I138" s="629">
        <v>140</v>
      </c>
      <c r="J138" s="629">
        <v>41.59</v>
      </c>
      <c r="K138" s="629">
        <v>61.7</v>
      </c>
      <c r="L138" s="629">
        <v>18</v>
      </c>
      <c r="M138" s="629">
        <v>225</v>
      </c>
      <c r="N138" s="629">
        <v>4</v>
      </c>
      <c r="O138" s="623">
        <v>9.3215299894480488</v>
      </c>
      <c r="P138" s="629">
        <v>4</v>
      </c>
      <c r="Q138" s="623">
        <v>6.5554409026019442</v>
      </c>
      <c r="R138" s="629">
        <v>13.000000000000002</v>
      </c>
      <c r="S138" s="629">
        <v>614.3185082724932</v>
      </c>
      <c r="T138" s="645">
        <v>30.247542138127198</v>
      </c>
      <c r="U138" s="645">
        <v>92.147776240873981</v>
      </c>
      <c r="V138" s="645">
        <v>110</v>
      </c>
      <c r="W138" s="793">
        <v>4.3190000072229697</v>
      </c>
      <c r="X138" s="646">
        <v>0</v>
      </c>
      <c r="Y138" s="646">
        <v>0</v>
      </c>
      <c r="Z138" s="646">
        <v>0</v>
      </c>
      <c r="AA138" s="646">
        <v>0</v>
      </c>
      <c r="AB138" s="647">
        <v>8.006610968883793</v>
      </c>
      <c r="AC138" s="784">
        <v>3751.4829033303286</v>
      </c>
      <c r="AD138" s="631">
        <v>2.1911545643351742</v>
      </c>
      <c r="AE138" s="631">
        <v>0.88752948349928062</v>
      </c>
      <c r="AF138" s="631">
        <v>-0.18013197943260953</v>
      </c>
      <c r="AG138" s="631">
        <v>0.39128470615868272</v>
      </c>
      <c r="AH138" s="629"/>
      <c r="AI138" s="648">
        <v>2.8365987049836026</v>
      </c>
      <c r="AJ138" s="649">
        <v>17.803800000000003</v>
      </c>
      <c r="AK138" s="646">
        <v>68.247313037400161</v>
      </c>
      <c r="AL138" s="646">
        <v>0</v>
      </c>
      <c r="AM138" s="646">
        <v>0</v>
      </c>
      <c r="AN138" s="646">
        <v>43.936456560272056</v>
      </c>
      <c r="AO138" s="646">
        <v>5.2037693329105075</v>
      </c>
      <c r="AP138" s="801">
        <v>2600</v>
      </c>
      <c r="AQ138" s="563" t="s">
        <v>71</v>
      </c>
      <c r="AR138" s="563">
        <v>4</v>
      </c>
      <c r="AS138" s="563">
        <v>0</v>
      </c>
      <c r="AT138" s="563">
        <v>0</v>
      </c>
      <c r="AU138" s="563">
        <v>0</v>
      </c>
      <c r="AV138" s="650">
        <v>2671.3965999507564</v>
      </c>
      <c r="AW138" s="563">
        <v>0</v>
      </c>
      <c r="AX138" s="563">
        <v>0</v>
      </c>
      <c r="AY138" s="563">
        <v>0</v>
      </c>
      <c r="AZ138" s="650">
        <v>2790.0244553370826</v>
      </c>
      <c r="BA138" s="564">
        <v>2671.3965999507564</v>
      </c>
      <c r="BB138" s="565">
        <v>112.17894710750831</v>
      </c>
      <c r="BC138" s="649">
        <v>26.705700000000004</v>
      </c>
      <c r="BD138" s="646">
        <v>77.149213037400159</v>
      </c>
      <c r="BE138" s="646">
        <v>0</v>
      </c>
      <c r="BF138" s="646">
        <v>0</v>
      </c>
      <c r="BG138" s="646">
        <v>46.943811375850522</v>
      </c>
      <c r="BH138" s="646">
        <v>6.1448158876105072</v>
      </c>
      <c r="BI138" s="646">
        <v>3250</v>
      </c>
      <c r="BJ138" s="563" t="s">
        <v>71</v>
      </c>
      <c r="BK138" s="563">
        <v>6</v>
      </c>
      <c r="BL138" s="563">
        <v>0</v>
      </c>
      <c r="BM138" s="563">
        <v>0</v>
      </c>
      <c r="BN138" s="563">
        <v>0</v>
      </c>
      <c r="BO138" s="650">
        <v>3750.3239970512868</v>
      </c>
      <c r="BP138" s="563">
        <v>0</v>
      </c>
      <c r="BQ138" s="563">
        <v>0</v>
      </c>
      <c r="BR138" s="563">
        <v>0</v>
      </c>
      <c r="BS138" s="650">
        <v>3954.4101925683876</v>
      </c>
      <c r="BT138" s="564">
        <v>3750.3239970512868</v>
      </c>
      <c r="BU138" s="565">
        <v>157.48593724682834</v>
      </c>
      <c r="BV138" s="649">
        <v>22.254750000000001</v>
      </c>
      <c r="BW138" s="646">
        <v>72.698263037400153</v>
      </c>
      <c r="BX138" s="646">
        <v>0</v>
      </c>
      <c r="BY138" s="646">
        <v>0</v>
      </c>
      <c r="BZ138" s="646">
        <v>45.532196593474453</v>
      </c>
      <c r="CA138" s="646">
        <v>5.6742926102605065</v>
      </c>
      <c r="CB138" s="646">
        <v>2600</v>
      </c>
      <c r="CC138" s="563" t="s">
        <v>1584</v>
      </c>
      <c r="CD138" s="563">
        <v>5</v>
      </c>
      <c r="CE138" s="563">
        <v>0</v>
      </c>
      <c r="CF138" s="563">
        <v>0</v>
      </c>
      <c r="CG138" s="563">
        <v>0</v>
      </c>
      <c r="CH138" s="650">
        <v>2897.4328524751363</v>
      </c>
      <c r="CI138" s="563">
        <v>0</v>
      </c>
      <c r="CJ138" s="563">
        <v>0</v>
      </c>
      <c r="CK138" s="563">
        <v>0</v>
      </c>
      <c r="CL138" s="650">
        <v>2866.3333859356367</v>
      </c>
      <c r="CM138" s="564">
        <v>2866.3333859356367</v>
      </c>
      <c r="CN138" s="565">
        <v>120.36485383686053</v>
      </c>
      <c r="CO138" s="649">
        <v>26.705700000000004</v>
      </c>
      <c r="CP138" s="646">
        <v>77.149213037400159</v>
      </c>
      <c r="CQ138" s="646">
        <v>0</v>
      </c>
      <c r="CR138" s="646">
        <v>0</v>
      </c>
      <c r="CS138" s="646">
        <v>46.943811375850522</v>
      </c>
      <c r="CT138" s="646">
        <v>6.1448158876105072</v>
      </c>
      <c r="CU138" s="646">
        <v>3250</v>
      </c>
      <c r="CV138" s="563" t="s">
        <v>1584</v>
      </c>
      <c r="CW138" s="563">
        <v>6</v>
      </c>
      <c r="CX138" s="563">
        <v>0</v>
      </c>
      <c r="CY138" s="563">
        <v>0</v>
      </c>
      <c r="CZ138" s="563">
        <v>0</v>
      </c>
      <c r="DA138" s="650">
        <v>3475.5960298348955</v>
      </c>
      <c r="DB138" s="563">
        <v>0</v>
      </c>
      <c r="DC138" s="563">
        <v>0</v>
      </c>
      <c r="DD138" s="563">
        <v>0</v>
      </c>
      <c r="DE138" s="650">
        <v>3438.290874570615</v>
      </c>
      <c r="DF138" s="564">
        <v>3438.290874570615</v>
      </c>
      <c r="DG138" s="565">
        <v>144.38284834449345</v>
      </c>
      <c r="DH138" s="649">
        <v>22.254750000000001</v>
      </c>
      <c r="DI138" s="646">
        <v>72.698263037400153</v>
      </c>
      <c r="DJ138" s="646">
        <v>0</v>
      </c>
      <c r="DK138" s="646">
        <v>0</v>
      </c>
      <c r="DL138" s="646">
        <v>45.532196593474453</v>
      </c>
      <c r="DM138" s="646">
        <v>5.6742926102605065</v>
      </c>
      <c r="DN138" s="646">
        <v>2600</v>
      </c>
      <c r="DO138" s="563" t="s">
        <v>1585</v>
      </c>
      <c r="DP138" s="563">
        <v>5</v>
      </c>
      <c r="DQ138" s="563">
        <v>0</v>
      </c>
      <c r="DR138" s="563">
        <v>0</v>
      </c>
      <c r="DS138" s="563">
        <v>0</v>
      </c>
      <c r="DT138" s="650">
        <v>3097.486010041393</v>
      </c>
      <c r="DU138" s="563">
        <v>0</v>
      </c>
      <c r="DV138" s="563">
        <v>0</v>
      </c>
      <c r="DW138" s="563">
        <v>0</v>
      </c>
      <c r="DX138" s="650">
        <v>3064.2392818407357</v>
      </c>
      <c r="DY138" s="564">
        <v>3064.2392818407357</v>
      </c>
      <c r="DZ138" s="565">
        <v>128.67544127618399</v>
      </c>
      <c r="EA138" s="649">
        <v>26.705700000000004</v>
      </c>
      <c r="EB138" s="646">
        <v>77.149213037400159</v>
      </c>
      <c r="EC138" s="646">
        <v>0</v>
      </c>
      <c r="ED138" s="646">
        <v>0</v>
      </c>
      <c r="EE138" s="646">
        <v>46.943811375850522</v>
      </c>
      <c r="EF138" s="646">
        <v>6.1448158876105072</v>
      </c>
      <c r="EG138" s="646">
        <v>3250</v>
      </c>
      <c r="EH138" s="563" t="s">
        <v>1585</v>
      </c>
      <c r="EI138" s="563">
        <v>6</v>
      </c>
      <c r="EJ138" s="563">
        <v>0</v>
      </c>
      <c r="EK138" s="563">
        <v>0</v>
      </c>
      <c r="EL138" s="563">
        <v>0</v>
      </c>
      <c r="EM138" s="650">
        <v>3715.5684452782566</v>
      </c>
      <c r="EN138" s="563">
        <v>0</v>
      </c>
      <c r="EO138" s="563">
        <v>0</v>
      </c>
      <c r="EP138" s="563">
        <v>0</v>
      </c>
      <c r="EQ138" s="650">
        <v>3675.6875567736524</v>
      </c>
      <c r="ER138" s="564">
        <v>3675.6875567736524</v>
      </c>
      <c r="ES138" s="565">
        <v>154.35175743752868</v>
      </c>
      <c r="ET138" s="649">
        <v>17.803800000000003</v>
      </c>
      <c r="EU138" s="646">
        <v>68.247313037400161</v>
      </c>
      <c r="EV138" s="646">
        <v>0</v>
      </c>
      <c r="EW138" s="646">
        <v>0</v>
      </c>
      <c r="EX138" s="646">
        <v>43.936456560272056</v>
      </c>
      <c r="EY138" s="646">
        <v>5.2037693329105075</v>
      </c>
      <c r="EZ138" s="646">
        <v>2600</v>
      </c>
      <c r="FA138" s="563" t="s">
        <v>1586</v>
      </c>
      <c r="FB138" s="563">
        <v>4</v>
      </c>
      <c r="FC138" s="563">
        <v>0</v>
      </c>
      <c r="FD138" s="563">
        <v>0</v>
      </c>
      <c r="FE138" s="563">
        <v>0</v>
      </c>
      <c r="FF138" s="650">
        <v>2675.5676886105121</v>
      </c>
      <c r="FG138" s="563">
        <v>0</v>
      </c>
      <c r="FH138" s="563">
        <v>0</v>
      </c>
      <c r="FI138" s="563">
        <v>0</v>
      </c>
      <c r="FJ138" s="650">
        <v>2646.8496019307722</v>
      </c>
      <c r="FK138" s="564">
        <v>2646.8496019307722</v>
      </c>
      <c r="FL138" s="565">
        <v>111.14815430325652</v>
      </c>
      <c r="FM138" s="649">
        <v>26.705700000000004</v>
      </c>
      <c r="FN138" s="646">
        <v>77.149213037400159</v>
      </c>
      <c r="FO138" s="646">
        <v>0</v>
      </c>
      <c r="FP138" s="646">
        <v>0</v>
      </c>
      <c r="FQ138" s="646">
        <v>46.943811375850522</v>
      </c>
      <c r="FR138" s="646">
        <v>6.1448158876105072</v>
      </c>
      <c r="FS138" s="646">
        <v>3250</v>
      </c>
      <c r="FT138" s="563" t="s">
        <v>1586</v>
      </c>
      <c r="FU138" s="563">
        <v>6</v>
      </c>
      <c r="FV138" s="563">
        <v>0</v>
      </c>
      <c r="FW138" s="563">
        <v>0</v>
      </c>
      <c r="FX138" s="563">
        <v>0</v>
      </c>
      <c r="FY138" s="650">
        <v>3792.1861647157693</v>
      </c>
      <c r="FZ138" s="563">
        <v>0</v>
      </c>
      <c r="GA138" s="563">
        <v>0</v>
      </c>
      <c r="GB138" s="563">
        <v>0</v>
      </c>
      <c r="GC138" s="650">
        <v>3751.4829033303286</v>
      </c>
      <c r="GD138" s="564">
        <v>3751.4829033303286</v>
      </c>
      <c r="GE138" s="565">
        <v>157.53460275990926</v>
      </c>
      <c r="GF138" s="649">
        <v>13.352850000000002</v>
      </c>
      <c r="GG138" s="646">
        <v>63.796363037400162</v>
      </c>
      <c r="GH138" s="646">
        <v>0</v>
      </c>
      <c r="GI138" s="646">
        <v>0</v>
      </c>
      <c r="GJ138" s="646">
        <v>42.118053078477203</v>
      </c>
      <c r="GK138" s="646">
        <v>4.7332460555605067</v>
      </c>
      <c r="GL138" s="646">
        <v>2600</v>
      </c>
      <c r="GM138" s="563" t="s">
        <v>1587</v>
      </c>
      <c r="GN138" s="563">
        <v>3</v>
      </c>
      <c r="GO138" s="563">
        <v>0</v>
      </c>
      <c r="GP138" s="563">
        <v>0</v>
      </c>
      <c r="GQ138" s="563">
        <v>0</v>
      </c>
      <c r="GR138" s="650">
        <v>2996.0289734995254</v>
      </c>
      <c r="GS138" s="563">
        <v>0</v>
      </c>
      <c r="GT138" s="563">
        <v>0</v>
      </c>
      <c r="GU138" s="563">
        <v>0</v>
      </c>
      <c r="GV138" s="650">
        <v>2963.871229884136</v>
      </c>
      <c r="GW138" s="564">
        <v>2963.871229884136</v>
      </c>
      <c r="GX138" s="565">
        <v>124.4607236292683</v>
      </c>
      <c r="GY138" s="649">
        <v>17.803800000000003</v>
      </c>
      <c r="GZ138" s="646">
        <v>68.247313037400161</v>
      </c>
      <c r="HA138" s="646">
        <v>0</v>
      </c>
      <c r="HB138" s="646">
        <v>0</v>
      </c>
      <c r="HC138" s="646">
        <v>43.936456560272056</v>
      </c>
      <c r="HD138" s="646">
        <v>5.2037693329105075</v>
      </c>
      <c r="HE138" s="646">
        <v>3250</v>
      </c>
      <c r="HF138" s="563" t="s">
        <v>1587</v>
      </c>
      <c r="HG138" s="563">
        <v>4</v>
      </c>
      <c r="HH138" s="563">
        <v>0</v>
      </c>
      <c r="HI138" s="563">
        <v>0</v>
      </c>
      <c r="HJ138" s="563">
        <v>0</v>
      </c>
      <c r="HK138" s="650">
        <v>3589.6507380810563</v>
      </c>
      <c r="HL138" s="563">
        <v>0</v>
      </c>
      <c r="HM138" s="563">
        <v>0</v>
      </c>
      <c r="HN138" s="563">
        <v>0</v>
      </c>
      <c r="HO138" s="650">
        <v>3551.1213816812779</v>
      </c>
      <c r="HP138" s="564">
        <v>3551.1213816812779</v>
      </c>
      <c r="HQ138" s="565">
        <v>149.12089715743039</v>
      </c>
      <c r="HR138" s="649">
        <v>17.803800000000003</v>
      </c>
      <c r="HS138" s="646">
        <v>68.247313037400161</v>
      </c>
      <c r="HT138" s="646">
        <v>0</v>
      </c>
      <c r="HU138" s="646">
        <v>0</v>
      </c>
      <c r="HV138" s="646">
        <v>43.936456560272056</v>
      </c>
      <c r="HW138" s="646">
        <v>5.2037693329105075</v>
      </c>
      <c r="HX138" s="646">
        <v>2600</v>
      </c>
      <c r="HY138" s="563" t="s">
        <v>68</v>
      </c>
      <c r="HZ138" s="563">
        <v>4</v>
      </c>
      <c r="IA138" s="563">
        <v>0</v>
      </c>
      <c r="IB138" s="563">
        <v>0</v>
      </c>
      <c r="IC138" s="563">
        <v>0</v>
      </c>
      <c r="ID138" s="650">
        <v>3165.7743821806457</v>
      </c>
      <c r="IE138" s="563">
        <v>0</v>
      </c>
      <c r="IF138" s="563">
        <v>0</v>
      </c>
      <c r="IG138" s="563">
        <v>0</v>
      </c>
      <c r="IH138" s="650">
        <v>3131.7946837775803</v>
      </c>
      <c r="II138" s="564">
        <v>3131.7946837775803</v>
      </c>
      <c r="IJ138" s="565">
        <v>131.51226972046643</v>
      </c>
      <c r="IK138" s="649">
        <v>22.254750000000001</v>
      </c>
      <c r="IL138" s="646">
        <v>72.698263037400153</v>
      </c>
      <c r="IM138" s="646">
        <v>0</v>
      </c>
      <c r="IN138" s="646">
        <v>0</v>
      </c>
      <c r="IO138" s="646">
        <v>45.532196593474453</v>
      </c>
      <c r="IP138" s="646">
        <v>5.6742926102605065</v>
      </c>
      <c r="IQ138" s="646">
        <v>3250</v>
      </c>
      <c r="IR138" s="563" t="s">
        <v>68</v>
      </c>
      <c r="IS138" s="563">
        <v>5</v>
      </c>
      <c r="IT138" s="563">
        <v>0</v>
      </c>
      <c r="IU138" s="563">
        <v>0</v>
      </c>
      <c r="IV138" s="563">
        <v>0</v>
      </c>
      <c r="IW138" s="650">
        <v>3740.5697281301391</v>
      </c>
      <c r="IX138" s="563">
        <v>0</v>
      </c>
      <c r="IY138" s="563">
        <v>0</v>
      </c>
      <c r="IZ138" s="563">
        <v>0</v>
      </c>
      <c r="JA138" s="650">
        <v>3700.4204894690092</v>
      </c>
      <c r="JB138" s="564">
        <v>3700.4204894690092</v>
      </c>
      <c r="JC138" s="565">
        <v>155.39035812628345</v>
      </c>
      <c r="JD138" s="649">
        <v>13.352850000000002</v>
      </c>
      <c r="JE138" s="646">
        <v>63.796363037400162</v>
      </c>
      <c r="JF138" s="646">
        <v>0</v>
      </c>
      <c r="JG138" s="646">
        <v>0</v>
      </c>
      <c r="JH138" s="646">
        <v>42.118053078477203</v>
      </c>
      <c r="JI138" s="646">
        <v>4.7332460555605067</v>
      </c>
      <c r="JJ138" s="646">
        <v>2600</v>
      </c>
      <c r="JK138" s="563" t="s">
        <v>67</v>
      </c>
      <c r="JL138" s="563">
        <v>3</v>
      </c>
      <c r="JM138" s="563">
        <v>0</v>
      </c>
      <c r="JN138" s="563">
        <v>0</v>
      </c>
      <c r="JO138" s="563">
        <v>0</v>
      </c>
      <c r="JP138" s="650">
        <v>3600.778695575867</v>
      </c>
      <c r="JQ138" s="563">
        <v>0</v>
      </c>
      <c r="JR138" s="563">
        <v>0</v>
      </c>
      <c r="JS138" s="563">
        <v>0</v>
      </c>
      <c r="JT138" s="650">
        <v>3562.1298977398269</v>
      </c>
      <c r="JU138" s="564">
        <v>3562.1298977398269</v>
      </c>
      <c r="JV138" s="565">
        <v>149.58317360888907</v>
      </c>
      <c r="JW138" s="649">
        <v>13.352850000000002</v>
      </c>
      <c r="JX138" s="646">
        <v>63.796363037400162</v>
      </c>
      <c r="JY138" s="646">
        <v>0</v>
      </c>
      <c r="JZ138" s="646">
        <v>0</v>
      </c>
      <c r="KA138" s="646">
        <v>42.118053078477203</v>
      </c>
      <c r="KB138" s="646">
        <v>4.7332460555605067</v>
      </c>
      <c r="KC138" s="646">
        <v>3250</v>
      </c>
      <c r="KD138" s="563" t="s">
        <v>67</v>
      </c>
      <c r="KE138" s="563">
        <v>3</v>
      </c>
      <c r="KF138" s="563">
        <v>0</v>
      </c>
      <c r="KG138" s="563">
        <v>0</v>
      </c>
      <c r="KH138" s="563">
        <v>0</v>
      </c>
      <c r="KI138" s="650">
        <v>3600.7786955761057</v>
      </c>
      <c r="KJ138" s="563">
        <v>0</v>
      </c>
      <c r="KK138" s="563">
        <v>0</v>
      </c>
      <c r="KL138" s="563">
        <v>0</v>
      </c>
      <c r="KM138" s="650">
        <v>3562.1298977399279</v>
      </c>
      <c r="KN138" s="564">
        <v>3562.1298977399279</v>
      </c>
      <c r="KO138" s="566">
        <v>149.58317360889333</v>
      </c>
    </row>
    <row r="139" spans="1:301" ht="15" customHeight="1">
      <c r="A139" s="803" t="s">
        <v>792</v>
      </c>
      <c r="B139" s="629" t="s">
        <v>382</v>
      </c>
      <c r="C139" s="629">
        <v>551</v>
      </c>
      <c r="D139" s="629">
        <v>902</v>
      </c>
      <c r="E139" s="629">
        <v>565</v>
      </c>
      <c r="F139" s="629">
        <v>551</v>
      </c>
      <c r="G139" s="629">
        <v>176</v>
      </c>
      <c r="H139" s="629">
        <v>160</v>
      </c>
      <c r="I139" s="629">
        <v>160</v>
      </c>
      <c r="J139" s="629">
        <v>41.02</v>
      </c>
      <c r="K139" s="629">
        <v>63.34</v>
      </c>
      <c r="L139" s="629">
        <v>20</v>
      </c>
      <c r="M139" s="629">
        <v>285</v>
      </c>
      <c r="N139" s="629">
        <v>4</v>
      </c>
      <c r="O139" s="623">
        <v>12.192128860739187</v>
      </c>
      <c r="P139" s="629">
        <v>4</v>
      </c>
      <c r="Q139" s="623">
        <v>8.523803740650699</v>
      </c>
      <c r="R139" s="629">
        <v>18.000000000000004</v>
      </c>
      <c r="S139" s="629">
        <v>684.08480882399283</v>
      </c>
      <c r="T139" s="645">
        <v>51.934019407198974</v>
      </c>
      <c r="U139" s="645">
        <v>102.61272132359892</v>
      </c>
      <c r="V139" s="645">
        <v>135</v>
      </c>
      <c r="W139" s="793">
        <v>6.5728993312236197</v>
      </c>
      <c r="X139" s="646">
        <v>0</v>
      </c>
      <c r="Y139" s="646">
        <v>0</v>
      </c>
      <c r="Z139" s="646">
        <v>0</v>
      </c>
      <c r="AA139" s="646">
        <v>0</v>
      </c>
      <c r="AB139" s="647">
        <v>15.038668587901579</v>
      </c>
      <c r="AC139" s="784">
        <v>4000</v>
      </c>
      <c r="AD139" s="631">
        <v>1.9365354578400007</v>
      </c>
      <c r="AE139" s="631">
        <v>0.8698997646097737</v>
      </c>
      <c r="AF139" s="631">
        <v>-0.14059569786926687</v>
      </c>
      <c r="AG139" s="631">
        <v>0.43714227858740129</v>
      </c>
      <c r="AH139" s="629"/>
      <c r="AI139" s="648">
        <v>3.9031170137200126</v>
      </c>
      <c r="AJ139" s="649">
        <v>35.796000000000006</v>
      </c>
      <c r="AK139" s="646">
        <v>115.01885133981249</v>
      </c>
      <c r="AL139" s="646">
        <v>0</v>
      </c>
      <c r="AM139" s="646">
        <v>0</v>
      </c>
      <c r="AN139" s="646">
        <v>49.926990557018719</v>
      </c>
      <c r="AO139" s="646">
        <v>11.128829763688898</v>
      </c>
      <c r="AP139" s="801">
        <v>2550</v>
      </c>
      <c r="AQ139" s="563" t="s">
        <v>71</v>
      </c>
      <c r="AR139" s="563">
        <v>5</v>
      </c>
      <c r="AS139" s="563">
        <v>0</v>
      </c>
      <c r="AT139" s="563">
        <v>0</v>
      </c>
      <c r="AU139" s="563">
        <v>0</v>
      </c>
      <c r="AV139" s="650">
        <v>2679.1718779849766</v>
      </c>
      <c r="AW139" s="563">
        <v>0</v>
      </c>
      <c r="AX139" s="563">
        <v>0</v>
      </c>
      <c r="AY139" s="563">
        <v>0</v>
      </c>
      <c r="AZ139" s="650">
        <v>2731.0744281681773</v>
      </c>
      <c r="BA139" s="564">
        <v>2679.1718779849766</v>
      </c>
      <c r="BB139" s="565">
        <v>126.53356256671564</v>
      </c>
      <c r="BC139" s="649">
        <v>57.273600000000009</v>
      </c>
      <c r="BD139" s="646">
        <v>136.4964513398125</v>
      </c>
      <c r="BE139" s="646">
        <v>0</v>
      </c>
      <c r="BF139" s="646">
        <v>0</v>
      </c>
      <c r="BG139" s="646">
        <v>54.658952899428591</v>
      </c>
      <c r="BH139" s="646">
        <v>14.1281900271889</v>
      </c>
      <c r="BI139" s="646">
        <v>3187.5</v>
      </c>
      <c r="BJ139" s="563" t="s">
        <v>71</v>
      </c>
      <c r="BK139" s="563">
        <v>8</v>
      </c>
      <c r="BL139" s="563">
        <v>0</v>
      </c>
      <c r="BM139" s="563">
        <v>0</v>
      </c>
      <c r="BN139" s="563">
        <v>0</v>
      </c>
      <c r="BO139" s="650">
        <v>5342.410401074083</v>
      </c>
      <c r="BP139" s="563">
        <v>0</v>
      </c>
      <c r="BQ139" s="563">
        <v>0</v>
      </c>
      <c r="BR139" s="563">
        <v>0</v>
      </c>
      <c r="BS139" s="650">
        <v>5583.6369483184399</v>
      </c>
      <c r="BT139" s="564">
        <v>4000</v>
      </c>
      <c r="BU139" s="565">
        <v>188.91443823586624</v>
      </c>
      <c r="BV139" s="649">
        <v>42.955200000000005</v>
      </c>
      <c r="BW139" s="646">
        <v>122.17805133981248</v>
      </c>
      <c r="BX139" s="646">
        <v>0</v>
      </c>
      <c r="BY139" s="646">
        <v>0</v>
      </c>
      <c r="BZ139" s="646">
        <v>51.689162132381156</v>
      </c>
      <c r="CA139" s="646">
        <v>12.128616518188899</v>
      </c>
      <c r="CB139" s="646">
        <v>2550</v>
      </c>
      <c r="CC139" s="563" t="s">
        <v>1584</v>
      </c>
      <c r="CD139" s="563">
        <v>6</v>
      </c>
      <c r="CE139" s="563">
        <v>0</v>
      </c>
      <c r="CF139" s="563">
        <v>0</v>
      </c>
      <c r="CG139" s="563">
        <v>0</v>
      </c>
      <c r="CH139" s="650">
        <v>2830.840259688347</v>
      </c>
      <c r="CI139" s="563">
        <v>0</v>
      </c>
      <c r="CJ139" s="563">
        <v>0</v>
      </c>
      <c r="CK139" s="563">
        <v>0</v>
      </c>
      <c r="CL139" s="650">
        <v>2803.6388339385439</v>
      </c>
      <c r="CM139" s="564">
        <v>2803.6388339385439</v>
      </c>
      <c r="CN139" s="565">
        <v>132.41196383243977</v>
      </c>
      <c r="CO139" s="649">
        <v>57.273600000000009</v>
      </c>
      <c r="CP139" s="646">
        <v>136.4964513398125</v>
      </c>
      <c r="CQ139" s="646">
        <v>0</v>
      </c>
      <c r="CR139" s="646">
        <v>0</v>
      </c>
      <c r="CS139" s="646">
        <v>54.658952899428591</v>
      </c>
      <c r="CT139" s="646">
        <v>14.1281900271889</v>
      </c>
      <c r="CU139" s="646">
        <v>3187.5</v>
      </c>
      <c r="CV139" s="563" t="s">
        <v>1584</v>
      </c>
      <c r="CW139" s="563">
        <v>8</v>
      </c>
      <c r="CX139" s="563">
        <v>0</v>
      </c>
      <c r="CY139" s="563">
        <v>0</v>
      </c>
      <c r="CZ139" s="563">
        <v>0</v>
      </c>
      <c r="DA139" s="650">
        <v>4901.9781006285066</v>
      </c>
      <c r="DB139" s="563">
        <v>0</v>
      </c>
      <c r="DC139" s="563">
        <v>0</v>
      </c>
      <c r="DD139" s="563">
        <v>0</v>
      </c>
      <c r="DE139" s="650">
        <v>4854.8751979213057</v>
      </c>
      <c r="DF139" s="564">
        <v>4000</v>
      </c>
      <c r="DG139" s="565">
        <v>188.91443823586624</v>
      </c>
      <c r="DH139" s="649">
        <v>35.796000000000006</v>
      </c>
      <c r="DI139" s="646">
        <v>115.01885133981249</v>
      </c>
      <c r="DJ139" s="646">
        <v>0</v>
      </c>
      <c r="DK139" s="646">
        <v>0</v>
      </c>
      <c r="DL139" s="646">
        <v>49.926990557018719</v>
      </c>
      <c r="DM139" s="646">
        <v>11.128829763688898</v>
      </c>
      <c r="DN139" s="646">
        <v>2550</v>
      </c>
      <c r="DO139" s="563" t="s">
        <v>1585</v>
      </c>
      <c r="DP139" s="563">
        <v>5</v>
      </c>
      <c r="DQ139" s="563">
        <v>0</v>
      </c>
      <c r="DR139" s="563">
        <v>0</v>
      </c>
      <c r="DS139" s="563">
        <v>0</v>
      </c>
      <c r="DT139" s="650">
        <v>2563.2071368691172</v>
      </c>
      <c r="DU139" s="563">
        <v>0</v>
      </c>
      <c r="DV139" s="563">
        <v>0</v>
      </c>
      <c r="DW139" s="563">
        <v>0</v>
      </c>
      <c r="DX139" s="650">
        <v>2538.5773866156833</v>
      </c>
      <c r="DY139" s="564">
        <v>2538.5773866156833</v>
      </c>
      <c r="DZ139" s="565">
        <v>119.8934802276938</v>
      </c>
      <c r="EA139" s="649">
        <v>57.273600000000009</v>
      </c>
      <c r="EB139" s="646">
        <v>136.4964513398125</v>
      </c>
      <c r="EC139" s="646">
        <v>0</v>
      </c>
      <c r="ED139" s="646">
        <v>0</v>
      </c>
      <c r="EE139" s="646">
        <v>54.658952899428591</v>
      </c>
      <c r="EF139" s="646">
        <v>14.1281900271889</v>
      </c>
      <c r="EG139" s="646">
        <v>3187.5</v>
      </c>
      <c r="EH139" s="563" t="s">
        <v>1585</v>
      </c>
      <c r="EI139" s="563">
        <v>8</v>
      </c>
      <c r="EJ139" s="563">
        <v>0</v>
      </c>
      <c r="EK139" s="563">
        <v>0</v>
      </c>
      <c r="EL139" s="563">
        <v>0</v>
      </c>
      <c r="EM139" s="650">
        <v>5240.4350200057597</v>
      </c>
      <c r="EN139" s="563">
        <v>0</v>
      </c>
      <c r="EO139" s="563">
        <v>0</v>
      </c>
      <c r="EP139" s="563">
        <v>0</v>
      </c>
      <c r="EQ139" s="650">
        <v>5190.0798989050336</v>
      </c>
      <c r="ER139" s="564">
        <v>4000</v>
      </c>
      <c r="ES139" s="565">
        <v>188.91443823586624</v>
      </c>
      <c r="ET139" s="649">
        <v>35.796000000000006</v>
      </c>
      <c r="EU139" s="646">
        <v>115.01885133981249</v>
      </c>
      <c r="EV139" s="646">
        <v>0</v>
      </c>
      <c r="EW139" s="646">
        <v>0</v>
      </c>
      <c r="EX139" s="646">
        <v>49.926990557018719</v>
      </c>
      <c r="EY139" s="646">
        <v>11.128829763688898</v>
      </c>
      <c r="EZ139" s="646">
        <v>2550</v>
      </c>
      <c r="FA139" s="563" t="s">
        <v>1586</v>
      </c>
      <c r="FB139" s="563">
        <v>5</v>
      </c>
      <c r="FC139" s="563">
        <v>0</v>
      </c>
      <c r="FD139" s="563">
        <v>0</v>
      </c>
      <c r="FE139" s="563">
        <v>0</v>
      </c>
      <c r="FF139" s="650">
        <v>2616.0623293289755</v>
      </c>
      <c r="FG139" s="563">
        <v>0</v>
      </c>
      <c r="FH139" s="563">
        <v>0</v>
      </c>
      <c r="FI139" s="563">
        <v>0</v>
      </c>
      <c r="FJ139" s="650">
        <v>2590.9246957360065</v>
      </c>
      <c r="FK139" s="564">
        <v>2590.9246957360065</v>
      </c>
      <c r="FL139" s="565">
        <v>122.36577085160008</v>
      </c>
      <c r="FM139" s="649">
        <v>42.955200000000005</v>
      </c>
      <c r="FN139" s="646">
        <v>122.17805133981248</v>
      </c>
      <c r="FO139" s="646">
        <v>0</v>
      </c>
      <c r="FP139" s="646">
        <v>0</v>
      </c>
      <c r="FQ139" s="646">
        <v>51.689162132381156</v>
      </c>
      <c r="FR139" s="646">
        <v>12.128616518188899</v>
      </c>
      <c r="FS139" s="646">
        <v>3187.5</v>
      </c>
      <c r="FT139" s="563" t="s">
        <v>1586</v>
      </c>
      <c r="FU139" s="563">
        <v>6</v>
      </c>
      <c r="FV139" s="563">
        <v>0</v>
      </c>
      <c r="FW139" s="563">
        <v>0</v>
      </c>
      <c r="FX139" s="563">
        <v>0</v>
      </c>
      <c r="FY139" s="650">
        <v>3088.6999453216436</v>
      </c>
      <c r="FZ139" s="563">
        <v>0</v>
      </c>
      <c r="GA139" s="563">
        <v>0</v>
      </c>
      <c r="GB139" s="563">
        <v>0</v>
      </c>
      <c r="GC139" s="650">
        <v>3059.0207566288991</v>
      </c>
      <c r="GD139" s="564">
        <v>3059.0207566288991</v>
      </c>
      <c r="GE139" s="565">
        <v>144.47329694760074</v>
      </c>
      <c r="GF139" s="649">
        <v>21.477600000000002</v>
      </c>
      <c r="GG139" s="646">
        <v>100.70045133981247</v>
      </c>
      <c r="GH139" s="646">
        <v>0</v>
      </c>
      <c r="GI139" s="646">
        <v>0</v>
      </c>
      <c r="GJ139" s="646">
        <v>45.650968228624798</v>
      </c>
      <c r="GK139" s="646">
        <v>9.1292562546888991</v>
      </c>
      <c r="GL139" s="646">
        <v>2550</v>
      </c>
      <c r="GM139" s="563" t="s">
        <v>1587</v>
      </c>
      <c r="GN139" s="563">
        <v>3</v>
      </c>
      <c r="GO139" s="563">
        <v>0</v>
      </c>
      <c r="GP139" s="563">
        <v>0</v>
      </c>
      <c r="GQ139" s="563">
        <v>0</v>
      </c>
      <c r="GR139" s="650">
        <v>2513.6263651209356</v>
      </c>
      <c r="GS139" s="563">
        <v>0</v>
      </c>
      <c r="GT139" s="563">
        <v>0</v>
      </c>
      <c r="GU139" s="563">
        <v>0</v>
      </c>
      <c r="GV139" s="650">
        <v>2489.4730344264158</v>
      </c>
      <c r="GW139" s="564">
        <v>2489.4730344264158</v>
      </c>
      <c r="GX139" s="565">
        <v>117.5743499505009</v>
      </c>
      <c r="GY139" s="649">
        <v>35.796000000000006</v>
      </c>
      <c r="GZ139" s="646">
        <v>115.01885133981249</v>
      </c>
      <c r="HA139" s="646">
        <v>0</v>
      </c>
      <c r="HB139" s="646">
        <v>0</v>
      </c>
      <c r="HC139" s="646">
        <v>49.926990557018719</v>
      </c>
      <c r="HD139" s="646">
        <v>11.128829763688898</v>
      </c>
      <c r="HE139" s="646">
        <v>3187.5</v>
      </c>
      <c r="HF139" s="563" t="s">
        <v>1587</v>
      </c>
      <c r="HG139" s="563">
        <v>5</v>
      </c>
      <c r="HH139" s="563">
        <v>0</v>
      </c>
      <c r="HI139" s="563">
        <v>0</v>
      </c>
      <c r="HJ139" s="563">
        <v>0</v>
      </c>
      <c r="HK139" s="650">
        <v>3509.8159210535341</v>
      </c>
      <c r="HL139" s="563">
        <v>0</v>
      </c>
      <c r="HM139" s="563">
        <v>0</v>
      </c>
      <c r="HN139" s="563">
        <v>0</v>
      </c>
      <c r="HO139" s="650">
        <v>3476.0902465491649</v>
      </c>
      <c r="HP139" s="564">
        <v>3476.0902465491649</v>
      </c>
      <c r="HQ139" s="565">
        <v>164.17090904600229</v>
      </c>
      <c r="HR139" s="649">
        <v>28.636800000000004</v>
      </c>
      <c r="HS139" s="646">
        <v>107.85965133981249</v>
      </c>
      <c r="HT139" s="646">
        <v>0</v>
      </c>
      <c r="HU139" s="646">
        <v>0</v>
      </c>
      <c r="HV139" s="646">
        <v>47.930890193909882</v>
      </c>
      <c r="HW139" s="646">
        <v>10.129043009188898</v>
      </c>
      <c r="HX139" s="646">
        <v>2550</v>
      </c>
      <c r="HY139" s="563" t="s">
        <v>68</v>
      </c>
      <c r="HZ139" s="563">
        <v>4</v>
      </c>
      <c r="IA139" s="563">
        <v>0</v>
      </c>
      <c r="IB139" s="563">
        <v>0</v>
      </c>
      <c r="IC139" s="563">
        <v>0</v>
      </c>
      <c r="ID139" s="650">
        <v>2642.1260644813183</v>
      </c>
      <c r="IE139" s="563">
        <v>0</v>
      </c>
      <c r="IF139" s="563">
        <v>0</v>
      </c>
      <c r="IG139" s="563">
        <v>0</v>
      </c>
      <c r="IH139" s="650">
        <v>2616.7379855465174</v>
      </c>
      <c r="II139" s="564">
        <v>2616.7379855465174</v>
      </c>
      <c r="IJ139" s="565">
        <v>123.58489663749315</v>
      </c>
      <c r="IK139" s="649">
        <v>35.796000000000006</v>
      </c>
      <c r="IL139" s="646">
        <v>115.01885133981249</v>
      </c>
      <c r="IM139" s="646">
        <v>0</v>
      </c>
      <c r="IN139" s="646">
        <v>0</v>
      </c>
      <c r="IO139" s="646">
        <v>49.926990557018719</v>
      </c>
      <c r="IP139" s="646">
        <v>11.128829763688898</v>
      </c>
      <c r="IQ139" s="646">
        <v>3187.5</v>
      </c>
      <c r="IR139" s="563" t="s">
        <v>68</v>
      </c>
      <c r="IS139" s="563">
        <v>5</v>
      </c>
      <c r="IT139" s="563">
        <v>0</v>
      </c>
      <c r="IU139" s="563">
        <v>0</v>
      </c>
      <c r="IV139" s="563">
        <v>0</v>
      </c>
      <c r="IW139" s="650">
        <v>3095.3666915743443</v>
      </c>
      <c r="IX139" s="563">
        <v>0</v>
      </c>
      <c r="IY139" s="563">
        <v>0</v>
      </c>
      <c r="IZ139" s="563">
        <v>0</v>
      </c>
      <c r="JA139" s="650">
        <v>3065.6234423954629</v>
      </c>
      <c r="JB139" s="564">
        <v>3065.6234423954629</v>
      </c>
      <c r="JC139" s="565">
        <v>144.78513261571032</v>
      </c>
      <c r="JD139" s="649">
        <v>21.477600000000002</v>
      </c>
      <c r="JE139" s="646">
        <v>100.70045133981247</v>
      </c>
      <c r="JF139" s="646">
        <v>0</v>
      </c>
      <c r="JG139" s="646">
        <v>0</v>
      </c>
      <c r="JH139" s="646">
        <v>45.650968228624798</v>
      </c>
      <c r="JI139" s="646">
        <v>9.1292562546888991</v>
      </c>
      <c r="JJ139" s="646">
        <v>2550</v>
      </c>
      <c r="JK139" s="563" t="s">
        <v>67</v>
      </c>
      <c r="JL139" s="563">
        <v>3</v>
      </c>
      <c r="JM139" s="563">
        <v>0</v>
      </c>
      <c r="JN139" s="563">
        <v>0</v>
      </c>
      <c r="JO139" s="563">
        <v>0</v>
      </c>
      <c r="JP139" s="650">
        <v>3021.0029155996772</v>
      </c>
      <c r="JQ139" s="563">
        <v>0</v>
      </c>
      <c r="JR139" s="563">
        <v>0</v>
      </c>
      <c r="JS139" s="563">
        <v>0</v>
      </c>
      <c r="JT139" s="650">
        <v>2991.9742248363668</v>
      </c>
      <c r="JU139" s="564">
        <v>2991.9742248363668</v>
      </c>
      <c r="JV139" s="565">
        <v>141.3067824752884</v>
      </c>
      <c r="JW139" s="649">
        <v>28.636800000000004</v>
      </c>
      <c r="JX139" s="646">
        <v>107.85965133981249</v>
      </c>
      <c r="JY139" s="646">
        <v>0</v>
      </c>
      <c r="JZ139" s="646">
        <v>0</v>
      </c>
      <c r="KA139" s="646">
        <v>47.930890193909882</v>
      </c>
      <c r="KB139" s="646">
        <v>10.129043009188898</v>
      </c>
      <c r="KC139" s="646">
        <v>3187.5</v>
      </c>
      <c r="KD139" s="563" t="s">
        <v>67</v>
      </c>
      <c r="KE139" s="563">
        <v>4</v>
      </c>
      <c r="KF139" s="563">
        <v>0</v>
      </c>
      <c r="KG139" s="563">
        <v>0</v>
      </c>
      <c r="KH139" s="563">
        <v>0</v>
      </c>
      <c r="KI139" s="650">
        <v>3600.6108971354624</v>
      </c>
      <c r="KJ139" s="563">
        <v>0</v>
      </c>
      <c r="KK139" s="563">
        <v>0</v>
      </c>
      <c r="KL139" s="563">
        <v>0</v>
      </c>
      <c r="KM139" s="650">
        <v>3566.0127774994621</v>
      </c>
      <c r="KN139" s="564">
        <v>3566.0127774994621</v>
      </c>
      <c r="KO139" s="566">
        <v>168.41782515080797</v>
      </c>
    </row>
    <row r="140" spans="1:301" ht="15" customHeight="1">
      <c r="A140" s="802" t="s">
        <v>793</v>
      </c>
      <c r="B140" s="629" t="s">
        <v>387</v>
      </c>
      <c r="C140" s="629">
        <v>582.98900000000003</v>
      </c>
      <c r="D140" s="629">
        <v>950</v>
      </c>
      <c r="E140" s="629">
        <v>560</v>
      </c>
      <c r="F140" s="629">
        <v>517.4010237662286</v>
      </c>
      <c r="G140" s="629">
        <v>226.58562076326757</v>
      </c>
      <c r="H140" s="629">
        <v>179.98668744829493</v>
      </c>
      <c r="I140" s="629">
        <v>175</v>
      </c>
      <c r="J140" s="629">
        <v>42.31</v>
      </c>
      <c r="K140" s="629">
        <v>62.47</v>
      </c>
      <c r="L140" s="629">
        <v>20</v>
      </c>
      <c r="M140" s="629">
        <v>235.19290077985301</v>
      </c>
      <c r="N140" s="629">
        <v>6</v>
      </c>
      <c r="O140" s="623">
        <v>21.784738083806069</v>
      </c>
      <c r="P140" s="629">
        <v>6</v>
      </c>
      <c r="Q140" s="623">
        <v>13.471970528522627</v>
      </c>
      <c r="R140" s="629">
        <v>18.000000000000004</v>
      </c>
      <c r="S140" s="629">
        <v>733.70051188311436</v>
      </c>
      <c r="T140" s="645">
        <v>59.740614754905778</v>
      </c>
      <c r="U140" s="645">
        <v>110.05507678246715</v>
      </c>
      <c r="V140" s="645">
        <v>122.5</v>
      </c>
      <c r="W140" s="793">
        <v>6.8608362257587112</v>
      </c>
      <c r="X140" s="646">
        <v>0</v>
      </c>
      <c r="Y140" s="646">
        <v>0</v>
      </c>
      <c r="Z140" s="646">
        <v>0</v>
      </c>
      <c r="AA140" s="646">
        <v>0</v>
      </c>
      <c r="AB140" s="647">
        <v>17.777516328620379</v>
      </c>
      <c r="AC140" s="784">
        <v>3557.7905003505975</v>
      </c>
      <c r="AD140" s="631">
        <v>1.8728071542260232</v>
      </c>
      <c r="AE140" s="631">
        <v>0.91024908025902862</v>
      </c>
      <c r="AF140" s="631">
        <v>-0.14060501089205771</v>
      </c>
      <c r="AG140" s="631">
        <v>0.38941388891253492</v>
      </c>
      <c r="AH140" s="629"/>
      <c r="AI140" s="648">
        <v>3.9712180991743291</v>
      </c>
      <c r="AJ140" s="649">
        <v>32.769961887984245</v>
      </c>
      <c r="AK140" s="646">
        <v>134.62812148097743</v>
      </c>
      <c r="AL140" s="646">
        <v>0</v>
      </c>
      <c r="AM140" s="646">
        <v>0</v>
      </c>
      <c r="AN140" s="646">
        <v>58.445062333910414</v>
      </c>
      <c r="AO140" s="646">
        <v>14.846878952305897</v>
      </c>
      <c r="AP140" s="801">
        <v>2200</v>
      </c>
      <c r="AQ140" s="563" t="s">
        <v>71</v>
      </c>
      <c r="AR140" s="563">
        <v>5</v>
      </c>
      <c r="AS140" s="563">
        <v>0</v>
      </c>
      <c r="AT140" s="563">
        <v>0</v>
      </c>
      <c r="AU140" s="563">
        <v>0</v>
      </c>
      <c r="AV140" s="650">
        <v>2273.662154748567</v>
      </c>
      <c r="AW140" s="563">
        <v>0</v>
      </c>
      <c r="AX140" s="563">
        <v>0</v>
      </c>
      <c r="AY140" s="563">
        <v>0</v>
      </c>
      <c r="AZ140" s="650">
        <v>2324.9898585348437</v>
      </c>
      <c r="BA140" s="564">
        <v>2273.662154748567</v>
      </c>
      <c r="BB140" s="565">
        <v>113.09623843330127</v>
      </c>
      <c r="BC140" s="649">
        <v>52.431939020774792</v>
      </c>
      <c r="BD140" s="646">
        <v>154.29009861376798</v>
      </c>
      <c r="BE140" s="646">
        <v>0</v>
      </c>
      <c r="BF140" s="646">
        <v>0</v>
      </c>
      <c r="BG140" s="646">
        <v>62.465421338453375</v>
      </c>
      <c r="BH140" s="646">
        <v>17.900325443042263</v>
      </c>
      <c r="BI140" s="646">
        <v>2750</v>
      </c>
      <c r="BJ140" s="563" t="s">
        <v>71</v>
      </c>
      <c r="BK140" s="563">
        <v>8</v>
      </c>
      <c r="BL140" s="563">
        <v>0</v>
      </c>
      <c r="BM140" s="563">
        <v>0</v>
      </c>
      <c r="BN140" s="563">
        <v>0</v>
      </c>
      <c r="BO140" s="650">
        <v>3557.7905003505975</v>
      </c>
      <c r="BP140" s="563">
        <v>0</v>
      </c>
      <c r="BQ140" s="563">
        <v>0</v>
      </c>
      <c r="BR140" s="563">
        <v>0</v>
      </c>
      <c r="BS140" s="650">
        <v>3672.0805973364263</v>
      </c>
      <c r="BT140" s="564">
        <v>3557.7905003505975</v>
      </c>
      <c r="BU140" s="565">
        <v>176.97120123278904</v>
      </c>
      <c r="BV140" s="649">
        <v>39.323954265581094</v>
      </c>
      <c r="BW140" s="646">
        <v>141.18211385857427</v>
      </c>
      <c r="BX140" s="646">
        <v>0</v>
      </c>
      <c r="BY140" s="646">
        <v>0</v>
      </c>
      <c r="BZ140" s="646">
        <v>59.909604761466206</v>
      </c>
      <c r="CA140" s="646">
        <v>15.864694449218019</v>
      </c>
      <c r="CB140" s="646">
        <v>2200</v>
      </c>
      <c r="CC140" s="563" t="s">
        <v>1584</v>
      </c>
      <c r="CD140" s="563">
        <v>6</v>
      </c>
      <c r="CE140" s="563">
        <v>0</v>
      </c>
      <c r="CF140" s="563">
        <v>0</v>
      </c>
      <c r="CG140" s="563">
        <v>0</v>
      </c>
      <c r="CH140" s="650">
        <v>2338.2828338748645</v>
      </c>
      <c r="CI140" s="563">
        <v>0</v>
      </c>
      <c r="CJ140" s="563">
        <v>0</v>
      </c>
      <c r="CK140" s="563">
        <v>0</v>
      </c>
      <c r="CL140" s="650">
        <v>2316.9541275364177</v>
      </c>
      <c r="CM140" s="564">
        <v>2316.9541275364177</v>
      </c>
      <c r="CN140" s="565">
        <v>115.24966270807184</v>
      </c>
      <c r="CO140" s="649">
        <v>52.431939020774792</v>
      </c>
      <c r="CP140" s="646">
        <v>154.29009861376798</v>
      </c>
      <c r="CQ140" s="646">
        <v>0</v>
      </c>
      <c r="CR140" s="646">
        <v>0</v>
      </c>
      <c r="CS140" s="646">
        <v>62.465421338453375</v>
      </c>
      <c r="CT140" s="646">
        <v>17.900325443042263</v>
      </c>
      <c r="CU140" s="646">
        <v>2750</v>
      </c>
      <c r="CV140" s="563" t="s">
        <v>1584</v>
      </c>
      <c r="CW140" s="563">
        <v>8</v>
      </c>
      <c r="CX140" s="563">
        <v>0</v>
      </c>
      <c r="CY140" s="563">
        <v>0</v>
      </c>
      <c r="CZ140" s="563">
        <v>0</v>
      </c>
      <c r="DA140" s="650">
        <v>3222.201596514938</v>
      </c>
      <c r="DB140" s="563">
        <v>0</v>
      </c>
      <c r="DC140" s="563">
        <v>0</v>
      </c>
      <c r="DD140" s="563">
        <v>0</v>
      </c>
      <c r="DE140" s="650">
        <v>3192.8102027044861</v>
      </c>
      <c r="DF140" s="564">
        <v>3192.8102027044861</v>
      </c>
      <c r="DG140" s="565">
        <v>158.8163937211134</v>
      </c>
      <c r="DH140" s="649">
        <v>32.769961887984245</v>
      </c>
      <c r="DI140" s="646">
        <v>134.62812148097743</v>
      </c>
      <c r="DJ140" s="646">
        <v>0</v>
      </c>
      <c r="DK140" s="646">
        <v>0</v>
      </c>
      <c r="DL140" s="646">
        <v>58.445062333910414</v>
      </c>
      <c r="DM140" s="646">
        <v>14.846878952305897</v>
      </c>
      <c r="DN140" s="646">
        <v>2200</v>
      </c>
      <c r="DO140" s="563" t="s">
        <v>1585</v>
      </c>
      <c r="DP140" s="563">
        <v>5</v>
      </c>
      <c r="DQ140" s="563">
        <v>0</v>
      </c>
      <c r="DR140" s="563">
        <v>0</v>
      </c>
      <c r="DS140" s="563">
        <v>0</v>
      </c>
      <c r="DT140" s="650">
        <v>2181.0094133606653</v>
      </c>
      <c r="DU140" s="563">
        <v>0</v>
      </c>
      <c r="DV140" s="563">
        <v>0</v>
      </c>
      <c r="DW140" s="563">
        <v>0</v>
      </c>
      <c r="DX140" s="650">
        <v>2161.1152805260945</v>
      </c>
      <c r="DY140" s="564">
        <v>2161.1152805260945</v>
      </c>
      <c r="DZ140" s="565">
        <v>107.49794490697253</v>
      </c>
      <c r="EA140" s="649">
        <v>52.431939020774792</v>
      </c>
      <c r="EB140" s="646">
        <v>154.29009861376798</v>
      </c>
      <c r="EC140" s="646">
        <v>0</v>
      </c>
      <c r="ED140" s="646">
        <v>0</v>
      </c>
      <c r="EE140" s="646">
        <v>62.465421338453375</v>
      </c>
      <c r="EF140" s="646">
        <v>17.900325443042263</v>
      </c>
      <c r="EG140" s="646">
        <v>2750</v>
      </c>
      <c r="EH140" s="563" t="s">
        <v>1585</v>
      </c>
      <c r="EI140" s="563">
        <v>8</v>
      </c>
      <c r="EJ140" s="563">
        <v>0</v>
      </c>
      <c r="EK140" s="563">
        <v>0</v>
      </c>
      <c r="EL140" s="563">
        <v>0</v>
      </c>
      <c r="EM140" s="650">
        <v>3444.6784015071025</v>
      </c>
      <c r="EN140" s="563">
        <v>0</v>
      </c>
      <c r="EO140" s="563">
        <v>0</v>
      </c>
      <c r="EP140" s="563">
        <v>0</v>
      </c>
      <c r="EQ140" s="650">
        <v>3413.257679859682</v>
      </c>
      <c r="ER140" s="564">
        <v>3413.257679859682</v>
      </c>
      <c r="ES140" s="565">
        <v>169.78186648772189</v>
      </c>
      <c r="ET140" s="649">
        <v>32.769961887984245</v>
      </c>
      <c r="EU140" s="646">
        <v>134.62812148097743</v>
      </c>
      <c r="EV140" s="646">
        <v>0</v>
      </c>
      <c r="EW140" s="646">
        <v>0</v>
      </c>
      <c r="EX140" s="646">
        <v>58.445062333910414</v>
      </c>
      <c r="EY140" s="646">
        <v>14.846878952305897</v>
      </c>
      <c r="EZ140" s="646">
        <v>2200</v>
      </c>
      <c r="FA140" s="563" t="s">
        <v>1586</v>
      </c>
      <c r="FB140" s="563">
        <v>5</v>
      </c>
      <c r="FC140" s="563">
        <v>0</v>
      </c>
      <c r="FD140" s="563">
        <v>0</v>
      </c>
      <c r="FE140" s="563">
        <v>0</v>
      </c>
      <c r="FF140" s="650">
        <v>2225.9834112236626</v>
      </c>
      <c r="FG140" s="563">
        <v>0</v>
      </c>
      <c r="FH140" s="563">
        <v>0</v>
      </c>
      <c r="FI140" s="563">
        <v>0</v>
      </c>
      <c r="FJ140" s="650">
        <v>2205.679046925025</v>
      </c>
      <c r="FK140" s="564">
        <v>2205.679046925025</v>
      </c>
      <c r="FL140" s="565">
        <v>109.71463059161276</v>
      </c>
      <c r="FM140" s="649">
        <v>52.431939020774792</v>
      </c>
      <c r="FN140" s="646">
        <v>154.29009861376798</v>
      </c>
      <c r="FO140" s="646">
        <v>0</v>
      </c>
      <c r="FP140" s="646">
        <v>0</v>
      </c>
      <c r="FQ140" s="646">
        <v>62.465421338453375</v>
      </c>
      <c r="FR140" s="646">
        <v>17.900325443042263</v>
      </c>
      <c r="FS140" s="646">
        <v>2750</v>
      </c>
      <c r="FT140" s="563" t="s">
        <v>1586</v>
      </c>
      <c r="FU140" s="563">
        <v>8</v>
      </c>
      <c r="FV140" s="563">
        <v>0</v>
      </c>
      <c r="FW140" s="563">
        <v>0</v>
      </c>
      <c r="FX140" s="563">
        <v>0</v>
      </c>
      <c r="FY140" s="650">
        <v>3515.7101715325989</v>
      </c>
      <c r="FZ140" s="563">
        <v>0</v>
      </c>
      <c r="GA140" s="563">
        <v>0</v>
      </c>
      <c r="GB140" s="563">
        <v>0</v>
      </c>
      <c r="GC140" s="650">
        <v>3483.6415317883857</v>
      </c>
      <c r="GD140" s="564">
        <v>3483.6415317883857</v>
      </c>
      <c r="GE140" s="565">
        <v>173.2828918634392</v>
      </c>
      <c r="GF140" s="649">
        <v>26.215969510387396</v>
      </c>
      <c r="GG140" s="646">
        <v>128.07412910338059</v>
      </c>
      <c r="GH140" s="646">
        <v>0</v>
      </c>
      <c r="GI140" s="646">
        <v>0</v>
      </c>
      <c r="GJ140" s="646">
        <v>56.830628589910539</v>
      </c>
      <c r="GK140" s="646">
        <v>13.829063455393777</v>
      </c>
      <c r="GL140" s="646">
        <v>2200</v>
      </c>
      <c r="GM140" s="563" t="s">
        <v>1587</v>
      </c>
      <c r="GN140" s="563">
        <v>4</v>
      </c>
      <c r="GO140" s="563">
        <v>0</v>
      </c>
      <c r="GP140" s="563">
        <v>0</v>
      </c>
      <c r="GQ140" s="563">
        <v>0</v>
      </c>
      <c r="GR140" s="650">
        <v>2586.9789401736762</v>
      </c>
      <c r="GS140" s="563">
        <v>0</v>
      </c>
      <c r="GT140" s="563">
        <v>0</v>
      </c>
      <c r="GU140" s="563">
        <v>0</v>
      </c>
      <c r="GV140" s="650">
        <v>2563.3817459765655</v>
      </c>
      <c r="GW140" s="564">
        <v>2563.3817459765655</v>
      </c>
      <c r="GX140" s="565">
        <v>127.50743664051411</v>
      </c>
      <c r="GY140" s="649">
        <v>32.769961887984245</v>
      </c>
      <c r="GZ140" s="646">
        <v>134.62812148097743</v>
      </c>
      <c r="HA140" s="646">
        <v>0</v>
      </c>
      <c r="HB140" s="646">
        <v>0</v>
      </c>
      <c r="HC140" s="646">
        <v>58.445062333910414</v>
      </c>
      <c r="HD140" s="646">
        <v>14.846878952305897</v>
      </c>
      <c r="HE140" s="646">
        <v>2750</v>
      </c>
      <c r="HF140" s="563" t="s">
        <v>1587</v>
      </c>
      <c r="HG140" s="563">
        <v>5</v>
      </c>
      <c r="HH140" s="563">
        <v>0</v>
      </c>
      <c r="HI140" s="563">
        <v>0</v>
      </c>
      <c r="HJ140" s="563">
        <v>0</v>
      </c>
      <c r="HK140" s="650">
        <v>2986.4701345697658</v>
      </c>
      <c r="HL140" s="563">
        <v>0</v>
      </c>
      <c r="HM140" s="563">
        <v>0</v>
      </c>
      <c r="HN140" s="563">
        <v>0</v>
      </c>
      <c r="HO140" s="650">
        <v>2959.2289712827728</v>
      </c>
      <c r="HP140" s="564">
        <v>2959.2289712827728</v>
      </c>
      <c r="HQ140" s="565">
        <v>147.19762327747398</v>
      </c>
      <c r="HR140" s="649">
        <v>26.215969510387396</v>
      </c>
      <c r="HS140" s="646">
        <v>128.07412910338059</v>
      </c>
      <c r="HT140" s="646">
        <v>0</v>
      </c>
      <c r="HU140" s="646">
        <v>0</v>
      </c>
      <c r="HV140" s="646">
        <v>56.830628589910539</v>
      </c>
      <c r="HW140" s="646">
        <v>13.829063455393777</v>
      </c>
      <c r="HX140" s="646">
        <v>2200</v>
      </c>
      <c r="HY140" s="563" t="s">
        <v>68</v>
      </c>
      <c r="HZ140" s="563">
        <v>4</v>
      </c>
      <c r="IA140" s="563">
        <v>0</v>
      </c>
      <c r="IB140" s="563">
        <v>0</v>
      </c>
      <c r="IC140" s="563">
        <v>0</v>
      </c>
      <c r="ID140" s="650">
        <v>2281.5009742203301</v>
      </c>
      <c r="IE140" s="563">
        <v>0</v>
      </c>
      <c r="IF140" s="563">
        <v>0</v>
      </c>
      <c r="IG140" s="563">
        <v>0</v>
      </c>
      <c r="IH140" s="650">
        <v>2260.690205058846</v>
      </c>
      <c r="II140" s="564">
        <v>2260.690205058846</v>
      </c>
      <c r="IJ140" s="565">
        <v>112.45098922070851</v>
      </c>
      <c r="IK140" s="649">
        <v>39.323954265581094</v>
      </c>
      <c r="IL140" s="646">
        <v>141.18211385857427</v>
      </c>
      <c r="IM140" s="646">
        <v>0</v>
      </c>
      <c r="IN140" s="646">
        <v>0</v>
      </c>
      <c r="IO140" s="646">
        <v>59.909604761466206</v>
      </c>
      <c r="IP140" s="646">
        <v>15.864694449218019</v>
      </c>
      <c r="IQ140" s="646">
        <v>2750</v>
      </c>
      <c r="IR140" s="563" t="s">
        <v>68</v>
      </c>
      <c r="IS140" s="563">
        <v>6</v>
      </c>
      <c r="IT140" s="563">
        <v>0</v>
      </c>
      <c r="IU140" s="563">
        <v>0</v>
      </c>
      <c r="IV140" s="563">
        <v>0</v>
      </c>
      <c r="IW140" s="650">
        <v>3018.710158106629</v>
      </c>
      <c r="IX140" s="563">
        <v>0</v>
      </c>
      <c r="IY140" s="563">
        <v>0</v>
      </c>
      <c r="IZ140" s="563">
        <v>0</v>
      </c>
      <c r="JA140" s="650">
        <v>2991.1749166250042</v>
      </c>
      <c r="JB140" s="564">
        <v>2991.1749166250042</v>
      </c>
      <c r="JC140" s="565">
        <v>148.7866747747936</v>
      </c>
      <c r="JD140" s="649">
        <v>26.215969510387396</v>
      </c>
      <c r="JE140" s="646">
        <v>128.07412910338059</v>
      </c>
      <c r="JF140" s="646">
        <v>0</v>
      </c>
      <c r="JG140" s="646">
        <v>0</v>
      </c>
      <c r="JH140" s="646">
        <v>56.830628589910539</v>
      </c>
      <c r="JI140" s="646">
        <v>13.829063455393777</v>
      </c>
      <c r="JJ140" s="646">
        <v>2200</v>
      </c>
      <c r="JK140" s="563" t="s">
        <v>67</v>
      </c>
      <c r="JL140" s="563">
        <v>4</v>
      </c>
      <c r="JM140" s="563">
        <v>0</v>
      </c>
      <c r="JN140" s="563">
        <v>0</v>
      </c>
      <c r="JO140" s="563">
        <v>0</v>
      </c>
      <c r="JP140" s="650">
        <v>3109.1617391138925</v>
      </c>
      <c r="JQ140" s="563">
        <v>0</v>
      </c>
      <c r="JR140" s="563">
        <v>0</v>
      </c>
      <c r="JS140" s="563">
        <v>0</v>
      </c>
      <c r="JT140" s="650">
        <v>3080.8014412356383</v>
      </c>
      <c r="JU140" s="564">
        <v>3080.8014412356383</v>
      </c>
      <c r="JV140" s="565">
        <v>153.24486693678318</v>
      </c>
      <c r="JW140" s="649">
        <v>26.215969510387396</v>
      </c>
      <c r="JX140" s="646">
        <v>128.07412910338059</v>
      </c>
      <c r="JY140" s="646">
        <v>0</v>
      </c>
      <c r="JZ140" s="646">
        <v>0</v>
      </c>
      <c r="KA140" s="646">
        <v>56.830628589910539</v>
      </c>
      <c r="KB140" s="646">
        <v>13.829063455393777</v>
      </c>
      <c r="KC140" s="646">
        <v>2750</v>
      </c>
      <c r="KD140" s="563" t="s">
        <v>67</v>
      </c>
      <c r="KE140" s="563">
        <v>4</v>
      </c>
      <c r="KF140" s="563">
        <v>0</v>
      </c>
      <c r="KG140" s="563">
        <v>0</v>
      </c>
      <c r="KH140" s="563">
        <v>0</v>
      </c>
      <c r="KI140" s="650">
        <v>3109.1617391154869</v>
      </c>
      <c r="KJ140" s="563">
        <v>0</v>
      </c>
      <c r="KK140" s="563">
        <v>0</v>
      </c>
      <c r="KL140" s="563">
        <v>0</v>
      </c>
      <c r="KM140" s="650">
        <v>3080.8014412356301</v>
      </c>
      <c r="KN140" s="564">
        <v>3080.8014412356301</v>
      </c>
      <c r="KO140" s="566">
        <v>153.24486693678278</v>
      </c>
    </row>
    <row r="141" spans="1:301" ht="15" customHeight="1">
      <c r="A141" s="802" t="s">
        <v>890</v>
      </c>
      <c r="B141" s="629" t="s">
        <v>388</v>
      </c>
      <c r="C141" s="629">
        <v>664.95699999999999</v>
      </c>
      <c r="D141" s="629">
        <v>1100</v>
      </c>
      <c r="E141" s="629">
        <v>630</v>
      </c>
      <c r="F141" s="629">
        <v>596.27920848197721</v>
      </c>
      <c r="G141" s="629">
        <v>253.03382335867602</v>
      </c>
      <c r="H141" s="629">
        <v>200.00875758327325</v>
      </c>
      <c r="I141" s="629">
        <v>195</v>
      </c>
      <c r="J141" s="629">
        <v>42.8</v>
      </c>
      <c r="K141" s="629">
        <v>63.21</v>
      </c>
      <c r="L141" s="629">
        <v>24</v>
      </c>
      <c r="M141" s="629">
        <v>275.94234824520538</v>
      </c>
      <c r="N141" s="629">
        <v>6</v>
      </c>
      <c r="O141" s="623">
        <v>30.078401317613711</v>
      </c>
      <c r="P141" s="629">
        <v>6</v>
      </c>
      <c r="Q141" s="623">
        <v>18.15058994002726</v>
      </c>
      <c r="R141" s="629">
        <v>18.000000000000004</v>
      </c>
      <c r="S141" s="629">
        <v>848.13960424098866</v>
      </c>
      <c r="T141" s="645">
        <v>79.830110370470166</v>
      </c>
      <c r="U141" s="645">
        <v>127.2209406361483</v>
      </c>
      <c r="V141" s="645">
        <v>147.5</v>
      </c>
      <c r="W141" s="793">
        <v>11.039007449666576</v>
      </c>
      <c r="X141" s="646">
        <v>0</v>
      </c>
      <c r="Y141" s="646">
        <v>0</v>
      </c>
      <c r="Z141" s="646">
        <v>0</v>
      </c>
      <c r="AA141" s="646">
        <v>0</v>
      </c>
      <c r="AB141" s="647">
        <v>23.545499091774612</v>
      </c>
      <c r="AC141" s="784">
        <v>2884.937735785657</v>
      </c>
      <c r="AD141" s="631">
        <v>1.6339020237788597</v>
      </c>
      <c r="AE141" s="631">
        <v>0.92601015323515279</v>
      </c>
      <c r="AF141" s="631">
        <v>-0.12531656224916629</v>
      </c>
      <c r="AG141" s="631">
        <v>0.39280133411145984</v>
      </c>
      <c r="AH141" s="629"/>
      <c r="AI141" s="648">
        <v>5.7227629956430919</v>
      </c>
      <c r="AJ141" s="649">
        <v>51.338832392271215</v>
      </c>
      <c r="AK141" s="646">
        <v>190.43694147004891</v>
      </c>
      <c r="AL141" s="646">
        <v>0</v>
      </c>
      <c r="AM141" s="646">
        <v>0</v>
      </c>
      <c r="AN141" s="646">
        <v>66.883563573060755</v>
      </c>
      <c r="AO141" s="646">
        <v>28.199634684863668</v>
      </c>
      <c r="AP141" s="801">
        <v>1800</v>
      </c>
      <c r="AQ141" s="563" t="s">
        <v>71</v>
      </c>
      <c r="AR141" s="563">
        <v>5</v>
      </c>
      <c r="AS141" s="563">
        <v>0</v>
      </c>
      <c r="AT141" s="563">
        <v>0</v>
      </c>
      <c r="AU141" s="563">
        <v>0</v>
      </c>
      <c r="AV141" s="650">
        <v>1900.8378957187383</v>
      </c>
      <c r="AW141" s="563">
        <v>0</v>
      </c>
      <c r="AX141" s="563">
        <v>0</v>
      </c>
      <c r="AY141" s="563">
        <v>0</v>
      </c>
      <c r="AZ141" s="650">
        <v>1939.3016177116508</v>
      </c>
      <c r="BA141" s="564">
        <v>1900.8378957187383</v>
      </c>
      <c r="BB141" s="565">
        <v>109.48040342900961</v>
      </c>
      <c r="BC141" s="649">
        <v>82.142131827633946</v>
      </c>
      <c r="BD141" s="646">
        <v>221.24024090541167</v>
      </c>
      <c r="BE141" s="646">
        <v>0</v>
      </c>
      <c r="BF141" s="646">
        <v>0</v>
      </c>
      <c r="BG141" s="646">
        <v>71.494977773957856</v>
      </c>
      <c r="BH141" s="646">
        <v>34.561162163095268</v>
      </c>
      <c r="BI141" s="646">
        <v>2250</v>
      </c>
      <c r="BJ141" s="563" t="s">
        <v>71</v>
      </c>
      <c r="BK141" s="563">
        <v>8</v>
      </c>
      <c r="BL141" s="563">
        <v>0</v>
      </c>
      <c r="BM141" s="563">
        <v>0</v>
      </c>
      <c r="BN141" s="563">
        <v>0</v>
      </c>
      <c r="BO141" s="650">
        <v>2884.937735785657</v>
      </c>
      <c r="BP141" s="563">
        <v>0</v>
      </c>
      <c r="BQ141" s="563">
        <v>0</v>
      </c>
      <c r="BR141" s="563">
        <v>0</v>
      </c>
      <c r="BS141" s="650">
        <v>2963.3288805421321</v>
      </c>
      <c r="BT141" s="564">
        <v>2884.937735785657</v>
      </c>
      <c r="BU141" s="565">
        <v>166.16048527481684</v>
      </c>
      <c r="BV141" s="649">
        <v>51.338832392271215</v>
      </c>
      <c r="BW141" s="646">
        <v>190.43694147004891</v>
      </c>
      <c r="BX141" s="646">
        <v>0</v>
      </c>
      <c r="BY141" s="646">
        <v>0</v>
      </c>
      <c r="BZ141" s="646">
        <v>66.883563573060755</v>
      </c>
      <c r="CA141" s="646">
        <v>28.199634684863668</v>
      </c>
      <c r="CB141" s="646">
        <v>1800</v>
      </c>
      <c r="CC141" s="563" t="s">
        <v>1584</v>
      </c>
      <c r="CD141" s="563">
        <v>5</v>
      </c>
      <c r="CE141" s="563">
        <v>0</v>
      </c>
      <c r="CF141" s="563">
        <v>0</v>
      </c>
      <c r="CG141" s="563">
        <v>0</v>
      </c>
      <c r="CH141" s="650">
        <v>1699.7771154522134</v>
      </c>
      <c r="CI141" s="563">
        <v>0</v>
      </c>
      <c r="CJ141" s="563">
        <v>0</v>
      </c>
      <c r="CK141" s="563">
        <v>0</v>
      </c>
      <c r="CL141" s="650">
        <v>1686.189022003648</v>
      </c>
      <c r="CM141" s="564">
        <v>1686.189022003648</v>
      </c>
      <c r="CN141" s="565">
        <v>97.117515808324342</v>
      </c>
      <c r="CO141" s="649">
        <v>82.142131827633946</v>
      </c>
      <c r="CP141" s="646">
        <v>221.24024090541167</v>
      </c>
      <c r="CQ141" s="646">
        <v>0</v>
      </c>
      <c r="CR141" s="646">
        <v>0</v>
      </c>
      <c r="CS141" s="646">
        <v>71.494977773957856</v>
      </c>
      <c r="CT141" s="646">
        <v>34.561162163095268</v>
      </c>
      <c r="CU141" s="646">
        <v>2250</v>
      </c>
      <c r="CV141" s="563" t="s">
        <v>1584</v>
      </c>
      <c r="CW141" s="563">
        <v>8</v>
      </c>
      <c r="CX141" s="563">
        <v>0</v>
      </c>
      <c r="CY141" s="563">
        <v>0</v>
      </c>
      <c r="CZ141" s="563">
        <v>0</v>
      </c>
      <c r="DA141" s="650">
        <v>2597.3260532059485</v>
      </c>
      <c r="DB141" s="563">
        <v>0</v>
      </c>
      <c r="DC141" s="563">
        <v>0</v>
      </c>
      <c r="DD141" s="563">
        <v>0</v>
      </c>
      <c r="DE141" s="650">
        <v>2576.5629138470658</v>
      </c>
      <c r="DF141" s="564">
        <v>2576.5629138470658</v>
      </c>
      <c r="DG141" s="565">
        <v>148.39937056365397</v>
      </c>
      <c r="DH141" s="649">
        <v>51.338832392271215</v>
      </c>
      <c r="DI141" s="646">
        <v>190.43694147004891</v>
      </c>
      <c r="DJ141" s="646">
        <v>0</v>
      </c>
      <c r="DK141" s="646">
        <v>0</v>
      </c>
      <c r="DL141" s="646">
        <v>66.883563573060755</v>
      </c>
      <c r="DM141" s="646">
        <v>28.199634684863668</v>
      </c>
      <c r="DN141" s="646">
        <v>1800</v>
      </c>
      <c r="DO141" s="563" t="s">
        <v>1585</v>
      </c>
      <c r="DP141" s="563">
        <v>5</v>
      </c>
      <c r="DQ141" s="563">
        <v>0</v>
      </c>
      <c r="DR141" s="563">
        <v>0</v>
      </c>
      <c r="DS141" s="563">
        <v>0</v>
      </c>
      <c r="DT141" s="650">
        <v>1817.1381714002257</v>
      </c>
      <c r="DU141" s="563">
        <v>0</v>
      </c>
      <c r="DV141" s="563">
        <v>0</v>
      </c>
      <c r="DW141" s="563">
        <v>0</v>
      </c>
      <c r="DX141" s="650">
        <v>1802.611888479159</v>
      </c>
      <c r="DY141" s="564">
        <v>1802.611888479159</v>
      </c>
      <c r="DZ141" s="565">
        <v>103.82299154552874</v>
      </c>
      <c r="EA141" s="649">
        <v>82.142131827633946</v>
      </c>
      <c r="EB141" s="646">
        <v>221.24024090541167</v>
      </c>
      <c r="EC141" s="646">
        <v>0</v>
      </c>
      <c r="ED141" s="646">
        <v>0</v>
      </c>
      <c r="EE141" s="646">
        <v>71.494977773957856</v>
      </c>
      <c r="EF141" s="646">
        <v>34.561162163095268</v>
      </c>
      <c r="EG141" s="646">
        <v>2250</v>
      </c>
      <c r="EH141" s="563" t="s">
        <v>1585</v>
      </c>
      <c r="EI141" s="563">
        <v>8</v>
      </c>
      <c r="EJ141" s="563">
        <v>0</v>
      </c>
      <c r="EK141" s="563">
        <v>0</v>
      </c>
      <c r="EL141" s="563">
        <v>0</v>
      </c>
      <c r="EM141" s="650">
        <v>2776.6583465252038</v>
      </c>
      <c r="EN141" s="563">
        <v>0</v>
      </c>
      <c r="EO141" s="563">
        <v>0</v>
      </c>
      <c r="EP141" s="563">
        <v>0</v>
      </c>
      <c r="EQ141" s="650">
        <v>2754.4616168810139</v>
      </c>
      <c r="ER141" s="564">
        <v>2754.4616168810139</v>
      </c>
      <c r="ES141" s="565">
        <v>158.64560030345504</v>
      </c>
      <c r="ET141" s="649">
        <v>51.338832392271215</v>
      </c>
      <c r="EU141" s="646">
        <v>190.43694147004891</v>
      </c>
      <c r="EV141" s="646">
        <v>0</v>
      </c>
      <c r="EW141" s="646">
        <v>0</v>
      </c>
      <c r="EX141" s="646">
        <v>66.883563573060755</v>
      </c>
      <c r="EY141" s="646">
        <v>28.199634684863668</v>
      </c>
      <c r="EZ141" s="646">
        <v>1800</v>
      </c>
      <c r="FA141" s="563" t="s">
        <v>1586</v>
      </c>
      <c r="FB141" s="563">
        <v>5</v>
      </c>
      <c r="FC141" s="563">
        <v>0</v>
      </c>
      <c r="FD141" s="563">
        <v>0</v>
      </c>
      <c r="FE141" s="563">
        <v>0</v>
      </c>
      <c r="FF141" s="650">
        <v>1854.6088800269283</v>
      </c>
      <c r="FG141" s="563">
        <v>0</v>
      </c>
      <c r="FH141" s="563">
        <v>0</v>
      </c>
      <c r="FI141" s="563">
        <v>0</v>
      </c>
      <c r="FJ141" s="650">
        <v>1839.7830546036298</v>
      </c>
      <c r="FK141" s="564">
        <v>1839.7830546036298</v>
      </c>
      <c r="FL141" s="565">
        <v>105.96389702326546</v>
      </c>
      <c r="FM141" s="649">
        <v>61.606598870725463</v>
      </c>
      <c r="FN141" s="646">
        <v>200.70470794850317</v>
      </c>
      <c r="FO141" s="646">
        <v>0</v>
      </c>
      <c r="FP141" s="646">
        <v>0</v>
      </c>
      <c r="FQ141" s="646">
        <v>68.577977220435812</v>
      </c>
      <c r="FR141" s="646">
        <v>30.320143844274202</v>
      </c>
      <c r="FS141" s="646">
        <v>2250</v>
      </c>
      <c r="FT141" s="563" t="s">
        <v>1586</v>
      </c>
      <c r="FU141" s="563">
        <v>6</v>
      </c>
      <c r="FV141" s="563">
        <v>0</v>
      </c>
      <c r="FW141" s="563">
        <v>0</v>
      </c>
      <c r="FX141" s="563">
        <v>0</v>
      </c>
      <c r="FY141" s="650">
        <v>2113.4732403510002</v>
      </c>
      <c r="FZ141" s="563">
        <v>0</v>
      </c>
      <c r="GA141" s="563">
        <v>0</v>
      </c>
      <c r="GB141" s="563">
        <v>0</v>
      </c>
      <c r="GC141" s="650">
        <v>2096.5780417807018</v>
      </c>
      <c r="GD141" s="564">
        <v>2096.5780417807018</v>
      </c>
      <c r="GE141" s="565">
        <v>120.754226518492</v>
      </c>
      <c r="GF141" s="649">
        <v>41.071065913816973</v>
      </c>
      <c r="GG141" s="646">
        <v>180.16917499159467</v>
      </c>
      <c r="GH141" s="646">
        <v>0</v>
      </c>
      <c r="GI141" s="646">
        <v>0</v>
      </c>
      <c r="GJ141" s="646">
        <v>64.996022065162776</v>
      </c>
      <c r="GK141" s="646">
        <v>26.079125525453136</v>
      </c>
      <c r="GL141" s="646">
        <v>1800</v>
      </c>
      <c r="GM141" s="563" t="s">
        <v>1587</v>
      </c>
      <c r="GN141" s="563">
        <v>4</v>
      </c>
      <c r="GO141" s="563">
        <v>0</v>
      </c>
      <c r="GP141" s="563">
        <v>0</v>
      </c>
      <c r="GQ141" s="563">
        <v>0</v>
      </c>
      <c r="GR141" s="650">
        <v>2163.5590255651023</v>
      </c>
      <c r="GS141" s="563">
        <v>0</v>
      </c>
      <c r="GT141" s="563">
        <v>0</v>
      </c>
      <c r="GU141" s="563">
        <v>0</v>
      </c>
      <c r="GV141" s="650">
        <v>2146.2634390123394</v>
      </c>
      <c r="GW141" s="564">
        <v>2146.2634390123394</v>
      </c>
      <c r="GX141" s="565">
        <v>123.61589996560807</v>
      </c>
      <c r="GY141" s="649">
        <v>41.071065913816973</v>
      </c>
      <c r="GZ141" s="646">
        <v>180.16917499159467</v>
      </c>
      <c r="HA141" s="646">
        <v>0</v>
      </c>
      <c r="HB141" s="646">
        <v>0</v>
      </c>
      <c r="HC141" s="646">
        <v>64.996022065162776</v>
      </c>
      <c r="HD141" s="646">
        <v>26.079125525453136</v>
      </c>
      <c r="HE141" s="646">
        <v>2250</v>
      </c>
      <c r="HF141" s="563" t="s">
        <v>1587</v>
      </c>
      <c r="HG141" s="563">
        <v>4</v>
      </c>
      <c r="HH141" s="563">
        <v>0</v>
      </c>
      <c r="HI141" s="563">
        <v>0</v>
      </c>
      <c r="HJ141" s="563">
        <v>0</v>
      </c>
      <c r="HK141" s="650">
        <v>2163.5590255651068</v>
      </c>
      <c r="HL141" s="563">
        <v>0</v>
      </c>
      <c r="HM141" s="563">
        <v>0</v>
      </c>
      <c r="HN141" s="563">
        <v>0</v>
      </c>
      <c r="HO141" s="650">
        <v>2146.263439013243</v>
      </c>
      <c r="HP141" s="564">
        <v>2146.263439013243</v>
      </c>
      <c r="HQ141" s="565">
        <v>123.61589996566009</v>
      </c>
      <c r="HR141" s="649">
        <v>41.071065913816973</v>
      </c>
      <c r="HS141" s="646">
        <v>180.16917499159467</v>
      </c>
      <c r="HT141" s="646">
        <v>0</v>
      </c>
      <c r="HU141" s="646">
        <v>0</v>
      </c>
      <c r="HV141" s="646">
        <v>64.996022065162776</v>
      </c>
      <c r="HW141" s="646">
        <v>26.079125525453136</v>
      </c>
      <c r="HX141" s="646">
        <v>1800</v>
      </c>
      <c r="HY141" s="563" t="s">
        <v>68</v>
      </c>
      <c r="HZ141" s="563">
        <v>4</v>
      </c>
      <c r="IA141" s="563">
        <v>0</v>
      </c>
      <c r="IB141" s="563">
        <v>0</v>
      </c>
      <c r="IC141" s="563">
        <v>0</v>
      </c>
      <c r="ID141" s="650">
        <v>1908.079709484801</v>
      </c>
      <c r="IE141" s="563">
        <v>0</v>
      </c>
      <c r="IF141" s="563">
        <v>0</v>
      </c>
      <c r="IG141" s="563">
        <v>0</v>
      </c>
      <c r="IH141" s="650">
        <v>1892.8264358856152</v>
      </c>
      <c r="II141" s="564">
        <v>1892.8264358856152</v>
      </c>
      <c r="IJ141" s="565">
        <v>109.01897646747801</v>
      </c>
      <c r="IK141" s="649">
        <v>51.338832392271215</v>
      </c>
      <c r="IL141" s="646">
        <v>190.43694147004891</v>
      </c>
      <c r="IM141" s="646">
        <v>0</v>
      </c>
      <c r="IN141" s="646">
        <v>0</v>
      </c>
      <c r="IO141" s="646">
        <v>66.883563573060755</v>
      </c>
      <c r="IP141" s="646">
        <v>28.199634684863668</v>
      </c>
      <c r="IQ141" s="646">
        <v>2250</v>
      </c>
      <c r="IR141" s="563" t="s">
        <v>68</v>
      </c>
      <c r="IS141" s="563">
        <v>5</v>
      </c>
      <c r="IT141" s="563">
        <v>0</v>
      </c>
      <c r="IU141" s="563">
        <v>0</v>
      </c>
      <c r="IV141" s="563">
        <v>0</v>
      </c>
      <c r="IW141" s="650">
        <v>2194.4028201368692</v>
      </c>
      <c r="IX141" s="563">
        <v>0</v>
      </c>
      <c r="IY141" s="563">
        <v>0</v>
      </c>
      <c r="IZ141" s="563">
        <v>0</v>
      </c>
      <c r="JA141" s="650">
        <v>2176.8606669259598</v>
      </c>
      <c r="JB141" s="564">
        <v>2176.8606669259598</v>
      </c>
      <c r="JC141" s="565">
        <v>125.37817378355817</v>
      </c>
      <c r="JD141" s="649">
        <v>41.071065913816973</v>
      </c>
      <c r="JE141" s="646">
        <v>180.16917499159467</v>
      </c>
      <c r="JF141" s="646">
        <v>0</v>
      </c>
      <c r="JG141" s="646">
        <v>0</v>
      </c>
      <c r="JH141" s="646">
        <v>64.996022065162776</v>
      </c>
      <c r="JI141" s="646">
        <v>26.079125525453136</v>
      </c>
      <c r="JJ141" s="646">
        <v>1800</v>
      </c>
      <c r="JK141" s="563" t="s">
        <v>67</v>
      </c>
      <c r="JL141" s="563">
        <v>4</v>
      </c>
      <c r="JM141" s="563">
        <v>0</v>
      </c>
      <c r="JN141" s="563">
        <v>0</v>
      </c>
      <c r="JO141" s="563">
        <v>0</v>
      </c>
      <c r="JP141" s="650">
        <v>2600.2743347228406</v>
      </c>
      <c r="JQ141" s="563">
        <v>0</v>
      </c>
      <c r="JR141" s="563">
        <v>0</v>
      </c>
      <c r="JS141" s="563">
        <v>0</v>
      </c>
      <c r="JT141" s="650">
        <v>2579.4876266708943</v>
      </c>
      <c r="JU141" s="564">
        <v>2579.4876266708943</v>
      </c>
      <c r="JV141" s="565">
        <v>148.56782192954265</v>
      </c>
      <c r="JW141" s="649">
        <v>41.071065913816973</v>
      </c>
      <c r="JX141" s="646">
        <v>180.16917499159467</v>
      </c>
      <c r="JY141" s="646">
        <v>0</v>
      </c>
      <c r="JZ141" s="646">
        <v>0</v>
      </c>
      <c r="KA141" s="646">
        <v>64.996022065162776</v>
      </c>
      <c r="KB141" s="646">
        <v>26.079125525453136</v>
      </c>
      <c r="KC141" s="646">
        <v>2250</v>
      </c>
      <c r="KD141" s="563" t="s">
        <v>67</v>
      </c>
      <c r="KE141" s="563">
        <v>4</v>
      </c>
      <c r="KF141" s="563">
        <v>0</v>
      </c>
      <c r="KG141" s="563">
        <v>0</v>
      </c>
      <c r="KH141" s="563">
        <v>0</v>
      </c>
      <c r="KI141" s="650">
        <v>2600.2743347226319</v>
      </c>
      <c r="KJ141" s="563">
        <v>0</v>
      </c>
      <c r="KK141" s="563">
        <v>0</v>
      </c>
      <c r="KL141" s="563">
        <v>0</v>
      </c>
      <c r="KM141" s="650">
        <v>2579.4876266708916</v>
      </c>
      <c r="KN141" s="564">
        <v>2579.4876266708916</v>
      </c>
      <c r="KO141" s="566">
        <v>148.56782192954248</v>
      </c>
    </row>
    <row r="142" spans="1:301" ht="15" customHeight="1">
      <c r="A142" s="802" t="s">
        <v>891</v>
      </c>
      <c r="B142" s="629" t="s">
        <v>390</v>
      </c>
      <c r="C142" s="629">
        <v>750.18499999999995</v>
      </c>
      <c r="D142" s="629">
        <v>1235</v>
      </c>
      <c r="E142" s="629">
        <v>800</v>
      </c>
      <c r="F142" s="629">
        <v>621.20447668394229</v>
      </c>
      <c r="G142" s="629">
        <v>293.69374394752509</v>
      </c>
      <c r="H142" s="629">
        <v>235.38070273123972</v>
      </c>
      <c r="I142" s="629">
        <v>220</v>
      </c>
      <c r="J142" s="629">
        <v>43.48</v>
      </c>
      <c r="K142" s="629">
        <v>63.44</v>
      </c>
      <c r="L142" s="629">
        <v>24</v>
      </c>
      <c r="M142" s="629">
        <v>309.17426189941949</v>
      </c>
      <c r="N142" s="629">
        <v>6</v>
      </c>
      <c r="O142" s="623">
        <v>32.746467601014146</v>
      </c>
      <c r="P142" s="629">
        <v>6</v>
      </c>
      <c r="Q142" s="623">
        <v>24.557353175595438</v>
      </c>
      <c r="R142" s="629">
        <v>18.000000000000004</v>
      </c>
      <c r="S142" s="629">
        <v>928.1022383419712</v>
      </c>
      <c r="T142" s="645">
        <v>95.59246998861417</v>
      </c>
      <c r="U142" s="645">
        <v>139.21533575129567</v>
      </c>
      <c r="V142" s="645">
        <v>147.5</v>
      </c>
      <c r="W142" s="793">
        <v>13.218646240613051</v>
      </c>
      <c r="X142" s="646">
        <v>0</v>
      </c>
      <c r="Y142" s="646">
        <v>0</v>
      </c>
      <c r="Z142" s="646">
        <v>0</v>
      </c>
      <c r="AA142" s="646">
        <v>0</v>
      </c>
      <c r="AB142" s="647">
        <v>33.140330553629639</v>
      </c>
      <c r="AC142" s="784">
        <v>3020.0728045664955</v>
      </c>
      <c r="AD142" s="631">
        <v>1.4733480091073339</v>
      </c>
      <c r="AE142" s="631">
        <v>0.94830137494169897</v>
      </c>
      <c r="AF142" s="631">
        <v>-0.22109798540501563</v>
      </c>
      <c r="AG142" s="631">
        <v>0.38186498851005007</v>
      </c>
      <c r="AH142" s="629"/>
      <c r="AI142" s="648">
        <v>7.286634595112254</v>
      </c>
      <c r="AJ142" s="649">
        <v>79.575634245876088</v>
      </c>
      <c r="AK142" s="646">
        <v>245.69057125171287</v>
      </c>
      <c r="AL142" s="646">
        <v>0</v>
      </c>
      <c r="AM142" s="646">
        <v>0</v>
      </c>
      <c r="AN142" s="646">
        <v>77.259987078030292</v>
      </c>
      <c r="AO142" s="646">
        <v>47.250873849682677</v>
      </c>
      <c r="AP142" s="801">
        <v>1700</v>
      </c>
      <c r="AQ142" s="563" t="s">
        <v>71</v>
      </c>
      <c r="AR142" s="563">
        <v>6</v>
      </c>
      <c r="AS142" s="563">
        <v>0</v>
      </c>
      <c r="AT142" s="563">
        <v>0</v>
      </c>
      <c r="AU142" s="563">
        <v>0</v>
      </c>
      <c r="AV142" s="650">
        <v>1701.9376707608465</v>
      </c>
      <c r="AW142" s="563">
        <v>0</v>
      </c>
      <c r="AX142" s="563">
        <v>0</v>
      </c>
      <c r="AY142" s="563">
        <v>0</v>
      </c>
      <c r="AZ142" s="650">
        <v>1823.7969765930247</v>
      </c>
      <c r="BA142" s="564">
        <v>1701.9376707608465</v>
      </c>
      <c r="BB142" s="565">
        <v>110.0548613485425</v>
      </c>
      <c r="BC142" s="649">
        <v>106.10084566116812</v>
      </c>
      <c r="BD142" s="646">
        <v>272.21578266700493</v>
      </c>
      <c r="BE142" s="646">
        <v>0</v>
      </c>
      <c r="BF142" s="646">
        <v>0</v>
      </c>
      <c r="BG142" s="646">
        <v>81.199596860455927</v>
      </c>
      <c r="BH142" s="646">
        <v>54.173962431680636</v>
      </c>
      <c r="BI142" s="646">
        <v>2125</v>
      </c>
      <c r="BJ142" s="563" t="s">
        <v>71</v>
      </c>
      <c r="BK142" s="563">
        <v>8</v>
      </c>
      <c r="BL142" s="563">
        <v>0</v>
      </c>
      <c r="BM142" s="563">
        <v>0</v>
      </c>
      <c r="BN142" s="563">
        <v>0</v>
      </c>
      <c r="BO142" s="650">
        <v>2202.5699719635754</v>
      </c>
      <c r="BP142" s="563">
        <v>0</v>
      </c>
      <c r="BQ142" s="563">
        <v>0</v>
      </c>
      <c r="BR142" s="563">
        <v>0</v>
      </c>
      <c r="BS142" s="650">
        <v>2387.139013924831</v>
      </c>
      <c r="BT142" s="564">
        <v>2202.5699719635754</v>
      </c>
      <c r="BU142" s="565">
        <v>142.42797315047889</v>
      </c>
      <c r="BV142" s="649">
        <v>106.10084566116812</v>
      </c>
      <c r="BW142" s="646">
        <v>272.21578266700493</v>
      </c>
      <c r="BX142" s="646">
        <v>0</v>
      </c>
      <c r="BY142" s="646">
        <v>0</v>
      </c>
      <c r="BZ142" s="646">
        <v>81.199596860455927</v>
      </c>
      <c r="CA142" s="646">
        <v>54.173962431680636</v>
      </c>
      <c r="CB142" s="646">
        <v>1700</v>
      </c>
      <c r="CC142" s="563" t="s">
        <v>1584</v>
      </c>
      <c r="CD142" s="563">
        <v>8</v>
      </c>
      <c r="CE142" s="563">
        <v>0</v>
      </c>
      <c r="CF142" s="563">
        <v>0</v>
      </c>
      <c r="CG142" s="563">
        <v>0</v>
      </c>
      <c r="CH142" s="650">
        <v>2090.5188984744573</v>
      </c>
      <c r="CI142" s="563">
        <v>0</v>
      </c>
      <c r="CJ142" s="563">
        <v>0</v>
      </c>
      <c r="CK142" s="563">
        <v>0</v>
      </c>
      <c r="CL142" s="650">
        <v>2075.5758477765421</v>
      </c>
      <c r="CM142" s="564">
        <v>2075.5758477765421</v>
      </c>
      <c r="CN142" s="565">
        <v>134.21596811081403</v>
      </c>
      <c r="CO142" s="649">
        <v>106.10084566116812</v>
      </c>
      <c r="CP142" s="646">
        <v>272.21578266700493</v>
      </c>
      <c r="CQ142" s="646">
        <v>0</v>
      </c>
      <c r="CR142" s="646">
        <v>0</v>
      </c>
      <c r="CS142" s="646">
        <v>81.199596860455927</v>
      </c>
      <c r="CT142" s="646">
        <v>54.173962431680636</v>
      </c>
      <c r="CU142" s="646">
        <v>2125</v>
      </c>
      <c r="CV142" s="563" t="s">
        <v>1584</v>
      </c>
      <c r="CW142" s="563">
        <v>8</v>
      </c>
      <c r="CX142" s="563">
        <v>0</v>
      </c>
      <c r="CY142" s="563">
        <v>0</v>
      </c>
      <c r="CZ142" s="563">
        <v>0</v>
      </c>
      <c r="DA142" s="650">
        <v>2090.5188984744568</v>
      </c>
      <c r="DB142" s="563">
        <v>0</v>
      </c>
      <c r="DC142" s="563">
        <v>0</v>
      </c>
      <c r="DD142" s="563">
        <v>0</v>
      </c>
      <c r="DE142" s="650">
        <v>2075.575847776543</v>
      </c>
      <c r="DF142" s="564">
        <v>2075.575847776543</v>
      </c>
      <c r="DG142" s="565">
        <v>134.21596811081409</v>
      </c>
      <c r="DH142" s="649">
        <v>79.575634245876088</v>
      </c>
      <c r="DI142" s="646">
        <v>245.69057125171287</v>
      </c>
      <c r="DJ142" s="646">
        <v>0</v>
      </c>
      <c r="DK142" s="646">
        <v>0</v>
      </c>
      <c r="DL142" s="646">
        <v>77.259987078030292</v>
      </c>
      <c r="DM142" s="646">
        <v>47.250873849682677</v>
      </c>
      <c r="DN142" s="646">
        <v>1700</v>
      </c>
      <c r="DO142" s="563" t="s">
        <v>1585</v>
      </c>
      <c r="DP142" s="563">
        <v>6</v>
      </c>
      <c r="DQ142" s="563">
        <v>0</v>
      </c>
      <c r="DR142" s="563">
        <v>0</v>
      </c>
      <c r="DS142" s="563">
        <v>0</v>
      </c>
      <c r="DT142" s="650">
        <v>1707.4533704737858</v>
      </c>
      <c r="DU142" s="563">
        <v>0</v>
      </c>
      <c r="DV142" s="563">
        <v>0</v>
      </c>
      <c r="DW142" s="563">
        <v>0</v>
      </c>
      <c r="DX142" s="650">
        <v>1695.2484761299281</v>
      </c>
      <c r="DY142" s="564">
        <v>1695.2484761299281</v>
      </c>
      <c r="DZ142" s="565">
        <v>109.62230826490928</v>
      </c>
      <c r="EA142" s="649">
        <v>106.10084566116812</v>
      </c>
      <c r="EB142" s="646">
        <v>272.21578266700493</v>
      </c>
      <c r="EC142" s="646">
        <v>0</v>
      </c>
      <c r="ED142" s="646">
        <v>0</v>
      </c>
      <c r="EE142" s="646">
        <v>81.199596860455927</v>
      </c>
      <c r="EF142" s="646">
        <v>54.173962431680636</v>
      </c>
      <c r="EG142" s="646">
        <v>2125</v>
      </c>
      <c r="EH142" s="563" t="s">
        <v>1585</v>
      </c>
      <c r="EI142" s="563">
        <v>8</v>
      </c>
      <c r="EJ142" s="563">
        <v>0</v>
      </c>
      <c r="EK142" s="563">
        <v>0</v>
      </c>
      <c r="EL142" s="563">
        <v>0</v>
      </c>
      <c r="EM142" s="650">
        <v>2234.8587081907071</v>
      </c>
      <c r="EN142" s="563">
        <v>0</v>
      </c>
      <c r="EO142" s="563">
        <v>0</v>
      </c>
      <c r="EP142" s="563">
        <v>0</v>
      </c>
      <c r="EQ142" s="650">
        <v>2218.8839150407675</v>
      </c>
      <c r="ER142" s="564">
        <v>2218.8839150407675</v>
      </c>
      <c r="ES142" s="565">
        <v>143.48290528709808</v>
      </c>
      <c r="ET142" s="649">
        <v>79.575634245876088</v>
      </c>
      <c r="EU142" s="646">
        <v>245.69057125171287</v>
      </c>
      <c r="EV142" s="646">
        <v>0</v>
      </c>
      <c r="EW142" s="646">
        <v>0</v>
      </c>
      <c r="EX142" s="646">
        <v>77.259987078030292</v>
      </c>
      <c r="EY142" s="646">
        <v>47.250873849682677</v>
      </c>
      <c r="EZ142" s="646">
        <v>1700</v>
      </c>
      <c r="FA142" s="563" t="s">
        <v>1586</v>
      </c>
      <c r="FB142" s="563">
        <v>6</v>
      </c>
      <c r="FC142" s="563">
        <v>0</v>
      </c>
      <c r="FD142" s="563">
        <v>0</v>
      </c>
      <c r="FE142" s="563">
        <v>0</v>
      </c>
      <c r="FF142" s="650">
        <v>1742.6622988564752</v>
      </c>
      <c r="FG142" s="563">
        <v>0</v>
      </c>
      <c r="FH142" s="563">
        <v>0</v>
      </c>
      <c r="FI142" s="563">
        <v>0</v>
      </c>
      <c r="FJ142" s="650">
        <v>1730.205730731381</v>
      </c>
      <c r="FK142" s="564">
        <v>1730.205730731381</v>
      </c>
      <c r="FL142" s="565">
        <v>111.88279986479773</v>
      </c>
      <c r="FM142" s="649">
        <v>106.10084566116812</v>
      </c>
      <c r="FN142" s="646">
        <v>272.21578266700493</v>
      </c>
      <c r="FO142" s="646">
        <v>0</v>
      </c>
      <c r="FP142" s="646">
        <v>0</v>
      </c>
      <c r="FQ142" s="646">
        <v>81.199596860455927</v>
      </c>
      <c r="FR142" s="646">
        <v>54.173962431680636</v>
      </c>
      <c r="FS142" s="646">
        <v>2125</v>
      </c>
      <c r="FT142" s="563" t="s">
        <v>1586</v>
      </c>
      <c r="FU142" s="563">
        <v>8</v>
      </c>
      <c r="FV142" s="563">
        <v>0</v>
      </c>
      <c r="FW142" s="563">
        <v>0</v>
      </c>
      <c r="FX142" s="563">
        <v>0</v>
      </c>
      <c r="FY142" s="650">
        <v>2280.9431176178332</v>
      </c>
      <c r="FZ142" s="563">
        <v>0</v>
      </c>
      <c r="GA142" s="563">
        <v>0</v>
      </c>
      <c r="GB142" s="563">
        <v>0</v>
      </c>
      <c r="GC142" s="650">
        <v>2264.6389126328918</v>
      </c>
      <c r="GD142" s="564">
        <v>2264.6389126328918</v>
      </c>
      <c r="GE142" s="565">
        <v>146.44162698561539</v>
      </c>
      <c r="GF142" s="649">
        <v>53.050422830584061</v>
      </c>
      <c r="GG142" s="646">
        <v>219.16535983642086</v>
      </c>
      <c r="GH142" s="646">
        <v>0</v>
      </c>
      <c r="GI142" s="646">
        <v>0</v>
      </c>
      <c r="GJ142" s="646">
        <v>72.366768728533756</v>
      </c>
      <c r="GK142" s="646">
        <v>40.327785267684717</v>
      </c>
      <c r="GL142" s="646">
        <v>1700</v>
      </c>
      <c r="GM142" s="563" t="s">
        <v>1587</v>
      </c>
      <c r="GN142" s="563">
        <v>4</v>
      </c>
      <c r="GO142" s="563">
        <v>0</v>
      </c>
      <c r="GP142" s="563">
        <v>0</v>
      </c>
      <c r="GQ142" s="563">
        <v>0</v>
      </c>
      <c r="GR142" s="650">
        <v>1800.1609644133132</v>
      </c>
      <c r="GS142" s="563">
        <v>0</v>
      </c>
      <c r="GT142" s="563">
        <v>0</v>
      </c>
      <c r="GU142" s="563">
        <v>0</v>
      </c>
      <c r="GV142" s="650">
        <v>1787.2933952297649</v>
      </c>
      <c r="GW142" s="564">
        <v>1787.2933952297649</v>
      </c>
      <c r="GX142" s="565">
        <v>115.57434222208808</v>
      </c>
      <c r="GY142" s="649">
        <v>79.575634245876088</v>
      </c>
      <c r="GZ142" s="646">
        <v>245.69057125171287</v>
      </c>
      <c r="HA142" s="646">
        <v>0</v>
      </c>
      <c r="HB142" s="646">
        <v>0</v>
      </c>
      <c r="HC142" s="646">
        <v>77.259987078030292</v>
      </c>
      <c r="HD142" s="646">
        <v>47.250873849682677</v>
      </c>
      <c r="HE142" s="646">
        <v>2125</v>
      </c>
      <c r="HF142" s="563" t="s">
        <v>1587</v>
      </c>
      <c r="HG142" s="563">
        <v>6</v>
      </c>
      <c r="HH142" s="563">
        <v>0</v>
      </c>
      <c r="HI142" s="563">
        <v>0</v>
      </c>
      <c r="HJ142" s="563">
        <v>0</v>
      </c>
      <c r="HK142" s="650">
        <v>2338.0268172414721</v>
      </c>
      <c r="HL142" s="563">
        <v>0</v>
      </c>
      <c r="HM142" s="563">
        <v>0</v>
      </c>
      <c r="HN142" s="563">
        <v>0</v>
      </c>
      <c r="HO142" s="650">
        <v>2321.3145773814967</v>
      </c>
      <c r="HP142" s="564">
        <v>2321.3145773814967</v>
      </c>
      <c r="HQ142" s="565">
        <v>150.10652760618615</v>
      </c>
      <c r="HR142" s="649">
        <v>66.313028538230071</v>
      </c>
      <c r="HS142" s="646">
        <v>232.42796554406686</v>
      </c>
      <c r="HT142" s="646">
        <v>0</v>
      </c>
      <c r="HU142" s="646">
        <v>0</v>
      </c>
      <c r="HV142" s="646">
        <v>74.952984222725718</v>
      </c>
      <c r="HW142" s="646">
        <v>43.789329558683697</v>
      </c>
      <c r="HX142" s="646">
        <v>1700</v>
      </c>
      <c r="HY142" s="563" t="s">
        <v>68</v>
      </c>
      <c r="HZ142" s="563">
        <v>5</v>
      </c>
      <c r="IA142" s="563">
        <v>0</v>
      </c>
      <c r="IB142" s="563">
        <v>0</v>
      </c>
      <c r="IC142" s="563">
        <v>0</v>
      </c>
      <c r="ID142" s="650">
        <v>1819.1953511430272</v>
      </c>
      <c r="IE142" s="563">
        <v>0</v>
      </c>
      <c r="IF142" s="563">
        <v>0</v>
      </c>
      <c r="IG142" s="563">
        <v>0</v>
      </c>
      <c r="IH142" s="650">
        <v>1806.1917239663592</v>
      </c>
      <c r="II142" s="564">
        <v>1806.1917239663592</v>
      </c>
      <c r="IJ142" s="565">
        <v>116.79639223282395</v>
      </c>
      <c r="IK142" s="649">
        <v>53.050422830584061</v>
      </c>
      <c r="IL142" s="646">
        <v>236.71979489821751</v>
      </c>
      <c r="IM142" s="646">
        <v>5.5620377971964006</v>
      </c>
      <c r="IN142" s="646">
        <v>11.992397264600241</v>
      </c>
      <c r="IO142" s="646">
        <v>75.338231845052036</v>
      </c>
      <c r="IP142" s="646">
        <v>45.326557450241999</v>
      </c>
      <c r="IQ142" s="646">
        <v>2125</v>
      </c>
      <c r="IR142" s="563" t="s">
        <v>68</v>
      </c>
      <c r="IS142" s="563">
        <v>4</v>
      </c>
      <c r="IT142" s="563">
        <v>1</v>
      </c>
      <c r="IU142" s="563">
        <v>12</v>
      </c>
      <c r="IV142" s="563">
        <v>51.902018993288948</v>
      </c>
      <c r="IW142" s="650">
        <v>3403.5945472480598</v>
      </c>
      <c r="IX142" s="563">
        <v>1</v>
      </c>
      <c r="IY142" s="563">
        <v>12</v>
      </c>
      <c r="IZ142" s="563">
        <v>67.467713151482982</v>
      </c>
      <c r="JA142" s="650">
        <v>3020.0728045664955</v>
      </c>
      <c r="JB142" s="564">
        <v>3020.0728045664955</v>
      </c>
      <c r="JC142" s="565">
        <v>195.2913432020591</v>
      </c>
      <c r="JD142" s="649">
        <v>53.050422830584061</v>
      </c>
      <c r="JE142" s="646">
        <v>219.16535983642086</v>
      </c>
      <c r="JF142" s="646">
        <v>0</v>
      </c>
      <c r="JG142" s="646">
        <v>0</v>
      </c>
      <c r="JH142" s="646">
        <v>72.366768728533756</v>
      </c>
      <c r="JI142" s="646">
        <v>40.327785267684717</v>
      </c>
      <c r="JJ142" s="646">
        <v>1700</v>
      </c>
      <c r="JK142" s="563" t="s">
        <v>67</v>
      </c>
      <c r="JL142" s="563">
        <v>4</v>
      </c>
      <c r="JM142" s="563">
        <v>0</v>
      </c>
      <c r="JN142" s="563">
        <v>0</v>
      </c>
      <c r="JO142" s="563">
        <v>0</v>
      </c>
      <c r="JP142" s="650">
        <v>2163.5242204269643</v>
      </c>
      <c r="JQ142" s="563">
        <v>0</v>
      </c>
      <c r="JR142" s="563">
        <v>0</v>
      </c>
      <c r="JS142" s="563">
        <v>0</v>
      </c>
      <c r="JT142" s="650">
        <v>2148.0593269330125</v>
      </c>
      <c r="JU142" s="564">
        <v>2148.0593269330125</v>
      </c>
      <c r="JV142" s="565">
        <v>138.90307233658694</v>
      </c>
      <c r="JW142" s="649">
        <v>53.050422830584061</v>
      </c>
      <c r="JX142" s="646">
        <v>219.16535983642086</v>
      </c>
      <c r="JY142" s="646">
        <v>0</v>
      </c>
      <c r="JZ142" s="646">
        <v>0</v>
      </c>
      <c r="KA142" s="646">
        <v>72.366768728533756</v>
      </c>
      <c r="KB142" s="646">
        <v>40.327785267684717</v>
      </c>
      <c r="KC142" s="646">
        <v>2125</v>
      </c>
      <c r="KD142" s="563" t="s">
        <v>67</v>
      </c>
      <c r="KE142" s="563">
        <v>4</v>
      </c>
      <c r="KF142" s="563">
        <v>0</v>
      </c>
      <c r="KG142" s="563">
        <v>0</v>
      </c>
      <c r="KH142" s="563">
        <v>0</v>
      </c>
      <c r="KI142" s="650">
        <v>2163.5242204269694</v>
      </c>
      <c r="KJ142" s="563">
        <v>0</v>
      </c>
      <c r="KK142" s="563">
        <v>0</v>
      </c>
      <c r="KL142" s="563">
        <v>0</v>
      </c>
      <c r="KM142" s="650">
        <v>2148.0593269340679</v>
      </c>
      <c r="KN142" s="564">
        <v>2148.0593269340679</v>
      </c>
      <c r="KO142" s="566">
        <v>138.90307233665524</v>
      </c>
    </row>
    <row r="143" spans="1:301" ht="15" customHeight="1">
      <c r="A143" s="782" t="s">
        <v>892</v>
      </c>
      <c r="B143" s="629" t="s">
        <v>382</v>
      </c>
      <c r="C143" s="629"/>
      <c r="D143" s="629"/>
      <c r="E143" s="629"/>
      <c r="F143" s="629"/>
      <c r="G143" s="629">
        <v>28</v>
      </c>
      <c r="H143" s="629"/>
      <c r="I143" s="629"/>
      <c r="J143" s="629"/>
      <c r="K143" s="629"/>
      <c r="L143" s="629"/>
      <c r="M143" s="629"/>
      <c r="N143" s="629"/>
      <c r="O143" s="623">
        <v>0</v>
      </c>
      <c r="P143" s="629"/>
      <c r="Q143" s="623">
        <v>0</v>
      </c>
      <c r="R143" s="629"/>
      <c r="S143" s="629"/>
      <c r="T143" s="645">
        <v>0</v>
      </c>
      <c r="U143" s="645">
        <v>0</v>
      </c>
      <c r="V143" s="645">
        <v>10</v>
      </c>
      <c r="W143" s="793">
        <v>0</v>
      </c>
      <c r="X143" s="646">
        <v>0</v>
      </c>
      <c r="Y143" s="646">
        <v>0</v>
      </c>
      <c r="Z143" s="646">
        <v>0</v>
      </c>
      <c r="AA143" s="646">
        <v>0</v>
      </c>
      <c r="AB143" s="647">
        <v>0</v>
      </c>
      <c r="AC143" s="784">
        <v>0</v>
      </c>
      <c r="AD143" s="631"/>
      <c r="AE143" s="631"/>
      <c r="AF143" s="631"/>
      <c r="AG143" s="631"/>
      <c r="AH143" s="629"/>
      <c r="AI143" s="648">
        <v>0</v>
      </c>
      <c r="AJ143" s="649">
        <v>0</v>
      </c>
      <c r="AK143" s="646">
        <v>0</v>
      </c>
      <c r="AL143" s="646">
        <v>0</v>
      </c>
      <c r="AM143" s="646">
        <v>0</v>
      </c>
      <c r="AN143" s="646" t="e">
        <v>#DIV/0!</v>
      </c>
      <c r="AO143" s="646">
        <v>0</v>
      </c>
      <c r="AP143" s="801"/>
      <c r="AQ143" s="563"/>
      <c r="AR143" s="563"/>
      <c r="AS143" s="563"/>
      <c r="AT143" s="563"/>
      <c r="AU143" s="563"/>
      <c r="AV143" s="650">
        <v>0</v>
      </c>
      <c r="AW143" s="563"/>
      <c r="AX143" s="563"/>
      <c r="AY143" s="563"/>
      <c r="AZ143" s="650">
        <v>0</v>
      </c>
      <c r="BA143" s="564">
        <v>0</v>
      </c>
      <c r="BB143" s="565">
        <v>0</v>
      </c>
      <c r="BC143" s="649">
        <v>0</v>
      </c>
      <c r="BD143" s="646">
        <v>0</v>
      </c>
      <c r="BE143" s="646">
        <v>0</v>
      </c>
      <c r="BF143" s="646">
        <v>0</v>
      </c>
      <c r="BG143" s="646" t="e">
        <v>#DIV/0!</v>
      </c>
      <c r="BH143" s="646">
        <v>0</v>
      </c>
      <c r="BI143" s="646">
        <v>0</v>
      </c>
      <c r="BJ143" s="563"/>
      <c r="BK143" s="563"/>
      <c r="BL143" s="563"/>
      <c r="BM143" s="563"/>
      <c r="BN143" s="563"/>
      <c r="BO143" s="650">
        <v>0</v>
      </c>
      <c r="BP143" s="563"/>
      <c r="BQ143" s="563"/>
      <c r="BR143" s="563"/>
      <c r="BS143" s="650">
        <v>0</v>
      </c>
      <c r="BT143" s="564">
        <v>0</v>
      </c>
      <c r="BU143" s="565">
        <v>0</v>
      </c>
      <c r="BV143" s="649">
        <v>0</v>
      </c>
      <c r="BW143" s="646">
        <v>0</v>
      </c>
      <c r="BX143" s="646">
        <v>0</v>
      </c>
      <c r="BY143" s="646">
        <v>0</v>
      </c>
      <c r="BZ143" s="646" t="e">
        <v>#DIV/0!</v>
      </c>
      <c r="CA143" s="646">
        <v>0</v>
      </c>
      <c r="CB143" s="646">
        <v>3600</v>
      </c>
      <c r="CC143" s="563"/>
      <c r="CD143" s="563"/>
      <c r="CE143" s="563"/>
      <c r="CF143" s="563"/>
      <c r="CG143" s="563"/>
      <c r="CH143" s="650">
        <v>0</v>
      </c>
      <c r="CI143" s="563"/>
      <c r="CJ143" s="563"/>
      <c r="CK143" s="563"/>
      <c r="CL143" s="650">
        <v>0</v>
      </c>
      <c r="CM143" s="564">
        <v>0</v>
      </c>
      <c r="CN143" s="565">
        <v>0</v>
      </c>
      <c r="CO143" s="649">
        <v>0</v>
      </c>
      <c r="CP143" s="646">
        <v>0</v>
      </c>
      <c r="CQ143" s="646">
        <v>0</v>
      </c>
      <c r="CR143" s="646">
        <v>0</v>
      </c>
      <c r="CS143" s="646" t="e">
        <v>#DIV/0!</v>
      </c>
      <c r="CT143" s="646">
        <v>0</v>
      </c>
      <c r="CU143" s="646">
        <v>3600</v>
      </c>
      <c r="CV143" s="563"/>
      <c r="CW143" s="563"/>
      <c r="CX143" s="563"/>
      <c r="CY143" s="563"/>
      <c r="CZ143" s="563"/>
      <c r="DA143" s="650">
        <v>0</v>
      </c>
      <c r="DB143" s="563"/>
      <c r="DC143" s="563"/>
      <c r="DD143" s="563"/>
      <c r="DE143" s="650">
        <v>0</v>
      </c>
      <c r="DF143" s="564">
        <v>0</v>
      </c>
      <c r="DG143" s="565">
        <v>0</v>
      </c>
      <c r="DH143" s="649">
        <v>0</v>
      </c>
      <c r="DI143" s="646">
        <v>0</v>
      </c>
      <c r="DJ143" s="646">
        <v>0</v>
      </c>
      <c r="DK143" s="646">
        <v>0</v>
      </c>
      <c r="DL143" s="646" t="e">
        <v>#DIV/0!</v>
      </c>
      <c r="DM143" s="646">
        <v>0</v>
      </c>
      <c r="DN143" s="646">
        <v>3600</v>
      </c>
      <c r="DO143" s="563"/>
      <c r="DP143" s="563"/>
      <c r="DQ143" s="563"/>
      <c r="DR143" s="563"/>
      <c r="DS143" s="563"/>
      <c r="DT143" s="650">
        <v>0</v>
      </c>
      <c r="DU143" s="563"/>
      <c r="DV143" s="563"/>
      <c r="DW143" s="563"/>
      <c r="DX143" s="650">
        <v>0</v>
      </c>
      <c r="DY143" s="564">
        <v>0</v>
      </c>
      <c r="DZ143" s="565">
        <v>0</v>
      </c>
      <c r="EA143" s="649">
        <v>0</v>
      </c>
      <c r="EB143" s="646">
        <v>0</v>
      </c>
      <c r="EC143" s="646">
        <v>0</v>
      </c>
      <c r="ED143" s="646">
        <v>0</v>
      </c>
      <c r="EE143" s="646" t="e">
        <v>#DIV/0!</v>
      </c>
      <c r="EF143" s="646">
        <v>0</v>
      </c>
      <c r="EG143" s="646">
        <v>3600</v>
      </c>
      <c r="EH143" s="563"/>
      <c r="EI143" s="563"/>
      <c r="EJ143" s="563"/>
      <c r="EK143" s="563"/>
      <c r="EL143" s="563"/>
      <c r="EM143" s="650">
        <v>0</v>
      </c>
      <c r="EN143" s="563"/>
      <c r="EO143" s="563"/>
      <c r="EP143" s="563"/>
      <c r="EQ143" s="650">
        <v>0</v>
      </c>
      <c r="ER143" s="564">
        <v>0</v>
      </c>
      <c r="ES143" s="565">
        <v>0</v>
      </c>
      <c r="ET143" s="649">
        <v>0</v>
      </c>
      <c r="EU143" s="646">
        <v>0</v>
      </c>
      <c r="EV143" s="646">
        <v>0</v>
      </c>
      <c r="EW143" s="646">
        <v>0</v>
      </c>
      <c r="EX143" s="646" t="e">
        <v>#DIV/0!</v>
      </c>
      <c r="EY143" s="646">
        <v>0</v>
      </c>
      <c r="EZ143" s="646">
        <v>3600</v>
      </c>
      <c r="FA143" s="563"/>
      <c r="FB143" s="563"/>
      <c r="FC143" s="563"/>
      <c r="FD143" s="563"/>
      <c r="FE143" s="563"/>
      <c r="FF143" s="650">
        <v>0</v>
      </c>
      <c r="FG143" s="563"/>
      <c r="FH143" s="563"/>
      <c r="FI143" s="563"/>
      <c r="FJ143" s="650">
        <v>0</v>
      </c>
      <c r="FK143" s="564">
        <v>0</v>
      </c>
      <c r="FL143" s="565">
        <v>0</v>
      </c>
      <c r="FM143" s="649">
        <v>0</v>
      </c>
      <c r="FN143" s="646">
        <v>0</v>
      </c>
      <c r="FO143" s="646">
        <v>0</v>
      </c>
      <c r="FP143" s="646">
        <v>0</v>
      </c>
      <c r="FQ143" s="646" t="e">
        <v>#DIV/0!</v>
      </c>
      <c r="FR143" s="646">
        <v>0</v>
      </c>
      <c r="FS143" s="646">
        <v>3600</v>
      </c>
      <c r="FT143" s="563"/>
      <c r="FU143" s="563"/>
      <c r="FV143" s="563"/>
      <c r="FW143" s="563"/>
      <c r="FX143" s="563"/>
      <c r="FY143" s="650">
        <v>0</v>
      </c>
      <c r="FZ143" s="563"/>
      <c r="GA143" s="563"/>
      <c r="GB143" s="563"/>
      <c r="GC143" s="650">
        <v>0</v>
      </c>
      <c r="GD143" s="564">
        <v>0</v>
      </c>
      <c r="GE143" s="565">
        <v>0</v>
      </c>
      <c r="GF143" s="649">
        <v>0</v>
      </c>
      <c r="GG143" s="646">
        <v>0</v>
      </c>
      <c r="GH143" s="646">
        <v>0</v>
      </c>
      <c r="GI143" s="646">
        <v>0</v>
      </c>
      <c r="GJ143" s="646" t="e">
        <v>#DIV/0!</v>
      </c>
      <c r="GK143" s="646">
        <v>0</v>
      </c>
      <c r="GL143" s="646">
        <v>3600</v>
      </c>
      <c r="GM143" s="563"/>
      <c r="GN143" s="563"/>
      <c r="GO143" s="563"/>
      <c r="GP143" s="563"/>
      <c r="GQ143" s="563"/>
      <c r="GR143" s="650">
        <v>0</v>
      </c>
      <c r="GS143" s="563"/>
      <c r="GT143" s="563"/>
      <c r="GU143" s="563"/>
      <c r="GV143" s="650">
        <v>0</v>
      </c>
      <c r="GW143" s="564">
        <v>0</v>
      </c>
      <c r="GX143" s="565">
        <v>0</v>
      </c>
      <c r="GY143" s="649">
        <v>0</v>
      </c>
      <c r="GZ143" s="646">
        <v>0</v>
      </c>
      <c r="HA143" s="646">
        <v>0</v>
      </c>
      <c r="HB143" s="646">
        <v>0</v>
      </c>
      <c r="HC143" s="646" t="e">
        <v>#DIV/0!</v>
      </c>
      <c r="HD143" s="646">
        <v>0</v>
      </c>
      <c r="HE143" s="646">
        <v>3600</v>
      </c>
      <c r="HF143" s="563"/>
      <c r="HG143" s="563"/>
      <c r="HH143" s="563"/>
      <c r="HI143" s="563"/>
      <c r="HJ143" s="563"/>
      <c r="HK143" s="650">
        <v>0</v>
      </c>
      <c r="HL143" s="563"/>
      <c r="HM143" s="563"/>
      <c r="HN143" s="563"/>
      <c r="HO143" s="650">
        <v>0</v>
      </c>
      <c r="HP143" s="564">
        <v>0</v>
      </c>
      <c r="HQ143" s="565">
        <v>0</v>
      </c>
      <c r="HR143" s="649">
        <v>0</v>
      </c>
      <c r="HS143" s="646">
        <v>0</v>
      </c>
      <c r="HT143" s="646">
        <v>0</v>
      </c>
      <c r="HU143" s="646">
        <v>0</v>
      </c>
      <c r="HV143" s="646" t="e">
        <v>#DIV/0!</v>
      </c>
      <c r="HW143" s="646">
        <v>0</v>
      </c>
      <c r="HX143" s="646">
        <v>3600</v>
      </c>
      <c r="HY143" s="563"/>
      <c r="HZ143" s="563"/>
      <c r="IA143" s="563"/>
      <c r="IB143" s="563"/>
      <c r="IC143" s="563"/>
      <c r="ID143" s="650">
        <v>0</v>
      </c>
      <c r="IE143" s="563"/>
      <c r="IF143" s="563"/>
      <c r="IG143" s="563"/>
      <c r="IH143" s="650">
        <v>0</v>
      </c>
      <c r="II143" s="564">
        <v>0</v>
      </c>
      <c r="IJ143" s="565">
        <v>0</v>
      </c>
      <c r="IK143" s="649">
        <v>0</v>
      </c>
      <c r="IL143" s="646">
        <v>0</v>
      </c>
      <c r="IM143" s="646">
        <v>0</v>
      </c>
      <c r="IN143" s="646">
        <v>0</v>
      </c>
      <c r="IO143" s="646" t="e">
        <v>#DIV/0!</v>
      </c>
      <c r="IP143" s="646">
        <v>0</v>
      </c>
      <c r="IQ143" s="646">
        <v>3600</v>
      </c>
      <c r="IR143" s="563"/>
      <c r="IS143" s="563"/>
      <c r="IT143" s="563"/>
      <c r="IU143" s="563"/>
      <c r="IV143" s="563"/>
      <c r="IW143" s="650">
        <v>0</v>
      </c>
      <c r="IX143" s="563"/>
      <c r="IY143" s="563"/>
      <c r="IZ143" s="563"/>
      <c r="JA143" s="650">
        <v>0</v>
      </c>
      <c r="JB143" s="564">
        <v>0</v>
      </c>
      <c r="JC143" s="565">
        <v>0</v>
      </c>
      <c r="JD143" s="649">
        <v>0</v>
      </c>
      <c r="JE143" s="646">
        <v>0</v>
      </c>
      <c r="JF143" s="646">
        <v>0</v>
      </c>
      <c r="JG143" s="646">
        <v>0</v>
      </c>
      <c r="JH143" s="646" t="e">
        <v>#DIV/0!</v>
      </c>
      <c r="JI143" s="646">
        <v>0</v>
      </c>
      <c r="JJ143" s="646">
        <v>3600</v>
      </c>
      <c r="JK143" s="563"/>
      <c r="JL143" s="563"/>
      <c r="JM143" s="563"/>
      <c r="JN143" s="563"/>
      <c r="JO143" s="563"/>
      <c r="JP143" s="650">
        <v>0</v>
      </c>
      <c r="JQ143" s="563"/>
      <c r="JR143" s="563"/>
      <c r="JS143" s="563"/>
      <c r="JT143" s="650">
        <v>0</v>
      </c>
      <c r="JU143" s="564">
        <v>0</v>
      </c>
      <c r="JV143" s="565">
        <v>0</v>
      </c>
      <c r="JW143" s="649">
        <v>0</v>
      </c>
      <c r="JX143" s="646">
        <v>0</v>
      </c>
      <c r="JY143" s="646">
        <v>0</v>
      </c>
      <c r="JZ143" s="646">
        <v>0</v>
      </c>
      <c r="KA143" s="646" t="e">
        <v>#DIV/0!</v>
      </c>
      <c r="KB143" s="646">
        <v>0</v>
      </c>
      <c r="KC143" s="646">
        <v>3600</v>
      </c>
      <c r="KD143" s="563"/>
      <c r="KE143" s="563"/>
      <c r="KF143" s="563"/>
      <c r="KG143" s="563"/>
      <c r="KH143" s="563"/>
      <c r="KI143" s="650">
        <v>0</v>
      </c>
      <c r="KJ143" s="563"/>
      <c r="KK143" s="563"/>
      <c r="KL143" s="563"/>
      <c r="KM143" s="650">
        <v>0</v>
      </c>
      <c r="KN143" s="564">
        <v>0</v>
      </c>
      <c r="KO143" s="566">
        <v>0</v>
      </c>
    </row>
    <row r="144" spans="1:301" s="634" customFormat="1" ht="15" customHeight="1">
      <c r="A144" s="782" t="s">
        <v>893</v>
      </c>
      <c r="B144" s="629" t="s">
        <v>382</v>
      </c>
      <c r="C144" s="629"/>
      <c r="D144" s="629"/>
      <c r="E144" s="629"/>
      <c r="F144" s="629"/>
      <c r="G144" s="629">
        <v>28</v>
      </c>
      <c r="H144" s="629"/>
      <c r="I144" s="629"/>
      <c r="J144" s="629"/>
      <c r="K144" s="629"/>
      <c r="L144" s="629"/>
      <c r="M144" s="629"/>
      <c r="N144" s="629"/>
      <c r="O144" s="623">
        <v>0</v>
      </c>
      <c r="P144" s="629"/>
      <c r="Q144" s="623">
        <v>0</v>
      </c>
      <c r="R144" s="629"/>
      <c r="S144" s="629"/>
      <c r="T144" s="645">
        <v>0</v>
      </c>
      <c r="U144" s="645">
        <v>0</v>
      </c>
      <c r="V144" s="645">
        <v>10</v>
      </c>
      <c r="W144" s="793">
        <v>0</v>
      </c>
      <c r="X144" s="646">
        <v>0</v>
      </c>
      <c r="Y144" s="646">
        <v>0</v>
      </c>
      <c r="Z144" s="646">
        <v>0</v>
      </c>
      <c r="AA144" s="646">
        <v>0</v>
      </c>
      <c r="AB144" s="647">
        <v>0</v>
      </c>
      <c r="AC144" s="784">
        <v>0</v>
      </c>
      <c r="AD144" s="631"/>
      <c r="AE144" s="631"/>
      <c r="AF144" s="631"/>
      <c r="AG144" s="631"/>
      <c r="AH144" s="629"/>
      <c r="AI144" s="648">
        <v>0</v>
      </c>
      <c r="AJ144" s="649">
        <v>0</v>
      </c>
      <c r="AK144" s="646">
        <v>0</v>
      </c>
      <c r="AL144" s="646">
        <v>0</v>
      </c>
      <c r="AM144" s="646">
        <v>0</v>
      </c>
      <c r="AN144" s="646" t="e">
        <v>#DIV/0!</v>
      </c>
      <c r="AO144" s="646">
        <v>0</v>
      </c>
      <c r="AP144" s="801"/>
      <c r="AQ144" s="563"/>
      <c r="AR144" s="563"/>
      <c r="AS144" s="563"/>
      <c r="AT144" s="563"/>
      <c r="AU144" s="563"/>
      <c r="AV144" s="650">
        <v>0</v>
      </c>
      <c r="AW144" s="563"/>
      <c r="AX144" s="563"/>
      <c r="AY144" s="563"/>
      <c r="AZ144" s="650">
        <v>0</v>
      </c>
      <c r="BA144" s="564">
        <v>0</v>
      </c>
      <c r="BB144" s="565">
        <v>0</v>
      </c>
      <c r="BC144" s="649">
        <v>0</v>
      </c>
      <c r="BD144" s="646">
        <v>0</v>
      </c>
      <c r="BE144" s="646">
        <v>0</v>
      </c>
      <c r="BF144" s="646">
        <v>0</v>
      </c>
      <c r="BG144" s="646" t="e">
        <v>#DIV/0!</v>
      </c>
      <c r="BH144" s="646">
        <v>0</v>
      </c>
      <c r="BI144" s="646">
        <v>0</v>
      </c>
      <c r="BJ144" s="563"/>
      <c r="BK144" s="563"/>
      <c r="BL144" s="563"/>
      <c r="BM144" s="563"/>
      <c r="BN144" s="563"/>
      <c r="BO144" s="650">
        <v>0</v>
      </c>
      <c r="BP144" s="563"/>
      <c r="BQ144" s="563"/>
      <c r="BR144" s="563"/>
      <c r="BS144" s="650">
        <v>0</v>
      </c>
      <c r="BT144" s="564">
        <v>0</v>
      </c>
      <c r="BU144" s="565">
        <v>0</v>
      </c>
      <c r="BV144" s="649">
        <v>0</v>
      </c>
      <c r="BW144" s="646">
        <v>0</v>
      </c>
      <c r="BX144" s="646">
        <v>0</v>
      </c>
      <c r="BY144" s="646">
        <v>0</v>
      </c>
      <c r="BZ144" s="646" t="e">
        <v>#DIV/0!</v>
      </c>
      <c r="CA144" s="646">
        <v>0</v>
      </c>
      <c r="CB144" s="646">
        <v>3600</v>
      </c>
      <c r="CC144" s="563"/>
      <c r="CD144" s="563"/>
      <c r="CE144" s="563"/>
      <c r="CF144" s="563"/>
      <c r="CG144" s="563"/>
      <c r="CH144" s="650">
        <v>0</v>
      </c>
      <c r="CI144" s="563"/>
      <c r="CJ144" s="563"/>
      <c r="CK144" s="563"/>
      <c r="CL144" s="650">
        <v>0</v>
      </c>
      <c r="CM144" s="564">
        <v>0</v>
      </c>
      <c r="CN144" s="565">
        <v>0</v>
      </c>
      <c r="CO144" s="649">
        <v>0</v>
      </c>
      <c r="CP144" s="646">
        <v>0</v>
      </c>
      <c r="CQ144" s="646">
        <v>0</v>
      </c>
      <c r="CR144" s="646">
        <v>0</v>
      </c>
      <c r="CS144" s="646" t="e">
        <v>#DIV/0!</v>
      </c>
      <c r="CT144" s="646">
        <v>0</v>
      </c>
      <c r="CU144" s="646">
        <v>3600</v>
      </c>
      <c r="CV144" s="563"/>
      <c r="CW144" s="563"/>
      <c r="CX144" s="563"/>
      <c r="CY144" s="563"/>
      <c r="CZ144" s="563"/>
      <c r="DA144" s="650">
        <v>0</v>
      </c>
      <c r="DB144" s="563"/>
      <c r="DC144" s="563"/>
      <c r="DD144" s="563"/>
      <c r="DE144" s="650">
        <v>0</v>
      </c>
      <c r="DF144" s="564">
        <v>0</v>
      </c>
      <c r="DG144" s="565">
        <v>0</v>
      </c>
      <c r="DH144" s="649">
        <v>0</v>
      </c>
      <c r="DI144" s="646">
        <v>0</v>
      </c>
      <c r="DJ144" s="646">
        <v>0</v>
      </c>
      <c r="DK144" s="646">
        <v>0</v>
      </c>
      <c r="DL144" s="646" t="e">
        <v>#DIV/0!</v>
      </c>
      <c r="DM144" s="646">
        <v>0</v>
      </c>
      <c r="DN144" s="646">
        <v>3600</v>
      </c>
      <c r="DO144" s="563"/>
      <c r="DP144" s="563"/>
      <c r="DQ144" s="563"/>
      <c r="DR144" s="563"/>
      <c r="DS144" s="563"/>
      <c r="DT144" s="650">
        <v>0</v>
      </c>
      <c r="DU144" s="563"/>
      <c r="DV144" s="563"/>
      <c r="DW144" s="563"/>
      <c r="DX144" s="650">
        <v>0</v>
      </c>
      <c r="DY144" s="564">
        <v>0</v>
      </c>
      <c r="DZ144" s="565">
        <v>0</v>
      </c>
      <c r="EA144" s="649">
        <v>0</v>
      </c>
      <c r="EB144" s="646">
        <v>0</v>
      </c>
      <c r="EC144" s="646">
        <v>0</v>
      </c>
      <c r="ED144" s="646">
        <v>0</v>
      </c>
      <c r="EE144" s="646" t="e">
        <v>#DIV/0!</v>
      </c>
      <c r="EF144" s="646">
        <v>0</v>
      </c>
      <c r="EG144" s="646">
        <v>3600</v>
      </c>
      <c r="EH144" s="563"/>
      <c r="EI144" s="563"/>
      <c r="EJ144" s="563"/>
      <c r="EK144" s="563"/>
      <c r="EL144" s="563"/>
      <c r="EM144" s="650">
        <v>0</v>
      </c>
      <c r="EN144" s="563"/>
      <c r="EO144" s="563"/>
      <c r="EP144" s="563"/>
      <c r="EQ144" s="650">
        <v>0</v>
      </c>
      <c r="ER144" s="564">
        <v>0</v>
      </c>
      <c r="ES144" s="565">
        <v>0</v>
      </c>
      <c r="ET144" s="649">
        <v>0</v>
      </c>
      <c r="EU144" s="646">
        <v>0</v>
      </c>
      <c r="EV144" s="646">
        <v>0</v>
      </c>
      <c r="EW144" s="646">
        <v>0</v>
      </c>
      <c r="EX144" s="646" t="e">
        <v>#DIV/0!</v>
      </c>
      <c r="EY144" s="646">
        <v>0</v>
      </c>
      <c r="EZ144" s="646">
        <v>3600</v>
      </c>
      <c r="FA144" s="563"/>
      <c r="FB144" s="563"/>
      <c r="FC144" s="563"/>
      <c r="FD144" s="563"/>
      <c r="FE144" s="563"/>
      <c r="FF144" s="650">
        <v>0</v>
      </c>
      <c r="FG144" s="563"/>
      <c r="FH144" s="563"/>
      <c r="FI144" s="563"/>
      <c r="FJ144" s="650">
        <v>0</v>
      </c>
      <c r="FK144" s="564">
        <v>0</v>
      </c>
      <c r="FL144" s="565">
        <v>0</v>
      </c>
      <c r="FM144" s="649">
        <v>0</v>
      </c>
      <c r="FN144" s="646">
        <v>0</v>
      </c>
      <c r="FO144" s="646">
        <v>0</v>
      </c>
      <c r="FP144" s="646">
        <v>0</v>
      </c>
      <c r="FQ144" s="646" t="e">
        <v>#DIV/0!</v>
      </c>
      <c r="FR144" s="646">
        <v>0</v>
      </c>
      <c r="FS144" s="646">
        <v>3600</v>
      </c>
      <c r="FT144" s="563"/>
      <c r="FU144" s="563"/>
      <c r="FV144" s="563"/>
      <c r="FW144" s="563"/>
      <c r="FX144" s="563"/>
      <c r="FY144" s="650">
        <v>0</v>
      </c>
      <c r="FZ144" s="563"/>
      <c r="GA144" s="563"/>
      <c r="GB144" s="563"/>
      <c r="GC144" s="650">
        <v>0</v>
      </c>
      <c r="GD144" s="564">
        <v>0</v>
      </c>
      <c r="GE144" s="565">
        <v>0</v>
      </c>
      <c r="GF144" s="649">
        <v>0</v>
      </c>
      <c r="GG144" s="646">
        <v>0</v>
      </c>
      <c r="GH144" s="646">
        <v>0</v>
      </c>
      <c r="GI144" s="646">
        <v>0</v>
      </c>
      <c r="GJ144" s="646" t="e">
        <v>#DIV/0!</v>
      </c>
      <c r="GK144" s="646">
        <v>0</v>
      </c>
      <c r="GL144" s="646">
        <v>3600</v>
      </c>
      <c r="GM144" s="563"/>
      <c r="GN144" s="563"/>
      <c r="GO144" s="563"/>
      <c r="GP144" s="563"/>
      <c r="GQ144" s="563"/>
      <c r="GR144" s="650">
        <v>0</v>
      </c>
      <c r="GS144" s="563"/>
      <c r="GT144" s="563"/>
      <c r="GU144" s="563"/>
      <c r="GV144" s="650">
        <v>0</v>
      </c>
      <c r="GW144" s="564">
        <v>0</v>
      </c>
      <c r="GX144" s="565">
        <v>0</v>
      </c>
      <c r="GY144" s="649">
        <v>0</v>
      </c>
      <c r="GZ144" s="646">
        <v>0</v>
      </c>
      <c r="HA144" s="646">
        <v>0</v>
      </c>
      <c r="HB144" s="646">
        <v>0</v>
      </c>
      <c r="HC144" s="646" t="e">
        <v>#DIV/0!</v>
      </c>
      <c r="HD144" s="646">
        <v>0</v>
      </c>
      <c r="HE144" s="646">
        <v>3600</v>
      </c>
      <c r="HF144" s="563"/>
      <c r="HG144" s="563"/>
      <c r="HH144" s="563"/>
      <c r="HI144" s="563"/>
      <c r="HJ144" s="563"/>
      <c r="HK144" s="650">
        <v>0</v>
      </c>
      <c r="HL144" s="563"/>
      <c r="HM144" s="563"/>
      <c r="HN144" s="563"/>
      <c r="HO144" s="650">
        <v>0</v>
      </c>
      <c r="HP144" s="564">
        <v>0</v>
      </c>
      <c r="HQ144" s="565">
        <v>0</v>
      </c>
      <c r="HR144" s="649">
        <v>0</v>
      </c>
      <c r="HS144" s="646">
        <v>0</v>
      </c>
      <c r="HT144" s="646">
        <v>0</v>
      </c>
      <c r="HU144" s="646">
        <v>0</v>
      </c>
      <c r="HV144" s="646" t="e">
        <v>#DIV/0!</v>
      </c>
      <c r="HW144" s="646">
        <v>0</v>
      </c>
      <c r="HX144" s="646">
        <v>3600</v>
      </c>
      <c r="HY144" s="563"/>
      <c r="HZ144" s="563"/>
      <c r="IA144" s="563"/>
      <c r="IB144" s="563"/>
      <c r="IC144" s="563"/>
      <c r="ID144" s="650">
        <v>0</v>
      </c>
      <c r="IE144" s="563"/>
      <c r="IF144" s="563"/>
      <c r="IG144" s="563"/>
      <c r="IH144" s="650">
        <v>0</v>
      </c>
      <c r="II144" s="564">
        <v>0</v>
      </c>
      <c r="IJ144" s="565">
        <v>0</v>
      </c>
      <c r="IK144" s="649">
        <v>0</v>
      </c>
      <c r="IL144" s="646">
        <v>0</v>
      </c>
      <c r="IM144" s="646">
        <v>0</v>
      </c>
      <c r="IN144" s="646">
        <v>0</v>
      </c>
      <c r="IO144" s="646" t="e">
        <v>#DIV/0!</v>
      </c>
      <c r="IP144" s="646">
        <v>0</v>
      </c>
      <c r="IQ144" s="646">
        <v>3600</v>
      </c>
      <c r="IR144" s="563"/>
      <c r="IS144" s="563"/>
      <c r="IT144" s="563"/>
      <c r="IU144" s="563"/>
      <c r="IV144" s="563"/>
      <c r="IW144" s="650">
        <v>0</v>
      </c>
      <c r="IX144" s="563"/>
      <c r="IY144" s="563"/>
      <c r="IZ144" s="563"/>
      <c r="JA144" s="650">
        <v>0</v>
      </c>
      <c r="JB144" s="564">
        <v>0</v>
      </c>
      <c r="JC144" s="565">
        <v>0</v>
      </c>
      <c r="JD144" s="649">
        <v>0</v>
      </c>
      <c r="JE144" s="646">
        <v>0</v>
      </c>
      <c r="JF144" s="646">
        <v>0</v>
      </c>
      <c r="JG144" s="646">
        <v>0</v>
      </c>
      <c r="JH144" s="646" t="e">
        <v>#DIV/0!</v>
      </c>
      <c r="JI144" s="646">
        <v>0</v>
      </c>
      <c r="JJ144" s="646">
        <v>3600</v>
      </c>
      <c r="JK144" s="563"/>
      <c r="JL144" s="563"/>
      <c r="JM144" s="563"/>
      <c r="JN144" s="563"/>
      <c r="JO144" s="563"/>
      <c r="JP144" s="650">
        <v>0</v>
      </c>
      <c r="JQ144" s="563"/>
      <c r="JR144" s="563"/>
      <c r="JS144" s="563"/>
      <c r="JT144" s="650">
        <v>0</v>
      </c>
      <c r="JU144" s="564">
        <v>0</v>
      </c>
      <c r="JV144" s="565">
        <v>0</v>
      </c>
      <c r="JW144" s="649">
        <v>0</v>
      </c>
      <c r="JX144" s="646">
        <v>0</v>
      </c>
      <c r="JY144" s="646">
        <v>0</v>
      </c>
      <c r="JZ144" s="646">
        <v>0</v>
      </c>
      <c r="KA144" s="646" t="e">
        <v>#DIV/0!</v>
      </c>
      <c r="KB144" s="646">
        <v>0</v>
      </c>
      <c r="KC144" s="646">
        <v>3600</v>
      </c>
      <c r="KD144" s="563"/>
      <c r="KE144" s="563"/>
      <c r="KF144" s="563"/>
      <c r="KG144" s="563"/>
      <c r="KH144" s="563"/>
      <c r="KI144" s="650">
        <v>0</v>
      </c>
      <c r="KJ144" s="563"/>
      <c r="KK144" s="563"/>
      <c r="KL144" s="563"/>
      <c r="KM144" s="650">
        <v>0</v>
      </c>
      <c r="KN144" s="564">
        <v>0</v>
      </c>
      <c r="KO144" s="566">
        <v>0</v>
      </c>
    </row>
    <row r="145" spans="1:301" s="634" customFormat="1" ht="15" customHeight="1">
      <c r="A145" s="663" t="s">
        <v>894</v>
      </c>
      <c r="B145" s="629" t="s">
        <v>382</v>
      </c>
      <c r="C145" s="629">
        <v>190</v>
      </c>
      <c r="D145" s="629">
        <v>402</v>
      </c>
      <c r="E145" s="629">
        <v>170</v>
      </c>
      <c r="F145" s="629">
        <v>190</v>
      </c>
      <c r="G145" s="629">
        <v>54</v>
      </c>
      <c r="H145" s="629">
        <v>40</v>
      </c>
      <c r="I145" s="629">
        <v>40</v>
      </c>
      <c r="J145" s="629"/>
      <c r="K145" s="629"/>
      <c r="L145" s="629">
        <v>16</v>
      </c>
      <c r="M145" s="629">
        <v>135</v>
      </c>
      <c r="N145" s="629">
        <v>2</v>
      </c>
      <c r="O145" s="623">
        <v>1.6363400026452712</v>
      </c>
      <c r="P145" s="629">
        <v>2</v>
      </c>
      <c r="Q145" s="623">
        <v>1.9926987113235954</v>
      </c>
      <c r="R145" s="629"/>
      <c r="S145" s="629"/>
      <c r="T145" s="645">
        <v>0</v>
      </c>
      <c r="U145" s="645">
        <v>0</v>
      </c>
      <c r="V145" s="645">
        <v>47.5</v>
      </c>
      <c r="W145" s="793">
        <v>0</v>
      </c>
      <c r="X145" s="646">
        <v>0</v>
      </c>
      <c r="Y145" s="646">
        <v>0</v>
      </c>
      <c r="Z145" s="646">
        <v>0</v>
      </c>
      <c r="AA145" s="646">
        <v>0</v>
      </c>
      <c r="AB145" s="647">
        <v>0</v>
      </c>
      <c r="AC145" s="784">
        <v>0</v>
      </c>
      <c r="AD145" s="631"/>
      <c r="AE145" s="631"/>
      <c r="AF145" s="631"/>
      <c r="AG145" s="631"/>
      <c r="AH145" s="629"/>
      <c r="AI145" s="648">
        <v>0.62378819179342915</v>
      </c>
      <c r="AJ145" s="649">
        <v>0</v>
      </c>
      <c r="AK145" s="646">
        <v>3.6290387139688667</v>
      </c>
      <c r="AL145" s="646">
        <v>0</v>
      </c>
      <c r="AM145" s="646">
        <v>0</v>
      </c>
      <c r="AN145" s="646">
        <v>18.585169278442994</v>
      </c>
      <c r="AO145" s="646">
        <v>7.9219674801084133E-2</v>
      </c>
      <c r="AP145" s="801"/>
      <c r="AQ145" s="563"/>
      <c r="AR145" s="563"/>
      <c r="AS145" s="563"/>
      <c r="AT145" s="563"/>
      <c r="AU145" s="563"/>
      <c r="AV145" s="650">
        <v>0</v>
      </c>
      <c r="AW145" s="563"/>
      <c r="AX145" s="563"/>
      <c r="AY145" s="563"/>
      <c r="AZ145" s="650">
        <v>0</v>
      </c>
      <c r="BA145" s="564">
        <v>0</v>
      </c>
      <c r="BB145" s="565">
        <v>0</v>
      </c>
      <c r="BC145" s="649">
        <v>0</v>
      </c>
      <c r="BD145" s="646">
        <v>3.6290387139688667</v>
      </c>
      <c r="BE145" s="646">
        <v>0</v>
      </c>
      <c r="BF145" s="646">
        <v>0</v>
      </c>
      <c r="BG145" s="646">
        <v>18.585169278442994</v>
      </c>
      <c r="BH145" s="646">
        <v>7.9219674801084133E-2</v>
      </c>
      <c r="BI145" s="646">
        <v>0</v>
      </c>
      <c r="BJ145" s="563"/>
      <c r="BK145" s="563"/>
      <c r="BL145" s="563"/>
      <c r="BM145" s="563"/>
      <c r="BN145" s="563"/>
      <c r="BO145" s="650">
        <v>0</v>
      </c>
      <c r="BP145" s="563"/>
      <c r="BQ145" s="563"/>
      <c r="BR145" s="563"/>
      <c r="BS145" s="650">
        <v>0</v>
      </c>
      <c r="BT145" s="564">
        <v>0</v>
      </c>
      <c r="BU145" s="565">
        <v>0</v>
      </c>
      <c r="BV145" s="649">
        <v>0</v>
      </c>
      <c r="BW145" s="646">
        <v>3.6290387139688667</v>
      </c>
      <c r="BX145" s="646">
        <v>0</v>
      </c>
      <c r="BY145" s="646">
        <v>0</v>
      </c>
      <c r="BZ145" s="646">
        <v>18.585169278442994</v>
      </c>
      <c r="CA145" s="646">
        <v>7.9219674801084133E-2</v>
      </c>
      <c r="CB145" s="646">
        <v>3600</v>
      </c>
      <c r="CC145" s="563"/>
      <c r="CD145" s="563"/>
      <c r="CE145" s="563"/>
      <c r="CF145" s="563"/>
      <c r="CG145" s="563"/>
      <c r="CH145" s="650">
        <v>0</v>
      </c>
      <c r="CI145" s="563"/>
      <c r="CJ145" s="563"/>
      <c r="CK145" s="563"/>
      <c r="CL145" s="650">
        <v>0</v>
      </c>
      <c r="CM145" s="564">
        <v>0</v>
      </c>
      <c r="CN145" s="565">
        <v>0</v>
      </c>
      <c r="CO145" s="649">
        <v>0</v>
      </c>
      <c r="CP145" s="646">
        <v>3.6290387139688667</v>
      </c>
      <c r="CQ145" s="646">
        <v>0</v>
      </c>
      <c r="CR145" s="646">
        <v>0</v>
      </c>
      <c r="CS145" s="646">
        <v>18.585169278442994</v>
      </c>
      <c r="CT145" s="646">
        <v>7.9219674801084133E-2</v>
      </c>
      <c r="CU145" s="646">
        <v>3600</v>
      </c>
      <c r="CV145" s="563"/>
      <c r="CW145" s="563"/>
      <c r="CX145" s="563"/>
      <c r="CY145" s="563"/>
      <c r="CZ145" s="563"/>
      <c r="DA145" s="650">
        <v>0</v>
      </c>
      <c r="DB145" s="563"/>
      <c r="DC145" s="563"/>
      <c r="DD145" s="563"/>
      <c r="DE145" s="650">
        <v>0</v>
      </c>
      <c r="DF145" s="564">
        <v>0</v>
      </c>
      <c r="DG145" s="565">
        <v>0</v>
      </c>
      <c r="DH145" s="649">
        <v>0</v>
      </c>
      <c r="DI145" s="646">
        <v>3.6290387139688667</v>
      </c>
      <c r="DJ145" s="646">
        <v>0</v>
      </c>
      <c r="DK145" s="646">
        <v>0</v>
      </c>
      <c r="DL145" s="646">
        <v>18.585169278442994</v>
      </c>
      <c r="DM145" s="646">
        <v>7.9219674801084133E-2</v>
      </c>
      <c r="DN145" s="646">
        <v>3600</v>
      </c>
      <c r="DO145" s="563"/>
      <c r="DP145" s="563"/>
      <c r="DQ145" s="563"/>
      <c r="DR145" s="563"/>
      <c r="DS145" s="563"/>
      <c r="DT145" s="650">
        <v>0</v>
      </c>
      <c r="DU145" s="563"/>
      <c r="DV145" s="563"/>
      <c r="DW145" s="563"/>
      <c r="DX145" s="650">
        <v>0</v>
      </c>
      <c r="DY145" s="564">
        <v>0</v>
      </c>
      <c r="DZ145" s="565">
        <v>0</v>
      </c>
      <c r="EA145" s="649">
        <v>0</v>
      </c>
      <c r="EB145" s="646">
        <v>3.6290387139688667</v>
      </c>
      <c r="EC145" s="646">
        <v>0</v>
      </c>
      <c r="ED145" s="646">
        <v>0</v>
      </c>
      <c r="EE145" s="646">
        <v>18.585169278442994</v>
      </c>
      <c r="EF145" s="646">
        <v>7.9219674801084133E-2</v>
      </c>
      <c r="EG145" s="646">
        <v>3600</v>
      </c>
      <c r="EH145" s="563"/>
      <c r="EI145" s="563"/>
      <c r="EJ145" s="563"/>
      <c r="EK145" s="563"/>
      <c r="EL145" s="563"/>
      <c r="EM145" s="650">
        <v>0</v>
      </c>
      <c r="EN145" s="563"/>
      <c r="EO145" s="563"/>
      <c r="EP145" s="563"/>
      <c r="EQ145" s="650">
        <v>0</v>
      </c>
      <c r="ER145" s="564">
        <v>0</v>
      </c>
      <c r="ES145" s="565">
        <v>0</v>
      </c>
      <c r="ET145" s="649">
        <v>0</v>
      </c>
      <c r="EU145" s="646">
        <v>3.6290387139688667</v>
      </c>
      <c r="EV145" s="646">
        <v>0</v>
      </c>
      <c r="EW145" s="646">
        <v>0</v>
      </c>
      <c r="EX145" s="646">
        <v>18.585169278442994</v>
      </c>
      <c r="EY145" s="646">
        <v>7.9219674801084133E-2</v>
      </c>
      <c r="EZ145" s="646">
        <v>3600</v>
      </c>
      <c r="FA145" s="563"/>
      <c r="FB145" s="563"/>
      <c r="FC145" s="563"/>
      <c r="FD145" s="563"/>
      <c r="FE145" s="563"/>
      <c r="FF145" s="650">
        <v>0</v>
      </c>
      <c r="FG145" s="563"/>
      <c r="FH145" s="563"/>
      <c r="FI145" s="563"/>
      <c r="FJ145" s="650">
        <v>0</v>
      </c>
      <c r="FK145" s="564">
        <v>0</v>
      </c>
      <c r="FL145" s="565">
        <v>0</v>
      </c>
      <c r="FM145" s="649">
        <v>0</v>
      </c>
      <c r="FN145" s="646">
        <v>3.6290387139688667</v>
      </c>
      <c r="FO145" s="646">
        <v>0</v>
      </c>
      <c r="FP145" s="646">
        <v>0</v>
      </c>
      <c r="FQ145" s="646">
        <v>18.585169278442994</v>
      </c>
      <c r="FR145" s="646">
        <v>7.9219674801084133E-2</v>
      </c>
      <c r="FS145" s="646">
        <v>3600</v>
      </c>
      <c r="FT145" s="563"/>
      <c r="FU145" s="563"/>
      <c r="FV145" s="563"/>
      <c r="FW145" s="563"/>
      <c r="FX145" s="563"/>
      <c r="FY145" s="650">
        <v>0</v>
      </c>
      <c r="FZ145" s="563"/>
      <c r="GA145" s="563"/>
      <c r="GB145" s="563"/>
      <c r="GC145" s="650">
        <v>0</v>
      </c>
      <c r="GD145" s="564">
        <v>0</v>
      </c>
      <c r="GE145" s="565">
        <v>0</v>
      </c>
      <c r="GF145" s="649">
        <v>0</v>
      </c>
      <c r="GG145" s="646">
        <v>3.6290387139688667</v>
      </c>
      <c r="GH145" s="646">
        <v>0</v>
      </c>
      <c r="GI145" s="646">
        <v>0</v>
      </c>
      <c r="GJ145" s="646">
        <v>18.585169278442994</v>
      </c>
      <c r="GK145" s="646">
        <v>7.9219674801084133E-2</v>
      </c>
      <c r="GL145" s="646">
        <v>3600</v>
      </c>
      <c r="GM145" s="563"/>
      <c r="GN145" s="563"/>
      <c r="GO145" s="563"/>
      <c r="GP145" s="563"/>
      <c r="GQ145" s="563"/>
      <c r="GR145" s="650">
        <v>0</v>
      </c>
      <c r="GS145" s="563"/>
      <c r="GT145" s="563"/>
      <c r="GU145" s="563"/>
      <c r="GV145" s="650">
        <v>0</v>
      </c>
      <c r="GW145" s="564">
        <v>0</v>
      </c>
      <c r="GX145" s="565">
        <v>0</v>
      </c>
      <c r="GY145" s="649">
        <v>0</v>
      </c>
      <c r="GZ145" s="646">
        <v>3.6290387139688667</v>
      </c>
      <c r="HA145" s="646">
        <v>0</v>
      </c>
      <c r="HB145" s="646">
        <v>0</v>
      </c>
      <c r="HC145" s="646">
        <v>18.585169278442994</v>
      </c>
      <c r="HD145" s="646">
        <v>7.9219674801084133E-2</v>
      </c>
      <c r="HE145" s="646">
        <v>3600</v>
      </c>
      <c r="HF145" s="563"/>
      <c r="HG145" s="563"/>
      <c r="HH145" s="563"/>
      <c r="HI145" s="563"/>
      <c r="HJ145" s="563"/>
      <c r="HK145" s="650">
        <v>0</v>
      </c>
      <c r="HL145" s="563"/>
      <c r="HM145" s="563"/>
      <c r="HN145" s="563"/>
      <c r="HO145" s="650">
        <v>0</v>
      </c>
      <c r="HP145" s="564">
        <v>0</v>
      </c>
      <c r="HQ145" s="565">
        <v>0</v>
      </c>
      <c r="HR145" s="649">
        <v>0</v>
      </c>
      <c r="HS145" s="646">
        <v>3.6290387139688667</v>
      </c>
      <c r="HT145" s="646">
        <v>0</v>
      </c>
      <c r="HU145" s="646">
        <v>0</v>
      </c>
      <c r="HV145" s="646">
        <v>18.585169278442994</v>
      </c>
      <c r="HW145" s="646">
        <v>7.9219674801084133E-2</v>
      </c>
      <c r="HX145" s="646">
        <v>3600</v>
      </c>
      <c r="HY145" s="563"/>
      <c r="HZ145" s="563"/>
      <c r="IA145" s="563"/>
      <c r="IB145" s="563"/>
      <c r="IC145" s="563"/>
      <c r="ID145" s="650">
        <v>0</v>
      </c>
      <c r="IE145" s="563"/>
      <c r="IF145" s="563"/>
      <c r="IG145" s="563"/>
      <c r="IH145" s="650">
        <v>0</v>
      </c>
      <c r="II145" s="564">
        <v>0</v>
      </c>
      <c r="IJ145" s="565">
        <v>0</v>
      </c>
      <c r="IK145" s="649">
        <v>0</v>
      </c>
      <c r="IL145" s="646">
        <v>3.6290387139688667</v>
      </c>
      <c r="IM145" s="646">
        <v>0</v>
      </c>
      <c r="IN145" s="646">
        <v>0</v>
      </c>
      <c r="IO145" s="646">
        <v>18.585169278442994</v>
      </c>
      <c r="IP145" s="646">
        <v>7.9219674801084133E-2</v>
      </c>
      <c r="IQ145" s="646">
        <v>3600</v>
      </c>
      <c r="IR145" s="563"/>
      <c r="IS145" s="563"/>
      <c r="IT145" s="563"/>
      <c r="IU145" s="563"/>
      <c r="IV145" s="563"/>
      <c r="IW145" s="650">
        <v>0</v>
      </c>
      <c r="IX145" s="563"/>
      <c r="IY145" s="563"/>
      <c r="IZ145" s="563"/>
      <c r="JA145" s="650">
        <v>0</v>
      </c>
      <c r="JB145" s="564">
        <v>0</v>
      </c>
      <c r="JC145" s="565">
        <v>0</v>
      </c>
      <c r="JD145" s="649">
        <v>0</v>
      </c>
      <c r="JE145" s="646">
        <v>3.6290387139688667</v>
      </c>
      <c r="JF145" s="646">
        <v>0</v>
      </c>
      <c r="JG145" s="646">
        <v>0</v>
      </c>
      <c r="JH145" s="646">
        <v>18.585169278442994</v>
      </c>
      <c r="JI145" s="646">
        <v>7.9219674801084133E-2</v>
      </c>
      <c r="JJ145" s="646">
        <v>3600</v>
      </c>
      <c r="JK145" s="563"/>
      <c r="JL145" s="563"/>
      <c r="JM145" s="563"/>
      <c r="JN145" s="563"/>
      <c r="JO145" s="563"/>
      <c r="JP145" s="650">
        <v>0</v>
      </c>
      <c r="JQ145" s="563"/>
      <c r="JR145" s="563"/>
      <c r="JS145" s="563"/>
      <c r="JT145" s="650">
        <v>0</v>
      </c>
      <c r="JU145" s="564">
        <v>0</v>
      </c>
      <c r="JV145" s="565">
        <v>0</v>
      </c>
      <c r="JW145" s="649">
        <v>0</v>
      </c>
      <c r="JX145" s="646">
        <v>3.6290387139688667</v>
      </c>
      <c r="JY145" s="646">
        <v>0</v>
      </c>
      <c r="JZ145" s="646">
        <v>0</v>
      </c>
      <c r="KA145" s="646">
        <v>18.585169278442994</v>
      </c>
      <c r="KB145" s="646">
        <v>7.9219674801084133E-2</v>
      </c>
      <c r="KC145" s="646">
        <v>3600</v>
      </c>
      <c r="KD145" s="563"/>
      <c r="KE145" s="563"/>
      <c r="KF145" s="563"/>
      <c r="KG145" s="563"/>
      <c r="KH145" s="563"/>
      <c r="KI145" s="650">
        <v>0</v>
      </c>
      <c r="KJ145" s="563"/>
      <c r="KK145" s="563"/>
      <c r="KL145" s="563"/>
      <c r="KM145" s="650">
        <v>0</v>
      </c>
      <c r="KN145" s="564">
        <v>0</v>
      </c>
      <c r="KO145" s="566">
        <v>0</v>
      </c>
    </row>
    <row r="146" spans="1:301" ht="15" customHeight="1">
      <c r="A146" s="663" t="s">
        <v>895</v>
      </c>
      <c r="B146" s="629" t="s">
        <v>382</v>
      </c>
      <c r="C146" s="629">
        <v>235</v>
      </c>
      <c r="D146" s="629">
        <v>402</v>
      </c>
      <c r="E146" s="629">
        <v>210</v>
      </c>
      <c r="F146" s="629">
        <v>235</v>
      </c>
      <c r="G146" s="629">
        <v>74</v>
      </c>
      <c r="H146" s="629">
        <v>60</v>
      </c>
      <c r="I146" s="629">
        <v>60</v>
      </c>
      <c r="J146" s="629"/>
      <c r="K146" s="629"/>
      <c r="L146" s="629">
        <v>16</v>
      </c>
      <c r="M146" s="629">
        <v>100</v>
      </c>
      <c r="N146" s="629">
        <v>2</v>
      </c>
      <c r="O146" s="623">
        <v>1.4489125849321041</v>
      </c>
      <c r="P146" s="629">
        <v>2</v>
      </c>
      <c r="Q146" s="623">
        <v>1.9926987113235954</v>
      </c>
      <c r="R146" s="629"/>
      <c r="S146" s="629"/>
      <c r="T146" s="645">
        <v>0</v>
      </c>
      <c r="U146" s="645">
        <v>0</v>
      </c>
      <c r="V146" s="645">
        <v>60</v>
      </c>
      <c r="W146" s="793">
        <v>0</v>
      </c>
      <c r="X146" s="646">
        <v>0</v>
      </c>
      <c r="Y146" s="646">
        <v>0</v>
      </c>
      <c r="Z146" s="646">
        <v>0</v>
      </c>
      <c r="AA146" s="646">
        <v>0</v>
      </c>
      <c r="AB146" s="647">
        <v>0</v>
      </c>
      <c r="AC146" s="784">
        <v>0</v>
      </c>
      <c r="AD146" s="631"/>
      <c r="AE146" s="631"/>
      <c r="AF146" s="631"/>
      <c r="AG146" s="631"/>
      <c r="AH146" s="629"/>
      <c r="AI146" s="648">
        <v>0.61294671204347684</v>
      </c>
      <c r="AJ146" s="649">
        <v>0</v>
      </c>
      <c r="AK146" s="646">
        <v>3.4416112962556995</v>
      </c>
      <c r="AL146" s="646">
        <v>0</v>
      </c>
      <c r="AM146" s="646">
        <v>0</v>
      </c>
      <c r="AN146" s="646">
        <v>25.838901070553337</v>
      </c>
      <c r="AO146" s="646">
        <v>7.7509399614451496E-2</v>
      </c>
      <c r="AP146" s="801"/>
      <c r="AQ146" s="563"/>
      <c r="AR146" s="563"/>
      <c r="AS146" s="563"/>
      <c r="AT146" s="563"/>
      <c r="AU146" s="563"/>
      <c r="AV146" s="650">
        <v>0</v>
      </c>
      <c r="AW146" s="563"/>
      <c r="AX146" s="563"/>
      <c r="AY146" s="563"/>
      <c r="AZ146" s="650">
        <v>0</v>
      </c>
      <c r="BA146" s="564">
        <v>0</v>
      </c>
      <c r="BB146" s="565">
        <v>0</v>
      </c>
      <c r="BC146" s="649">
        <v>0</v>
      </c>
      <c r="BD146" s="646">
        <v>3.4416112962556995</v>
      </c>
      <c r="BE146" s="646">
        <v>0</v>
      </c>
      <c r="BF146" s="646">
        <v>0</v>
      </c>
      <c r="BG146" s="646">
        <v>25.838901070553337</v>
      </c>
      <c r="BH146" s="646">
        <v>7.7509399614451496E-2</v>
      </c>
      <c r="BI146" s="646">
        <v>0</v>
      </c>
      <c r="BJ146" s="563"/>
      <c r="BK146" s="563"/>
      <c r="BL146" s="563"/>
      <c r="BM146" s="563"/>
      <c r="BN146" s="563"/>
      <c r="BO146" s="650">
        <v>0</v>
      </c>
      <c r="BP146" s="563"/>
      <c r="BQ146" s="563"/>
      <c r="BR146" s="563"/>
      <c r="BS146" s="650">
        <v>0</v>
      </c>
      <c r="BT146" s="564">
        <v>0</v>
      </c>
      <c r="BU146" s="565">
        <v>0</v>
      </c>
      <c r="BV146" s="649">
        <v>0</v>
      </c>
      <c r="BW146" s="646">
        <v>3.4416112962556995</v>
      </c>
      <c r="BX146" s="646">
        <v>0</v>
      </c>
      <c r="BY146" s="646">
        <v>0</v>
      </c>
      <c r="BZ146" s="646">
        <v>25.838901070553337</v>
      </c>
      <c r="CA146" s="646">
        <v>7.7509399614451496E-2</v>
      </c>
      <c r="CB146" s="646">
        <v>3600</v>
      </c>
      <c r="CC146" s="563"/>
      <c r="CD146" s="563"/>
      <c r="CE146" s="563"/>
      <c r="CF146" s="563"/>
      <c r="CG146" s="563"/>
      <c r="CH146" s="650">
        <v>0</v>
      </c>
      <c r="CI146" s="563"/>
      <c r="CJ146" s="563"/>
      <c r="CK146" s="563"/>
      <c r="CL146" s="650">
        <v>0</v>
      </c>
      <c r="CM146" s="564">
        <v>0</v>
      </c>
      <c r="CN146" s="565">
        <v>0</v>
      </c>
      <c r="CO146" s="649">
        <v>0</v>
      </c>
      <c r="CP146" s="646">
        <v>3.4416112962556995</v>
      </c>
      <c r="CQ146" s="646">
        <v>0</v>
      </c>
      <c r="CR146" s="646">
        <v>0</v>
      </c>
      <c r="CS146" s="646">
        <v>25.838901070553337</v>
      </c>
      <c r="CT146" s="646">
        <v>7.7509399614451496E-2</v>
      </c>
      <c r="CU146" s="646">
        <v>3600</v>
      </c>
      <c r="CV146" s="563"/>
      <c r="CW146" s="563"/>
      <c r="CX146" s="563"/>
      <c r="CY146" s="563"/>
      <c r="CZ146" s="563"/>
      <c r="DA146" s="650">
        <v>0</v>
      </c>
      <c r="DB146" s="563"/>
      <c r="DC146" s="563"/>
      <c r="DD146" s="563"/>
      <c r="DE146" s="650">
        <v>0</v>
      </c>
      <c r="DF146" s="564">
        <v>0</v>
      </c>
      <c r="DG146" s="565">
        <v>0</v>
      </c>
      <c r="DH146" s="649">
        <v>0</v>
      </c>
      <c r="DI146" s="646">
        <v>3.4416112962556995</v>
      </c>
      <c r="DJ146" s="646">
        <v>0</v>
      </c>
      <c r="DK146" s="646">
        <v>0</v>
      </c>
      <c r="DL146" s="646">
        <v>25.838901070553337</v>
      </c>
      <c r="DM146" s="646">
        <v>7.7509399614451496E-2</v>
      </c>
      <c r="DN146" s="646">
        <v>3600</v>
      </c>
      <c r="DO146" s="563"/>
      <c r="DP146" s="563"/>
      <c r="DQ146" s="563"/>
      <c r="DR146" s="563"/>
      <c r="DS146" s="563"/>
      <c r="DT146" s="650">
        <v>0</v>
      </c>
      <c r="DU146" s="563"/>
      <c r="DV146" s="563"/>
      <c r="DW146" s="563"/>
      <c r="DX146" s="650">
        <v>0</v>
      </c>
      <c r="DY146" s="564">
        <v>0</v>
      </c>
      <c r="DZ146" s="565">
        <v>0</v>
      </c>
      <c r="EA146" s="649">
        <v>0</v>
      </c>
      <c r="EB146" s="646">
        <v>3.4416112962556995</v>
      </c>
      <c r="EC146" s="646">
        <v>0</v>
      </c>
      <c r="ED146" s="646">
        <v>0</v>
      </c>
      <c r="EE146" s="646">
        <v>25.838901070553337</v>
      </c>
      <c r="EF146" s="646">
        <v>7.7509399614451496E-2</v>
      </c>
      <c r="EG146" s="646">
        <v>3600</v>
      </c>
      <c r="EH146" s="563"/>
      <c r="EI146" s="563"/>
      <c r="EJ146" s="563"/>
      <c r="EK146" s="563"/>
      <c r="EL146" s="563"/>
      <c r="EM146" s="650">
        <v>0</v>
      </c>
      <c r="EN146" s="563"/>
      <c r="EO146" s="563"/>
      <c r="EP146" s="563"/>
      <c r="EQ146" s="650">
        <v>0</v>
      </c>
      <c r="ER146" s="564">
        <v>0</v>
      </c>
      <c r="ES146" s="565">
        <v>0</v>
      </c>
      <c r="ET146" s="649">
        <v>0</v>
      </c>
      <c r="EU146" s="646">
        <v>3.4416112962556995</v>
      </c>
      <c r="EV146" s="646">
        <v>0</v>
      </c>
      <c r="EW146" s="646">
        <v>0</v>
      </c>
      <c r="EX146" s="646">
        <v>25.838901070553337</v>
      </c>
      <c r="EY146" s="646">
        <v>7.7509399614451496E-2</v>
      </c>
      <c r="EZ146" s="646">
        <v>3600</v>
      </c>
      <c r="FA146" s="563"/>
      <c r="FB146" s="563"/>
      <c r="FC146" s="563"/>
      <c r="FD146" s="563"/>
      <c r="FE146" s="563"/>
      <c r="FF146" s="650">
        <v>0</v>
      </c>
      <c r="FG146" s="563"/>
      <c r="FH146" s="563"/>
      <c r="FI146" s="563"/>
      <c r="FJ146" s="650">
        <v>0</v>
      </c>
      <c r="FK146" s="564">
        <v>0</v>
      </c>
      <c r="FL146" s="565">
        <v>0</v>
      </c>
      <c r="FM146" s="649">
        <v>0</v>
      </c>
      <c r="FN146" s="646">
        <v>3.4416112962556995</v>
      </c>
      <c r="FO146" s="646">
        <v>0</v>
      </c>
      <c r="FP146" s="646">
        <v>0</v>
      </c>
      <c r="FQ146" s="646">
        <v>25.838901070553337</v>
      </c>
      <c r="FR146" s="646">
        <v>7.7509399614451496E-2</v>
      </c>
      <c r="FS146" s="646">
        <v>3600</v>
      </c>
      <c r="FT146" s="563"/>
      <c r="FU146" s="563"/>
      <c r="FV146" s="563"/>
      <c r="FW146" s="563"/>
      <c r="FX146" s="563"/>
      <c r="FY146" s="650">
        <v>0</v>
      </c>
      <c r="FZ146" s="563"/>
      <c r="GA146" s="563"/>
      <c r="GB146" s="563"/>
      <c r="GC146" s="650">
        <v>0</v>
      </c>
      <c r="GD146" s="564">
        <v>0</v>
      </c>
      <c r="GE146" s="565">
        <v>0</v>
      </c>
      <c r="GF146" s="649">
        <v>0</v>
      </c>
      <c r="GG146" s="646">
        <v>3.4416112962556995</v>
      </c>
      <c r="GH146" s="646">
        <v>0</v>
      </c>
      <c r="GI146" s="646">
        <v>0</v>
      </c>
      <c r="GJ146" s="646">
        <v>25.838901070553337</v>
      </c>
      <c r="GK146" s="646">
        <v>7.7509399614451496E-2</v>
      </c>
      <c r="GL146" s="646">
        <v>3600</v>
      </c>
      <c r="GM146" s="563"/>
      <c r="GN146" s="563"/>
      <c r="GO146" s="563"/>
      <c r="GP146" s="563"/>
      <c r="GQ146" s="563"/>
      <c r="GR146" s="650">
        <v>0</v>
      </c>
      <c r="GS146" s="563"/>
      <c r="GT146" s="563"/>
      <c r="GU146" s="563"/>
      <c r="GV146" s="650">
        <v>0</v>
      </c>
      <c r="GW146" s="564">
        <v>0</v>
      </c>
      <c r="GX146" s="565">
        <v>0</v>
      </c>
      <c r="GY146" s="649">
        <v>0</v>
      </c>
      <c r="GZ146" s="646">
        <v>3.4416112962556995</v>
      </c>
      <c r="HA146" s="646">
        <v>0</v>
      </c>
      <c r="HB146" s="646">
        <v>0</v>
      </c>
      <c r="HC146" s="646">
        <v>25.838901070553337</v>
      </c>
      <c r="HD146" s="646">
        <v>7.7509399614451496E-2</v>
      </c>
      <c r="HE146" s="646">
        <v>3600</v>
      </c>
      <c r="HF146" s="563"/>
      <c r="HG146" s="563"/>
      <c r="HH146" s="563"/>
      <c r="HI146" s="563"/>
      <c r="HJ146" s="563"/>
      <c r="HK146" s="650">
        <v>0</v>
      </c>
      <c r="HL146" s="563"/>
      <c r="HM146" s="563"/>
      <c r="HN146" s="563"/>
      <c r="HO146" s="650">
        <v>0</v>
      </c>
      <c r="HP146" s="564">
        <v>0</v>
      </c>
      <c r="HQ146" s="565">
        <v>0</v>
      </c>
      <c r="HR146" s="649">
        <v>0</v>
      </c>
      <c r="HS146" s="646">
        <v>3.4416112962556995</v>
      </c>
      <c r="HT146" s="646">
        <v>0</v>
      </c>
      <c r="HU146" s="646">
        <v>0</v>
      </c>
      <c r="HV146" s="646">
        <v>25.838901070553337</v>
      </c>
      <c r="HW146" s="646">
        <v>7.7509399614451496E-2</v>
      </c>
      <c r="HX146" s="646">
        <v>3600</v>
      </c>
      <c r="HY146" s="563"/>
      <c r="HZ146" s="563"/>
      <c r="IA146" s="563"/>
      <c r="IB146" s="563"/>
      <c r="IC146" s="563"/>
      <c r="ID146" s="650">
        <v>0</v>
      </c>
      <c r="IE146" s="563"/>
      <c r="IF146" s="563"/>
      <c r="IG146" s="563"/>
      <c r="IH146" s="650">
        <v>0</v>
      </c>
      <c r="II146" s="564">
        <v>0</v>
      </c>
      <c r="IJ146" s="565">
        <v>0</v>
      </c>
      <c r="IK146" s="649">
        <v>0</v>
      </c>
      <c r="IL146" s="646">
        <v>3.4416112962556995</v>
      </c>
      <c r="IM146" s="646">
        <v>0</v>
      </c>
      <c r="IN146" s="646">
        <v>0</v>
      </c>
      <c r="IO146" s="646">
        <v>25.838901070553337</v>
      </c>
      <c r="IP146" s="646">
        <v>7.7509399614451496E-2</v>
      </c>
      <c r="IQ146" s="646">
        <v>3600</v>
      </c>
      <c r="IR146" s="563"/>
      <c r="IS146" s="563"/>
      <c r="IT146" s="563"/>
      <c r="IU146" s="563"/>
      <c r="IV146" s="563"/>
      <c r="IW146" s="650">
        <v>0</v>
      </c>
      <c r="IX146" s="563"/>
      <c r="IY146" s="563"/>
      <c r="IZ146" s="563"/>
      <c r="JA146" s="650">
        <v>0</v>
      </c>
      <c r="JB146" s="564">
        <v>0</v>
      </c>
      <c r="JC146" s="565">
        <v>0</v>
      </c>
      <c r="JD146" s="649">
        <v>0</v>
      </c>
      <c r="JE146" s="646">
        <v>3.4416112962556995</v>
      </c>
      <c r="JF146" s="646">
        <v>0</v>
      </c>
      <c r="JG146" s="646">
        <v>0</v>
      </c>
      <c r="JH146" s="646">
        <v>25.838901070553337</v>
      </c>
      <c r="JI146" s="646">
        <v>7.7509399614451496E-2</v>
      </c>
      <c r="JJ146" s="646">
        <v>3600</v>
      </c>
      <c r="JK146" s="563"/>
      <c r="JL146" s="563"/>
      <c r="JM146" s="563"/>
      <c r="JN146" s="563"/>
      <c r="JO146" s="563"/>
      <c r="JP146" s="650">
        <v>0</v>
      </c>
      <c r="JQ146" s="563"/>
      <c r="JR146" s="563"/>
      <c r="JS146" s="563"/>
      <c r="JT146" s="650">
        <v>0</v>
      </c>
      <c r="JU146" s="564">
        <v>0</v>
      </c>
      <c r="JV146" s="565">
        <v>0</v>
      </c>
      <c r="JW146" s="649">
        <v>0</v>
      </c>
      <c r="JX146" s="646">
        <v>3.4416112962556995</v>
      </c>
      <c r="JY146" s="646">
        <v>0</v>
      </c>
      <c r="JZ146" s="646">
        <v>0</v>
      </c>
      <c r="KA146" s="646">
        <v>25.838901070553337</v>
      </c>
      <c r="KB146" s="646">
        <v>7.7509399614451496E-2</v>
      </c>
      <c r="KC146" s="646">
        <v>3600</v>
      </c>
      <c r="KD146" s="563"/>
      <c r="KE146" s="563"/>
      <c r="KF146" s="563"/>
      <c r="KG146" s="563"/>
      <c r="KH146" s="563"/>
      <c r="KI146" s="650">
        <v>0</v>
      </c>
      <c r="KJ146" s="563"/>
      <c r="KK146" s="563"/>
      <c r="KL146" s="563"/>
      <c r="KM146" s="650">
        <v>0</v>
      </c>
      <c r="KN146" s="564">
        <v>0</v>
      </c>
      <c r="KO146" s="566">
        <v>0</v>
      </c>
    </row>
    <row r="147" spans="1:301" ht="15" customHeight="1">
      <c r="A147" s="663" t="s">
        <v>896</v>
      </c>
      <c r="B147" s="629" t="s">
        <v>382</v>
      </c>
      <c r="C147" s="629">
        <v>285</v>
      </c>
      <c r="D147" s="629">
        <v>427</v>
      </c>
      <c r="E147" s="629">
        <v>260</v>
      </c>
      <c r="F147" s="629">
        <v>285</v>
      </c>
      <c r="G147" s="629">
        <v>74</v>
      </c>
      <c r="H147" s="629">
        <v>60</v>
      </c>
      <c r="I147" s="629">
        <v>60</v>
      </c>
      <c r="J147" s="629"/>
      <c r="K147" s="629"/>
      <c r="L147" s="629">
        <v>16</v>
      </c>
      <c r="M147" s="629">
        <v>98</v>
      </c>
      <c r="N147" s="629">
        <v>2</v>
      </c>
      <c r="O147" s="623">
        <v>1.4146947504482859</v>
      </c>
      <c r="P147" s="629">
        <v>2</v>
      </c>
      <c r="Q147" s="623">
        <v>2.2482535292252654</v>
      </c>
      <c r="R147" s="629"/>
      <c r="S147" s="629"/>
      <c r="T147" s="645">
        <v>0</v>
      </c>
      <c r="U147" s="645">
        <v>0</v>
      </c>
      <c r="V147" s="645">
        <v>72.5</v>
      </c>
      <c r="W147" s="793">
        <v>0</v>
      </c>
      <c r="X147" s="646">
        <v>0</v>
      </c>
      <c r="Y147" s="646">
        <v>0</v>
      </c>
      <c r="Z147" s="646">
        <v>0</v>
      </c>
      <c r="AA147" s="646">
        <v>0</v>
      </c>
      <c r="AB147" s="647">
        <v>0</v>
      </c>
      <c r="AC147" s="784">
        <v>0</v>
      </c>
      <c r="AD147" s="631"/>
      <c r="AE147" s="631"/>
      <c r="AF147" s="631"/>
      <c r="AG147" s="631"/>
      <c r="AH147" s="629"/>
      <c r="AI147" s="648">
        <v>0.63337551529245784</v>
      </c>
      <c r="AJ147" s="649">
        <v>0</v>
      </c>
      <c r="AK147" s="646">
        <v>3.6629482796735511</v>
      </c>
      <c r="AL147" s="646">
        <v>0</v>
      </c>
      <c r="AM147" s="646">
        <v>0</v>
      </c>
      <c r="AN147" s="646">
        <v>23.786832874388168</v>
      </c>
      <c r="AO147" s="646">
        <v>9.5436882751862878E-2</v>
      </c>
      <c r="AP147" s="801"/>
      <c r="AQ147" s="563"/>
      <c r="AR147" s="563"/>
      <c r="AS147" s="563"/>
      <c r="AT147" s="563"/>
      <c r="AU147" s="563"/>
      <c r="AV147" s="650">
        <v>0</v>
      </c>
      <c r="AW147" s="563"/>
      <c r="AX147" s="563"/>
      <c r="AY147" s="563"/>
      <c r="AZ147" s="650">
        <v>0</v>
      </c>
      <c r="BA147" s="564">
        <v>0</v>
      </c>
      <c r="BB147" s="565">
        <v>0</v>
      </c>
      <c r="BC147" s="649">
        <v>0</v>
      </c>
      <c r="BD147" s="646">
        <v>3.6629482796735511</v>
      </c>
      <c r="BE147" s="646">
        <v>0</v>
      </c>
      <c r="BF147" s="646">
        <v>0</v>
      </c>
      <c r="BG147" s="646">
        <v>23.786832874388168</v>
      </c>
      <c r="BH147" s="646">
        <v>9.5436882751862878E-2</v>
      </c>
      <c r="BI147" s="646">
        <v>0</v>
      </c>
      <c r="BJ147" s="563"/>
      <c r="BK147" s="563"/>
      <c r="BL147" s="563"/>
      <c r="BM147" s="563"/>
      <c r="BN147" s="563"/>
      <c r="BO147" s="650">
        <v>0</v>
      </c>
      <c r="BP147" s="563"/>
      <c r="BQ147" s="563"/>
      <c r="BR147" s="563"/>
      <c r="BS147" s="650">
        <v>0</v>
      </c>
      <c r="BT147" s="564">
        <v>0</v>
      </c>
      <c r="BU147" s="565">
        <v>0</v>
      </c>
      <c r="BV147" s="649">
        <v>0</v>
      </c>
      <c r="BW147" s="646">
        <v>3.6629482796735511</v>
      </c>
      <c r="BX147" s="646">
        <v>0</v>
      </c>
      <c r="BY147" s="646">
        <v>0</v>
      </c>
      <c r="BZ147" s="646">
        <v>23.786832874388168</v>
      </c>
      <c r="CA147" s="646">
        <v>9.5436882751862878E-2</v>
      </c>
      <c r="CB147" s="646">
        <v>3600</v>
      </c>
      <c r="CC147" s="563"/>
      <c r="CD147" s="563"/>
      <c r="CE147" s="563"/>
      <c r="CF147" s="563"/>
      <c r="CG147" s="563"/>
      <c r="CH147" s="650">
        <v>0</v>
      </c>
      <c r="CI147" s="563"/>
      <c r="CJ147" s="563"/>
      <c r="CK147" s="563"/>
      <c r="CL147" s="650">
        <v>0</v>
      </c>
      <c r="CM147" s="564">
        <v>0</v>
      </c>
      <c r="CN147" s="565">
        <v>0</v>
      </c>
      <c r="CO147" s="649">
        <v>0</v>
      </c>
      <c r="CP147" s="646">
        <v>3.6629482796735511</v>
      </c>
      <c r="CQ147" s="646">
        <v>0</v>
      </c>
      <c r="CR147" s="646">
        <v>0</v>
      </c>
      <c r="CS147" s="646">
        <v>23.786832874388168</v>
      </c>
      <c r="CT147" s="646">
        <v>9.5436882751862878E-2</v>
      </c>
      <c r="CU147" s="646">
        <v>3600</v>
      </c>
      <c r="CV147" s="563"/>
      <c r="CW147" s="563"/>
      <c r="CX147" s="563"/>
      <c r="CY147" s="563"/>
      <c r="CZ147" s="563"/>
      <c r="DA147" s="650">
        <v>0</v>
      </c>
      <c r="DB147" s="563"/>
      <c r="DC147" s="563"/>
      <c r="DD147" s="563"/>
      <c r="DE147" s="650">
        <v>0</v>
      </c>
      <c r="DF147" s="564">
        <v>0</v>
      </c>
      <c r="DG147" s="565">
        <v>0</v>
      </c>
      <c r="DH147" s="649">
        <v>0</v>
      </c>
      <c r="DI147" s="646">
        <v>3.6629482796735511</v>
      </c>
      <c r="DJ147" s="646">
        <v>0</v>
      </c>
      <c r="DK147" s="646">
        <v>0</v>
      </c>
      <c r="DL147" s="646">
        <v>23.786832874388168</v>
      </c>
      <c r="DM147" s="646">
        <v>9.5436882751862878E-2</v>
      </c>
      <c r="DN147" s="646">
        <v>3600</v>
      </c>
      <c r="DO147" s="563"/>
      <c r="DP147" s="563"/>
      <c r="DQ147" s="563"/>
      <c r="DR147" s="563"/>
      <c r="DS147" s="563"/>
      <c r="DT147" s="650">
        <v>0</v>
      </c>
      <c r="DU147" s="563"/>
      <c r="DV147" s="563"/>
      <c r="DW147" s="563"/>
      <c r="DX147" s="650">
        <v>0</v>
      </c>
      <c r="DY147" s="564">
        <v>0</v>
      </c>
      <c r="DZ147" s="565">
        <v>0</v>
      </c>
      <c r="EA147" s="649">
        <v>0</v>
      </c>
      <c r="EB147" s="646">
        <v>3.6629482796735511</v>
      </c>
      <c r="EC147" s="646">
        <v>0</v>
      </c>
      <c r="ED147" s="646">
        <v>0</v>
      </c>
      <c r="EE147" s="646">
        <v>23.786832874388168</v>
      </c>
      <c r="EF147" s="646">
        <v>9.5436882751862878E-2</v>
      </c>
      <c r="EG147" s="646">
        <v>3600</v>
      </c>
      <c r="EH147" s="563"/>
      <c r="EI147" s="563"/>
      <c r="EJ147" s="563"/>
      <c r="EK147" s="563"/>
      <c r="EL147" s="563"/>
      <c r="EM147" s="650">
        <v>0</v>
      </c>
      <c r="EN147" s="563"/>
      <c r="EO147" s="563"/>
      <c r="EP147" s="563"/>
      <c r="EQ147" s="650">
        <v>0</v>
      </c>
      <c r="ER147" s="564">
        <v>0</v>
      </c>
      <c r="ES147" s="565">
        <v>0</v>
      </c>
      <c r="ET147" s="649">
        <v>0</v>
      </c>
      <c r="EU147" s="646">
        <v>3.6629482796735511</v>
      </c>
      <c r="EV147" s="646">
        <v>0</v>
      </c>
      <c r="EW147" s="646">
        <v>0</v>
      </c>
      <c r="EX147" s="646">
        <v>23.786832874388168</v>
      </c>
      <c r="EY147" s="646">
        <v>9.5436882751862878E-2</v>
      </c>
      <c r="EZ147" s="646">
        <v>3600</v>
      </c>
      <c r="FA147" s="563"/>
      <c r="FB147" s="563"/>
      <c r="FC147" s="563"/>
      <c r="FD147" s="563"/>
      <c r="FE147" s="563"/>
      <c r="FF147" s="650">
        <v>0</v>
      </c>
      <c r="FG147" s="563"/>
      <c r="FH147" s="563"/>
      <c r="FI147" s="563"/>
      <c r="FJ147" s="650">
        <v>0</v>
      </c>
      <c r="FK147" s="564">
        <v>0</v>
      </c>
      <c r="FL147" s="565">
        <v>0</v>
      </c>
      <c r="FM147" s="649">
        <v>0</v>
      </c>
      <c r="FN147" s="646">
        <v>3.6629482796735511</v>
      </c>
      <c r="FO147" s="646">
        <v>0</v>
      </c>
      <c r="FP147" s="646">
        <v>0</v>
      </c>
      <c r="FQ147" s="646">
        <v>23.786832874388168</v>
      </c>
      <c r="FR147" s="646">
        <v>9.5436882751862878E-2</v>
      </c>
      <c r="FS147" s="646">
        <v>3600</v>
      </c>
      <c r="FT147" s="563"/>
      <c r="FU147" s="563"/>
      <c r="FV147" s="563"/>
      <c r="FW147" s="563"/>
      <c r="FX147" s="563"/>
      <c r="FY147" s="650">
        <v>0</v>
      </c>
      <c r="FZ147" s="563"/>
      <c r="GA147" s="563"/>
      <c r="GB147" s="563"/>
      <c r="GC147" s="650">
        <v>0</v>
      </c>
      <c r="GD147" s="564">
        <v>0</v>
      </c>
      <c r="GE147" s="565">
        <v>0</v>
      </c>
      <c r="GF147" s="649">
        <v>0</v>
      </c>
      <c r="GG147" s="646">
        <v>3.6629482796735511</v>
      </c>
      <c r="GH147" s="646">
        <v>0</v>
      </c>
      <c r="GI147" s="646">
        <v>0</v>
      </c>
      <c r="GJ147" s="646">
        <v>23.786832874388168</v>
      </c>
      <c r="GK147" s="646">
        <v>9.5436882751862878E-2</v>
      </c>
      <c r="GL147" s="646">
        <v>3600</v>
      </c>
      <c r="GM147" s="563"/>
      <c r="GN147" s="563"/>
      <c r="GO147" s="563"/>
      <c r="GP147" s="563"/>
      <c r="GQ147" s="563"/>
      <c r="GR147" s="650">
        <v>0</v>
      </c>
      <c r="GS147" s="563"/>
      <c r="GT147" s="563"/>
      <c r="GU147" s="563"/>
      <c r="GV147" s="650">
        <v>0</v>
      </c>
      <c r="GW147" s="564">
        <v>0</v>
      </c>
      <c r="GX147" s="565">
        <v>0</v>
      </c>
      <c r="GY147" s="649">
        <v>0</v>
      </c>
      <c r="GZ147" s="646">
        <v>3.6629482796735511</v>
      </c>
      <c r="HA147" s="646">
        <v>0</v>
      </c>
      <c r="HB147" s="646">
        <v>0</v>
      </c>
      <c r="HC147" s="646">
        <v>23.786832874388168</v>
      </c>
      <c r="HD147" s="646">
        <v>9.5436882751862878E-2</v>
      </c>
      <c r="HE147" s="646">
        <v>3600</v>
      </c>
      <c r="HF147" s="563"/>
      <c r="HG147" s="563"/>
      <c r="HH147" s="563"/>
      <c r="HI147" s="563"/>
      <c r="HJ147" s="563"/>
      <c r="HK147" s="650">
        <v>0</v>
      </c>
      <c r="HL147" s="563"/>
      <c r="HM147" s="563"/>
      <c r="HN147" s="563"/>
      <c r="HO147" s="650">
        <v>0</v>
      </c>
      <c r="HP147" s="564">
        <v>0</v>
      </c>
      <c r="HQ147" s="565">
        <v>0</v>
      </c>
      <c r="HR147" s="649">
        <v>0</v>
      </c>
      <c r="HS147" s="646">
        <v>3.6629482796735511</v>
      </c>
      <c r="HT147" s="646">
        <v>0</v>
      </c>
      <c r="HU147" s="646">
        <v>0</v>
      </c>
      <c r="HV147" s="646">
        <v>23.786832874388168</v>
      </c>
      <c r="HW147" s="646">
        <v>9.5436882751862878E-2</v>
      </c>
      <c r="HX147" s="646">
        <v>3600</v>
      </c>
      <c r="HY147" s="563"/>
      <c r="HZ147" s="563"/>
      <c r="IA147" s="563"/>
      <c r="IB147" s="563"/>
      <c r="IC147" s="563"/>
      <c r="ID147" s="650">
        <v>0</v>
      </c>
      <c r="IE147" s="563"/>
      <c r="IF147" s="563"/>
      <c r="IG147" s="563"/>
      <c r="IH147" s="650">
        <v>0</v>
      </c>
      <c r="II147" s="564">
        <v>0</v>
      </c>
      <c r="IJ147" s="565">
        <v>0</v>
      </c>
      <c r="IK147" s="649">
        <v>0</v>
      </c>
      <c r="IL147" s="646">
        <v>3.6629482796735511</v>
      </c>
      <c r="IM147" s="646">
        <v>0</v>
      </c>
      <c r="IN147" s="646">
        <v>0</v>
      </c>
      <c r="IO147" s="646">
        <v>23.786832874388168</v>
      </c>
      <c r="IP147" s="646">
        <v>9.5436882751862878E-2</v>
      </c>
      <c r="IQ147" s="646">
        <v>3600</v>
      </c>
      <c r="IR147" s="563"/>
      <c r="IS147" s="563"/>
      <c r="IT147" s="563"/>
      <c r="IU147" s="563"/>
      <c r="IV147" s="563"/>
      <c r="IW147" s="650">
        <v>0</v>
      </c>
      <c r="IX147" s="563"/>
      <c r="IY147" s="563"/>
      <c r="IZ147" s="563"/>
      <c r="JA147" s="650">
        <v>0</v>
      </c>
      <c r="JB147" s="564">
        <v>0</v>
      </c>
      <c r="JC147" s="565">
        <v>0</v>
      </c>
      <c r="JD147" s="649">
        <v>0</v>
      </c>
      <c r="JE147" s="646">
        <v>3.6629482796735511</v>
      </c>
      <c r="JF147" s="646">
        <v>0</v>
      </c>
      <c r="JG147" s="646">
        <v>0</v>
      </c>
      <c r="JH147" s="646">
        <v>23.786832874388168</v>
      </c>
      <c r="JI147" s="646">
        <v>9.5436882751862878E-2</v>
      </c>
      <c r="JJ147" s="646">
        <v>3600</v>
      </c>
      <c r="JK147" s="563"/>
      <c r="JL147" s="563"/>
      <c r="JM147" s="563"/>
      <c r="JN147" s="563"/>
      <c r="JO147" s="563"/>
      <c r="JP147" s="650">
        <v>0</v>
      </c>
      <c r="JQ147" s="563"/>
      <c r="JR147" s="563"/>
      <c r="JS147" s="563"/>
      <c r="JT147" s="650">
        <v>0</v>
      </c>
      <c r="JU147" s="564">
        <v>0</v>
      </c>
      <c r="JV147" s="565">
        <v>0</v>
      </c>
      <c r="JW147" s="649">
        <v>0</v>
      </c>
      <c r="JX147" s="646">
        <v>3.6629482796735511</v>
      </c>
      <c r="JY147" s="646">
        <v>0</v>
      </c>
      <c r="JZ147" s="646">
        <v>0</v>
      </c>
      <c r="KA147" s="646">
        <v>23.786832874388168</v>
      </c>
      <c r="KB147" s="646">
        <v>9.5436882751862878E-2</v>
      </c>
      <c r="KC147" s="646">
        <v>3600</v>
      </c>
      <c r="KD147" s="563"/>
      <c r="KE147" s="563"/>
      <c r="KF147" s="563"/>
      <c r="KG147" s="563"/>
      <c r="KH147" s="563"/>
      <c r="KI147" s="650">
        <v>0</v>
      </c>
      <c r="KJ147" s="563"/>
      <c r="KK147" s="563"/>
      <c r="KL147" s="563"/>
      <c r="KM147" s="650">
        <v>0</v>
      </c>
      <c r="KN147" s="564">
        <v>0</v>
      </c>
      <c r="KO147" s="566">
        <v>0</v>
      </c>
    </row>
    <row r="148" spans="1:301" ht="15" customHeight="1">
      <c r="A148" s="663" t="s">
        <v>897</v>
      </c>
      <c r="B148" s="629" t="s">
        <v>382</v>
      </c>
      <c r="C148" s="629">
        <v>246</v>
      </c>
      <c r="D148" s="629">
        <v>502</v>
      </c>
      <c r="E148" s="629">
        <v>260</v>
      </c>
      <c r="F148" s="629">
        <v>246</v>
      </c>
      <c r="G148" s="629">
        <v>84</v>
      </c>
      <c r="H148" s="629">
        <v>70</v>
      </c>
      <c r="I148" s="629">
        <v>70</v>
      </c>
      <c r="J148" s="629"/>
      <c r="K148" s="629"/>
      <c r="L148" s="629">
        <v>16</v>
      </c>
      <c r="M148" s="629">
        <v>145</v>
      </c>
      <c r="N148" s="629">
        <v>2</v>
      </c>
      <c r="O148" s="623">
        <v>2.273839837893346</v>
      </c>
      <c r="P148" s="629">
        <v>2</v>
      </c>
      <c r="Q148" s="623">
        <v>3.1073986166703258</v>
      </c>
      <c r="R148" s="629"/>
      <c r="S148" s="629"/>
      <c r="T148" s="645">
        <v>0</v>
      </c>
      <c r="U148" s="645">
        <v>0</v>
      </c>
      <c r="V148" s="645">
        <v>60</v>
      </c>
      <c r="W148" s="793">
        <v>0</v>
      </c>
      <c r="X148" s="646">
        <v>0</v>
      </c>
      <c r="Y148" s="646">
        <v>0</v>
      </c>
      <c r="Z148" s="646">
        <v>0</v>
      </c>
      <c r="AA148" s="646">
        <v>0</v>
      </c>
      <c r="AB148" s="647">
        <v>0</v>
      </c>
      <c r="AC148" s="784">
        <v>0</v>
      </c>
      <c r="AD148" s="631"/>
      <c r="AE148" s="631"/>
      <c r="AF148" s="631"/>
      <c r="AG148" s="631"/>
      <c r="AH148" s="629"/>
      <c r="AI148" s="648">
        <v>1.0214356045629223</v>
      </c>
      <c r="AJ148" s="649">
        <v>0</v>
      </c>
      <c r="AK148" s="646">
        <v>5.3812384545636718</v>
      </c>
      <c r="AL148" s="646">
        <v>0</v>
      </c>
      <c r="AM148" s="646">
        <v>0</v>
      </c>
      <c r="AN148" s="646">
        <v>30.155918314971316</v>
      </c>
      <c r="AO148" s="646">
        <v>0.18872564856818172</v>
      </c>
      <c r="AP148" s="801"/>
      <c r="AQ148" s="563"/>
      <c r="AR148" s="563"/>
      <c r="AS148" s="563"/>
      <c r="AT148" s="563"/>
      <c r="AU148" s="563"/>
      <c r="AV148" s="650">
        <v>0</v>
      </c>
      <c r="AW148" s="563"/>
      <c r="AX148" s="563"/>
      <c r="AY148" s="563"/>
      <c r="AZ148" s="650">
        <v>0</v>
      </c>
      <c r="BA148" s="564">
        <v>0</v>
      </c>
      <c r="BB148" s="565">
        <v>0</v>
      </c>
      <c r="BC148" s="649">
        <v>0</v>
      </c>
      <c r="BD148" s="646">
        <v>5.3812384545636718</v>
      </c>
      <c r="BE148" s="646">
        <v>0</v>
      </c>
      <c r="BF148" s="646">
        <v>0</v>
      </c>
      <c r="BG148" s="646">
        <v>30.155918314971316</v>
      </c>
      <c r="BH148" s="646">
        <v>0.18872564856818172</v>
      </c>
      <c r="BI148" s="646">
        <v>0</v>
      </c>
      <c r="BJ148" s="563"/>
      <c r="BK148" s="563"/>
      <c r="BL148" s="563"/>
      <c r="BM148" s="563"/>
      <c r="BN148" s="563"/>
      <c r="BO148" s="650">
        <v>0</v>
      </c>
      <c r="BP148" s="563"/>
      <c r="BQ148" s="563"/>
      <c r="BR148" s="563"/>
      <c r="BS148" s="650">
        <v>0</v>
      </c>
      <c r="BT148" s="564">
        <v>0</v>
      </c>
      <c r="BU148" s="565">
        <v>0</v>
      </c>
      <c r="BV148" s="649">
        <v>0</v>
      </c>
      <c r="BW148" s="646">
        <v>5.3812384545636718</v>
      </c>
      <c r="BX148" s="646">
        <v>0</v>
      </c>
      <c r="BY148" s="646">
        <v>0</v>
      </c>
      <c r="BZ148" s="646">
        <v>30.155918314971316</v>
      </c>
      <c r="CA148" s="646">
        <v>0.18872564856818172</v>
      </c>
      <c r="CB148" s="646">
        <v>3600</v>
      </c>
      <c r="CC148" s="563"/>
      <c r="CD148" s="563"/>
      <c r="CE148" s="563"/>
      <c r="CF148" s="563"/>
      <c r="CG148" s="563"/>
      <c r="CH148" s="650">
        <v>0</v>
      </c>
      <c r="CI148" s="563"/>
      <c r="CJ148" s="563"/>
      <c r="CK148" s="563"/>
      <c r="CL148" s="650">
        <v>0</v>
      </c>
      <c r="CM148" s="564">
        <v>0</v>
      </c>
      <c r="CN148" s="565">
        <v>0</v>
      </c>
      <c r="CO148" s="649">
        <v>0</v>
      </c>
      <c r="CP148" s="646">
        <v>5.3812384545636718</v>
      </c>
      <c r="CQ148" s="646">
        <v>0</v>
      </c>
      <c r="CR148" s="646">
        <v>0</v>
      </c>
      <c r="CS148" s="646">
        <v>30.155918314971316</v>
      </c>
      <c r="CT148" s="646">
        <v>0.18872564856818172</v>
      </c>
      <c r="CU148" s="646">
        <v>3600</v>
      </c>
      <c r="CV148" s="563"/>
      <c r="CW148" s="563"/>
      <c r="CX148" s="563"/>
      <c r="CY148" s="563"/>
      <c r="CZ148" s="563"/>
      <c r="DA148" s="650">
        <v>0</v>
      </c>
      <c r="DB148" s="563"/>
      <c r="DC148" s="563"/>
      <c r="DD148" s="563"/>
      <c r="DE148" s="650">
        <v>0</v>
      </c>
      <c r="DF148" s="564">
        <v>0</v>
      </c>
      <c r="DG148" s="565">
        <v>0</v>
      </c>
      <c r="DH148" s="649">
        <v>0</v>
      </c>
      <c r="DI148" s="646">
        <v>5.3812384545636718</v>
      </c>
      <c r="DJ148" s="646">
        <v>0</v>
      </c>
      <c r="DK148" s="646">
        <v>0</v>
      </c>
      <c r="DL148" s="646">
        <v>30.155918314971316</v>
      </c>
      <c r="DM148" s="646">
        <v>0.18872564856818172</v>
      </c>
      <c r="DN148" s="646">
        <v>3600</v>
      </c>
      <c r="DO148" s="563"/>
      <c r="DP148" s="563"/>
      <c r="DQ148" s="563"/>
      <c r="DR148" s="563"/>
      <c r="DS148" s="563"/>
      <c r="DT148" s="650">
        <v>0</v>
      </c>
      <c r="DU148" s="563"/>
      <c r="DV148" s="563"/>
      <c r="DW148" s="563"/>
      <c r="DX148" s="650">
        <v>0</v>
      </c>
      <c r="DY148" s="564">
        <v>0</v>
      </c>
      <c r="DZ148" s="565">
        <v>0</v>
      </c>
      <c r="EA148" s="649">
        <v>0</v>
      </c>
      <c r="EB148" s="646">
        <v>5.3812384545636718</v>
      </c>
      <c r="EC148" s="646">
        <v>0</v>
      </c>
      <c r="ED148" s="646">
        <v>0</v>
      </c>
      <c r="EE148" s="646">
        <v>30.155918314971316</v>
      </c>
      <c r="EF148" s="646">
        <v>0.18872564856818172</v>
      </c>
      <c r="EG148" s="646">
        <v>3600</v>
      </c>
      <c r="EH148" s="563"/>
      <c r="EI148" s="563"/>
      <c r="EJ148" s="563"/>
      <c r="EK148" s="563"/>
      <c r="EL148" s="563"/>
      <c r="EM148" s="650">
        <v>0</v>
      </c>
      <c r="EN148" s="563"/>
      <c r="EO148" s="563"/>
      <c r="EP148" s="563"/>
      <c r="EQ148" s="650">
        <v>0</v>
      </c>
      <c r="ER148" s="564">
        <v>0</v>
      </c>
      <c r="ES148" s="565">
        <v>0</v>
      </c>
      <c r="ET148" s="649">
        <v>0</v>
      </c>
      <c r="EU148" s="646">
        <v>5.3812384545636718</v>
      </c>
      <c r="EV148" s="646">
        <v>0</v>
      </c>
      <c r="EW148" s="646">
        <v>0</v>
      </c>
      <c r="EX148" s="646">
        <v>30.155918314971316</v>
      </c>
      <c r="EY148" s="646">
        <v>0.18872564856818172</v>
      </c>
      <c r="EZ148" s="646">
        <v>3600</v>
      </c>
      <c r="FA148" s="563"/>
      <c r="FB148" s="563"/>
      <c r="FC148" s="563"/>
      <c r="FD148" s="563"/>
      <c r="FE148" s="563"/>
      <c r="FF148" s="650">
        <v>0</v>
      </c>
      <c r="FG148" s="563"/>
      <c r="FH148" s="563"/>
      <c r="FI148" s="563"/>
      <c r="FJ148" s="650">
        <v>0</v>
      </c>
      <c r="FK148" s="564">
        <v>0</v>
      </c>
      <c r="FL148" s="565">
        <v>0</v>
      </c>
      <c r="FM148" s="649">
        <v>0</v>
      </c>
      <c r="FN148" s="646">
        <v>5.3812384545636718</v>
      </c>
      <c r="FO148" s="646">
        <v>0</v>
      </c>
      <c r="FP148" s="646">
        <v>0</v>
      </c>
      <c r="FQ148" s="646">
        <v>30.155918314971316</v>
      </c>
      <c r="FR148" s="646">
        <v>0.18872564856818172</v>
      </c>
      <c r="FS148" s="646">
        <v>3600</v>
      </c>
      <c r="FT148" s="563"/>
      <c r="FU148" s="563"/>
      <c r="FV148" s="563"/>
      <c r="FW148" s="563"/>
      <c r="FX148" s="563"/>
      <c r="FY148" s="650">
        <v>0</v>
      </c>
      <c r="FZ148" s="563"/>
      <c r="GA148" s="563"/>
      <c r="GB148" s="563"/>
      <c r="GC148" s="650">
        <v>0</v>
      </c>
      <c r="GD148" s="564">
        <v>0</v>
      </c>
      <c r="GE148" s="565">
        <v>0</v>
      </c>
      <c r="GF148" s="649">
        <v>0</v>
      </c>
      <c r="GG148" s="646">
        <v>5.3812384545636718</v>
      </c>
      <c r="GH148" s="646">
        <v>0</v>
      </c>
      <c r="GI148" s="646">
        <v>0</v>
      </c>
      <c r="GJ148" s="646">
        <v>30.155918314971316</v>
      </c>
      <c r="GK148" s="646">
        <v>0.18872564856818172</v>
      </c>
      <c r="GL148" s="646">
        <v>3600</v>
      </c>
      <c r="GM148" s="563"/>
      <c r="GN148" s="563"/>
      <c r="GO148" s="563"/>
      <c r="GP148" s="563"/>
      <c r="GQ148" s="563"/>
      <c r="GR148" s="650">
        <v>0</v>
      </c>
      <c r="GS148" s="563"/>
      <c r="GT148" s="563"/>
      <c r="GU148" s="563"/>
      <c r="GV148" s="650">
        <v>0</v>
      </c>
      <c r="GW148" s="564">
        <v>0</v>
      </c>
      <c r="GX148" s="565">
        <v>0</v>
      </c>
      <c r="GY148" s="649">
        <v>0</v>
      </c>
      <c r="GZ148" s="646">
        <v>5.3812384545636718</v>
      </c>
      <c r="HA148" s="646">
        <v>0</v>
      </c>
      <c r="HB148" s="646">
        <v>0</v>
      </c>
      <c r="HC148" s="646">
        <v>30.155918314971316</v>
      </c>
      <c r="HD148" s="646">
        <v>0.18872564856818172</v>
      </c>
      <c r="HE148" s="646">
        <v>3600</v>
      </c>
      <c r="HF148" s="563"/>
      <c r="HG148" s="563"/>
      <c r="HH148" s="563"/>
      <c r="HI148" s="563"/>
      <c r="HJ148" s="563"/>
      <c r="HK148" s="650">
        <v>0</v>
      </c>
      <c r="HL148" s="563"/>
      <c r="HM148" s="563"/>
      <c r="HN148" s="563"/>
      <c r="HO148" s="650">
        <v>0</v>
      </c>
      <c r="HP148" s="564">
        <v>0</v>
      </c>
      <c r="HQ148" s="565">
        <v>0</v>
      </c>
      <c r="HR148" s="649">
        <v>0</v>
      </c>
      <c r="HS148" s="646">
        <v>5.3812384545636718</v>
      </c>
      <c r="HT148" s="646">
        <v>0</v>
      </c>
      <c r="HU148" s="646">
        <v>0</v>
      </c>
      <c r="HV148" s="646">
        <v>30.155918314971316</v>
      </c>
      <c r="HW148" s="646">
        <v>0.18872564856818172</v>
      </c>
      <c r="HX148" s="646">
        <v>3600</v>
      </c>
      <c r="HY148" s="563"/>
      <c r="HZ148" s="563"/>
      <c r="IA148" s="563"/>
      <c r="IB148" s="563"/>
      <c r="IC148" s="563"/>
      <c r="ID148" s="650">
        <v>0</v>
      </c>
      <c r="IE148" s="563"/>
      <c r="IF148" s="563"/>
      <c r="IG148" s="563"/>
      <c r="IH148" s="650">
        <v>0</v>
      </c>
      <c r="II148" s="564">
        <v>0</v>
      </c>
      <c r="IJ148" s="565">
        <v>0</v>
      </c>
      <c r="IK148" s="649">
        <v>0</v>
      </c>
      <c r="IL148" s="646">
        <v>5.3812384545636718</v>
      </c>
      <c r="IM148" s="646">
        <v>0</v>
      </c>
      <c r="IN148" s="646">
        <v>0</v>
      </c>
      <c r="IO148" s="646">
        <v>30.155918314971316</v>
      </c>
      <c r="IP148" s="646">
        <v>0.18872564856818172</v>
      </c>
      <c r="IQ148" s="646">
        <v>3600</v>
      </c>
      <c r="IR148" s="563"/>
      <c r="IS148" s="563"/>
      <c r="IT148" s="563"/>
      <c r="IU148" s="563"/>
      <c r="IV148" s="563"/>
      <c r="IW148" s="650">
        <v>0</v>
      </c>
      <c r="IX148" s="563"/>
      <c r="IY148" s="563"/>
      <c r="IZ148" s="563"/>
      <c r="JA148" s="650">
        <v>0</v>
      </c>
      <c r="JB148" s="564">
        <v>0</v>
      </c>
      <c r="JC148" s="565">
        <v>0</v>
      </c>
      <c r="JD148" s="649">
        <v>0</v>
      </c>
      <c r="JE148" s="646">
        <v>5.3812384545636718</v>
      </c>
      <c r="JF148" s="646">
        <v>0</v>
      </c>
      <c r="JG148" s="646">
        <v>0</v>
      </c>
      <c r="JH148" s="646">
        <v>30.155918314971316</v>
      </c>
      <c r="JI148" s="646">
        <v>0.18872564856818172</v>
      </c>
      <c r="JJ148" s="646">
        <v>3600</v>
      </c>
      <c r="JK148" s="563"/>
      <c r="JL148" s="563"/>
      <c r="JM148" s="563"/>
      <c r="JN148" s="563"/>
      <c r="JO148" s="563"/>
      <c r="JP148" s="650">
        <v>0</v>
      </c>
      <c r="JQ148" s="563"/>
      <c r="JR148" s="563"/>
      <c r="JS148" s="563"/>
      <c r="JT148" s="650">
        <v>0</v>
      </c>
      <c r="JU148" s="564">
        <v>0</v>
      </c>
      <c r="JV148" s="565">
        <v>0</v>
      </c>
      <c r="JW148" s="649">
        <v>0</v>
      </c>
      <c r="JX148" s="646">
        <v>5.3812384545636718</v>
      </c>
      <c r="JY148" s="646">
        <v>0</v>
      </c>
      <c r="JZ148" s="646">
        <v>0</v>
      </c>
      <c r="KA148" s="646">
        <v>30.155918314971316</v>
      </c>
      <c r="KB148" s="646">
        <v>0.18872564856818172</v>
      </c>
      <c r="KC148" s="646">
        <v>3600</v>
      </c>
      <c r="KD148" s="563"/>
      <c r="KE148" s="563"/>
      <c r="KF148" s="563"/>
      <c r="KG148" s="563"/>
      <c r="KH148" s="563"/>
      <c r="KI148" s="650">
        <v>0</v>
      </c>
      <c r="KJ148" s="563"/>
      <c r="KK148" s="563"/>
      <c r="KL148" s="563"/>
      <c r="KM148" s="650">
        <v>0</v>
      </c>
      <c r="KN148" s="564">
        <v>0</v>
      </c>
      <c r="KO148" s="566">
        <v>0</v>
      </c>
    </row>
    <row r="149" spans="1:301" ht="15" customHeight="1">
      <c r="A149" s="663" t="s">
        <v>898</v>
      </c>
      <c r="B149" s="629" t="s">
        <v>382</v>
      </c>
      <c r="C149" s="629">
        <v>442.452</v>
      </c>
      <c r="D149" s="629">
        <v>502</v>
      </c>
      <c r="E149" s="629">
        <v>450</v>
      </c>
      <c r="F149" s="629">
        <v>379.72825985108341</v>
      </c>
      <c r="G149" s="629">
        <v>166.45273097048289</v>
      </c>
      <c r="H149" s="629">
        <v>131.69145979415873</v>
      </c>
      <c r="I149" s="629">
        <v>125</v>
      </c>
      <c r="J149" s="629"/>
      <c r="K149" s="629"/>
      <c r="L149" s="629">
        <v>18</v>
      </c>
      <c r="M149" s="629">
        <v>184.62908959189102</v>
      </c>
      <c r="N149" s="629">
        <v>5</v>
      </c>
      <c r="O149" s="623">
        <v>1.5260537642224707</v>
      </c>
      <c r="P149" s="629">
        <v>5</v>
      </c>
      <c r="Q149" s="623">
        <v>7.7684965416758143</v>
      </c>
      <c r="R149" s="629"/>
      <c r="S149" s="629"/>
      <c r="T149" s="645">
        <v>0</v>
      </c>
      <c r="U149" s="645">
        <v>0</v>
      </c>
      <c r="V149" s="645">
        <v>97.5</v>
      </c>
      <c r="W149" s="793">
        <v>0</v>
      </c>
      <c r="X149" s="646">
        <v>0</v>
      </c>
      <c r="Y149" s="646">
        <v>0</v>
      </c>
      <c r="Z149" s="646">
        <v>0</v>
      </c>
      <c r="AA149" s="646">
        <v>0</v>
      </c>
      <c r="AB149" s="647">
        <v>0</v>
      </c>
      <c r="AC149" s="784">
        <v>0</v>
      </c>
      <c r="AD149" s="631"/>
      <c r="AE149" s="631"/>
      <c r="AF149" s="631"/>
      <c r="AG149" s="631"/>
      <c r="AH149" s="629"/>
      <c r="AI149" s="648">
        <v>1.337257690121169</v>
      </c>
      <c r="AJ149" s="649">
        <v>0</v>
      </c>
      <c r="AK149" s="646">
        <v>9.2945503058982855</v>
      </c>
      <c r="AL149" s="646">
        <v>0</v>
      </c>
      <c r="AM149" s="646">
        <v>0</v>
      </c>
      <c r="AN149" s="646">
        <v>23.711689327148978</v>
      </c>
      <c r="AO149" s="646">
        <v>0.33141121781783023</v>
      </c>
      <c r="AP149" s="801"/>
      <c r="AQ149" s="563"/>
      <c r="AR149" s="563"/>
      <c r="AS149" s="563"/>
      <c r="AT149" s="563"/>
      <c r="AU149" s="563"/>
      <c r="AV149" s="650">
        <v>0</v>
      </c>
      <c r="AW149" s="563"/>
      <c r="AX149" s="563"/>
      <c r="AY149" s="563"/>
      <c r="AZ149" s="650">
        <v>0</v>
      </c>
      <c r="BA149" s="564">
        <v>0</v>
      </c>
      <c r="BB149" s="565">
        <v>0</v>
      </c>
      <c r="BC149" s="649">
        <v>0</v>
      </c>
      <c r="BD149" s="646">
        <v>9.2945503058982855</v>
      </c>
      <c r="BE149" s="646">
        <v>0</v>
      </c>
      <c r="BF149" s="646">
        <v>0</v>
      </c>
      <c r="BG149" s="646">
        <v>23.711689327148978</v>
      </c>
      <c r="BH149" s="646">
        <v>0.33141121781783023</v>
      </c>
      <c r="BI149" s="646">
        <v>0</v>
      </c>
      <c r="BJ149" s="563"/>
      <c r="BK149" s="563"/>
      <c r="BL149" s="563"/>
      <c r="BM149" s="563"/>
      <c r="BN149" s="563"/>
      <c r="BO149" s="650">
        <v>0</v>
      </c>
      <c r="BP149" s="563"/>
      <c r="BQ149" s="563"/>
      <c r="BR149" s="563"/>
      <c r="BS149" s="650">
        <v>0</v>
      </c>
      <c r="BT149" s="564">
        <v>0</v>
      </c>
      <c r="BU149" s="565">
        <v>0</v>
      </c>
      <c r="BV149" s="649">
        <v>0</v>
      </c>
      <c r="BW149" s="646">
        <v>9.2945503058982855</v>
      </c>
      <c r="BX149" s="646">
        <v>0</v>
      </c>
      <c r="BY149" s="646">
        <v>0</v>
      </c>
      <c r="BZ149" s="646">
        <v>23.711689327148978</v>
      </c>
      <c r="CA149" s="646">
        <v>0.33141121781783023</v>
      </c>
      <c r="CB149" s="646">
        <v>3600</v>
      </c>
      <c r="CC149" s="563"/>
      <c r="CD149" s="563"/>
      <c r="CE149" s="563"/>
      <c r="CF149" s="563"/>
      <c r="CG149" s="563"/>
      <c r="CH149" s="650">
        <v>0</v>
      </c>
      <c r="CI149" s="563"/>
      <c r="CJ149" s="563"/>
      <c r="CK149" s="563"/>
      <c r="CL149" s="650">
        <v>0</v>
      </c>
      <c r="CM149" s="564">
        <v>0</v>
      </c>
      <c r="CN149" s="565">
        <v>0</v>
      </c>
      <c r="CO149" s="649">
        <v>0</v>
      </c>
      <c r="CP149" s="646">
        <v>9.2945503058982855</v>
      </c>
      <c r="CQ149" s="646">
        <v>0</v>
      </c>
      <c r="CR149" s="646">
        <v>0</v>
      </c>
      <c r="CS149" s="646">
        <v>23.711689327148978</v>
      </c>
      <c r="CT149" s="646">
        <v>0.33141121781783023</v>
      </c>
      <c r="CU149" s="646">
        <v>3600</v>
      </c>
      <c r="CV149" s="563"/>
      <c r="CW149" s="563"/>
      <c r="CX149" s="563"/>
      <c r="CY149" s="563"/>
      <c r="CZ149" s="563"/>
      <c r="DA149" s="650">
        <v>0</v>
      </c>
      <c r="DB149" s="563"/>
      <c r="DC149" s="563"/>
      <c r="DD149" s="563"/>
      <c r="DE149" s="650">
        <v>0</v>
      </c>
      <c r="DF149" s="564">
        <v>0</v>
      </c>
      <c r="DG149" s="565">
        <v>0</v>
      </c>
      <c r="DH149" s="649">
        <v>0</v>
      </c>
      <c r="DI149" s="646">
        <v>9.2945503058982855</v>
      </c>
      <c r="DJ149" s="646">
        <v>0</v>
      </c>
      <c r="DK149" s="646">
        <v>0</v>
      </c>
      <c r="DL149" s="646">
        <v>23.711689327148978</v>
      </c>
      <c r="DM149" s="646">
        <v>0.33141121781783023</v>
      </c>
      <c r="DN149" s="646">
        <v>3600</v>
      </c>
      <c r="DO149" s="563"/>
      <c r="DP149" s="563"/>
      <c r="DQ149" s="563"/>
      <c r="DR149" s="563"/>
      <c r="DS149" s="563"/>
      <c r="DT149" s="650">
        <v>0</v>
      </c>
      <c r="DU149" s="563"/>
      <c r="DV149" s="563"/>
      <c r="DW149" s="563"/>
      <c r="DX149" s="650">
        <v>0</v>
      </c>
      <c r="DY149" s="564">
        <v>0</v>
      </c>
      <c r="DZ149" s="565">
        <v>0</v>
      </c>
      <c r="EA149" s="649">
        <v>0</v>
      </c>
      <c r="EB149" s="646">
        <v>9.2945503058982855</v>
      </c>
      <c r="EC149" s="646">
        <v>0</v>
      </c>
      <c r="ED149" s="646">
        <v>0</v>
      </c>
      <c r="EE149" s="646">
        <v>23.711689327148978</v>
      </c>
      <c r="EF149" s="646">
        <v>0.33141121781783023</v>
      </c>
      <c r="EG149" s="646">
        <v>3600</v>
      </c>
      <c r="EH149" s="563"/>
      <c r="EI149" s="563"/>
      <c r="EJ149" s="563"/>
      <c r="EK149" s="563"/>
      <c r="EL149" s="563"/>
      <c r="EM149" s="650">
        <v>0</v>
      </c>
      <c r="EN149" s="563"/>
      <c r="EO149" s="563"/>
      <c r="EP149" s="563"/>
      <c r="EQ149" s="650">
        <v>0</v>
      </c>
      <c r="ER149" s="564">
        <v>0</v>
      </c>
      <c r="ES149" s="565">
        <v>0</v>
      </c>
      <c r="ET149" s="649">
        <v>0</v>
      </c>
      <c r="EU149" s="646">
        <v>9.2945503058982855</v>
      </c>
      <c r="EV149" s="646">
        <v>0</v>
      </c>
      <c r="EW149" s="646">
        <v>0</v>
      </c>
      <c r="EX149" s="646">
        <v>23.711689327148978</v>
      </c>
      <c r="EY149" s="646">
        <v>0.33141121781783023</v>
      </c>
      <c r="EZ149" s="646">
        <v>3600</v>
      </c>
      <c r="FA149" s="563"/>
      <c r="FB149" s="563"/>
      <c r="FC149" s="563"/>
      <c r="FD149" s="563"/>
      <c r="FE149" s="563"/>
      <c r="FF149" s="650">
        <v>0</v>
      </c>
      <c r="FG149" s="563"/>
      <c r="FH149" s="563"/>
      <c r="FI149" s="563"/>
      <c r="FJ149" s="650">
        <v>0</v>
      </c>
      <c r="FK149" s="564">
        <v>0</v>
      </c>
      <c r="FL149" s="565">
        <v>0</v>
      </c>
      <c r="FM149" s="649">
        <v>0</v>
      </c>
      <c r="FN149" s="646">
        <v>9.2945503058982855</v>
      </c>
      <c r="FO149" s="646">
        <v>0</v>
      </c>
      <c r="FP149" s="646">
        <v>0</v>
      </c>
      <c r="FQ149" s="646">
        <v>23.711689327148978</v>
      </c>
      <c r="FR149" s="646">
        <v>0.33141121781783023</v>
      </c>
      <c r="FS149" s="646">
        <v>3600</v>
      </c>
      <c r="FT149" s="563"/>
      <c r="FU149" s="563"/>
      <c r="FV149" s="563"/>
      <c r="FW149" s="563"/>
      <c r="FX149" s="563"/>
      <c r="FY149" s="650">
        <v>0</v>
      </c>
      <c r="FZ149" s="563"/>
      <c r="GA149" s="563"/>
      <c r="GB149" s="563"/>
      <c r="GC149" s="650">
        <v>0</v>
      </c>
      <c r="GD149" s="564">
        <v>0</v>
      </c>
      <c r="GE149" s="565">
        <v>0</v>
      </c>
      <c r="GF149" s="649">
        <v>0</v>
      </c>
      <c r="GG149" s="646">
        <v>9.2945503058982855</v>
      </c>
      <c r="GH149" s="646">
        <v>0</v>
      </c>
      <c r="GI149" s="646">
        <v>0</v>
      </c>
      <c r="GJ149" s="646">
        <v>23.711689327148978</v>
      </c>
      <c r="GK149" s="646">
        <v>0.33141121781783023</v>
      </c>
      <c r="GL149" s="646">
        <v>3600</v>
      </c>
      <c r="GM149" s="563"/>
      <c r="GN149" s="563"/>
      <c r="GO149" s="563"/>
      <c r="GP149" s="563"/>
      <c r="GQ149" s="563"/>
      <c r="GR149" s="650">
        <v>0</v>
      </c>
      <c r="GS149" s="563"/>
      <c r="GT149" s="563"/>
      <c r="GU149" s="563"/>
      <c r="GV149" s="650">
        <v>0</v>
      </c>
      <c r="GW149" s="564">
        <v>0</v>
      </c>
      <c r="GX149" s="565">
        <v>0</v>
      </c>
      <c r="GY149" s="649">
        <v>0</v>
      </c>
      <c r="GZ149" s="646">
        <v>9.2945503058982855</v>
      </c>
      <c r="HA149" s="646">
        <v>0</v>
      </c>
      <c r="HB149" s="646">
        <v>0</v>
      </c>
      <c r="HC149" s="646">
        <v>23.711689327148978</v>
      </c>
      <c r="HD149" s="646">
        <v>0.33141121781783023</v>
      </c>
      <c r="HE149" s="646">
        <v>3600</v>
      </c>
      <c r="HF149" s="563"/>
      <c r="HG149" s="563"/>
      <c r="HH149" s="563"/>
      <c r="HI149" s="563"/>
      <c r="HJ149" s="563"/>
      <c r="HK149" s="650">
        <v>0</v>
      </c>
      <c r="HL149" s="563"/>
      <c r="HM149" s="563"/>
      <c r="HN149" s="563"/>
      <c r="HO149" s="650">
        <v>0</v>
      </c>
      <c r="HP149" s="564">
        <v>0</v>
      </c>
      <c r="HQ149" s="565">
        <v>0</v>
      </c>
      <c r="HR149" s="649">
        <v>0</v>
      </c>
      <c r="HS149" s="646">
        <v>9.2945503058982855</v>
      </c>
      <c r="HT149" s="646">
        <v>0</v>
      </c>
      <c r="HU149" s="646">
        <v>0</v>
      </c>
      <c r="HV149" s="646">
        <v>23.711689327148978</v>
      </c>
      <c r="HW149" s="646">
        <v>0.33141121781783023</v>
      </c>
      <c r="HX149" s="646">
        <v>3600</v>
      </c>
      <c r="HY149" s="563"/>
      <c r="HZ149" s="563"/>
      <c r="IA149" s="563"/>
      <c r="IB149" s="563"/>
      <c r="IC149" s="563"/>
      <c r="ID149" s="650">
        <v>0</v>
      </c>
      <c r="IE149" s="563"/>
      <c r="IF149" s="563"/>
      <c r="IG149" s="563"/>
      <c r="IH149" s="650">
        <v>0</v>
      </c>
      <c r="II149" s="564">
        <v>0</v>
      </c>
      <c r="IJ149" s="565">
        <v>0</v>
      </c>
      <c r="IK149" s="649">
        <v>0</v>
      </c>
      <c r="IL149" s="646">
        <v>9.2945503058982855</v>
      </c>
      <c r="IM149" s="646">
        <v>0</v>
      </c>
      <c r="IN149" s="646">
        <v>0</v>
      </c>
      <c r="IO149" s="646">
        <v>23.711689327148978</v>
      </c>
      <c r="IP149" s="646">
        <v>0.33141121781783023</v>
      </c>
      <c r="IQ149" s="646">
        <v>3600</v>
      </c>
      <c r="IR149" s="563"/>
      <c r="IS149" s="563"/>
      <c r="IT149" s="563"/>
      <c r="IU149" s="563"/>
      <c r="IV149" s="563"/>
      <c r="IW149" s="650">
        <v>0</v>
      </c>
      <c r="IX149" s="563"/>
      <c r="IY149" s="563"/>
      <c r="IZ149" s="563"/>
      <c r="JA149" s="650">
        <v>0</v>
      </c>
      <c r="JB149" s="564">
        <v>0</v>
      </c>
      <c r="JC149" s="565">
        <v>0</v>
      </c>
      <c r="JD149" s="649">
        <v>0</v>
      </c>
      <c r="JE149" s="646">
        <v>9.2945503058982855</v>
      </c>
      <c r="JF149" s="646">
        <v>0</v>
      </c>
      <c r="JG149" s="646">
        <v>0</v>
      </c>
      <c r="JH149" s="646">
        <v>23.711689327148978</v>
      </c>
      <c r="JI149" s="646">
        <v>0.33141121781783023</v>
      </c>
      <c r="JJ149" s="646">
        <v>3600</v>
      </c>
      <c r="JK149" s="563"/>
      <c r="JL149" s="563"/>
      <c r="JM149" s="563"/>
      <c r="JN149" s="563"/>
      <c r="JO149" s="563"/>
      <c r="JP149" s="650">
        <v>0</v>
      </c>
      <c r="JQ149" s="563"/>
      <c r="JR149" s="563"/>
      <c r="JS149" s="563"/>
      <c r="JT149" s="650">
        <v>0</v>
      </c>
      <c r="JU149" s="564">
        <v>0</v>
      </c>
      <c r="JV149" s="565">
        <v>0</v>
      </c>
      <c r="JW149" s="649">
        <v>0</v>
      </c>
      <c r="JX149" s="646">
        <v>9.2945503058982855</v>
      </c>
      <c r="JY149" s="646">
        <v>0</v>
      </c>
      <c r="JZ149" s="646">
        <v>0</v>
      </c>
      <c r="KA149" s="646">
        <v>23.711689327148978</v>
      </c>
      <c r="KB149" s="646">
        <v>0.33141121781783023</v>
      </c>
      <c r="KC149" s="646">
        <v>3600</v>
      </c>
      <c r="KD149" s="563"/>
      <c r="KE149" s="563"/>
      <c r="KF149" s="563"/>
      <c r="KG149" s="563"/>
      <c r="KH149" s="563"/>
      <c r="KI149" s="650">
        <v>0</v>
      </c>
      <c r="KJ149" s="563"/>
      <c r="KK149" s="563"/>
      <c r="KL149" s="563"/>
      <c r="KM149" s="650">
        <v>0</v>
      </c>
      <c r="KN149" s="564">
        <v>0</v>
      </c>
      <c r="KO149" s="566">
        <v>0</v>
      </c>
    </row>
    <row r="150" spans="1:301" ht="15" customHeight="1">
      <c r="A150" s="663" t="s">
        <v>899</v>
      </c>
      <c r="B150" s="629" t="s">
        <v>382</v>
      </c>
      <c r="C150" s="629">
        <v>250</v>
      </c>
      <c r="D150" s="629">
        <v>600</v>
      </c>
      <c r="E150" s="629">
        <v>250</v>
      </c>
      <c r="F150" s="629">
        <v>224.26059343064685</v>
      </c>
      <c r="G150" s="629">
        <v>68.029294983601588</v>
      </c>
      <c r="H150" s="629">
        <v>49.618798578174399</v>
      </c>
      <c r="I150" s="629">
        <v>45</v>
      </c>
      <c r="J150" s="629"/>
      <c r="K150" s="629"/>
      <c r="L150" s="629">
        <v>16</v>
      </c>
      <c r="M150" s="629">
        <v>317.05292586389231</v>
      </c>
      <c r="N150" s="629">
        <v>5</v>
      </c>
      <c r="O150" s="623">
        <v>9.1709961792215786</v>
      </c>
      <c r="P150" s="629">
        <v>5</v>
      </c>
      <c r="Q150" s="623">
        <v>11.097676048805944</v>
      </c>
      <c r="R150" s="629"/>
      <c r="S150" s="629"/>
      <c r="T150" s="645">
        <v>0</v>
      </c>
      <c r="U150" s="645">
        <v>0</v>
      </c>
      <c r="V150" s="645">
        <v>60</v>
      </c>
      <c r="W150" s="793">
        <v>0</v>
      </c>
      <c r="X150" s="646">
        <v>0</v>
      </c>
      <c r="Y150" s="646">
        <v>0</v>
      </c>
      <c r="Z150" s="646">
        <v>0</v>
      </c>
      <c r="AA150" s="646">
        <v>0</v>
      </c>
      <c r="AB150" s="647">
        <v>0</v>
      </c>
      <c r="AC150" s="784">
        <v>0</v>
      </c>
      <c r="AD150" s="631"/>
      <c r="AE150" s="631"/>
      <c r="AF150" s="631"/>
      <c r="AG150" s="631"/>
      <c r="AH150" s="629"/>
      <c r="AI150" s="648">
        <v>1.5127852557626282</v>
      </c>
      <c r="AJ150" s="649">
        <v>0</v>
      </c>
      <c r="AK150" s="646">
        <v>20.268672228027523</v>
      </c>
      <c r="AL150" s="646">
        <v>0</v>
      </c>
      <c r="AM150" s="646">
        <v>0</v>
      </c>
      <c r="AN150" s="646">
        <v>23.819912664649252</v>
      </c>
      <c r="AO150" s="646">
        <v>0.98373865791140724</v>
      </c>
      <c r="AP150" s="801"/>
      <c r="AQ150" s="563"/>
      <c r="AR150" s="563"/>
      <c r="AS150" s="563"/>
      <c r="AT150" s="563"/>
      <c r="AU150" s="563"/>
      <c r="AV150" s="650">
        <v>0</v>
      </c>
      <c r="AW150" s="563"/>
      <c r="AX150" s="563"/>
      <c r="AY150" s="563"/>
      <c r="AZ150" s="650">
        <v>0</v>
      </c>
      <c r="BA150" s="564">
        <v>0</v>
      </c>
      <c r="BB150" s="565">
        <v>0</v>
      </c>
      <c r="BC150" s="649">
        <v>0</v>
      </c>
      <c r="BD150" s="646">
        <v>20.268672228027523</v>
      </c>
      <c r="BE150" s="646">
        <v>0</v>
      </c>
      <c r="BF150" s="646">
        <v>0</v>
      </c>
      <c r="BG150" s="646">
        <v>23.819912664649252</v>
      </c>
      <c r="BH150" s="646">
        <v>0.98373865791140724</v>
      </c>
      <c r="BI150" s="646">
        <v>0</v>
      </c>
      <c r="BJ150" s="563"/>
      <c r="BK150" s="563"/>
      <c r="BL150" s="563"/>
      <c r="BM150" s="563"/>
      <c r="BN150" s="563"/>
      <c r="BO150" s="650">
        <v>0</v>
      </c>
      <c r="BP150" s="563"/>
      <c r="BQ150" s="563"/>
      <c r="BR150" s="563"/>
      <c r="BS150" s="650">
        <v>0</v>
      </c>
      <c r="BT150" s="564">
        <v>0</v>
      </c>
      <c r="BU150" s="565">
        <v>0</v>
      </c>
      <c r="BV150" s="649">
        <v>0</v>
      </c>
      <c r="BW150" s="646">
        <v>20.268672228027523</v>
      </c>
      <c r="BX150" s="646">
        <v>0</v>
      </c>
      <c r="BY150" s="646">
        <v>0</v>
      </c>
      <c r="BZ150" s="646">
        <v>23.819912664649252</v>
      </c>
      <c r="CA150" s="646">
        <v>0.98373865791140724</v>
      </c>
      <c r="CB150" s="646">
        <v>3600</v>
      </c>
      <c r="CC150" s="563"/>
      <c r="CD150" s="563"/>
      <c r="CE150" s="563"/>
      <c r="CF150" s="563"/>
      <c r="CG150" s="563"/>
      <c r="CH150" s="650">
        <v>0</v>
      </c>
      <c r="CI150" s="563"/>
      <c r="CJ150" s="563"/>
      <c r="CK150" s="563"/>
      <c r="CL150" s="650">
        <v>0</v>
      </c>
      <c r="CM150" s="564">
        <v>0</v>
      </c>
      <c r="CN150" s="565">
        <v>0</v>
      </c>
      <c r="CO150" s="649">
        <v>0</v>
      </c>
      <c r="CP150" s="646">
        <v>20.268672228027523</v>
      </c>
      <c r="CQ150" s="646">
        <v>0</v>
      </c>
      <c r="CR150" s="646">
        <v>0</v>
      </c>
      <c r="CS150" s="646">
        <v>23.819912664649252</v>
      </c>
      <c r="CT150" s="646">
        <v>0.98373865791140724</v>
      </c>
      <c r="CU150" s="646">
        <v>3600</v>
      </c>
      <c r="CV150" s="563"/>
      <c r="CW150" s="563"/>
      <c r="CX150" s="563"/>
      <c r="CY150" s="563"/>
      <c r="CZ150" s="563"/>
      <c r="DA150" s="650">
        <v>0</v>
      </c>
      <c r="DB150" s="563"/>
      <c r="DC150" s="563"/>
      <c r="DD150" s="563"/>
      <c r="DE150" s="650">
        <v>0</v>
      </c>
      <c r="DF150" s="564">
        <v>0</v>
      </c>
      <c r="DG150" s="565">
        <v>0</v>
      </c>
      <c r="DH150" s="649">
        <v>0</v>
      </c>
      <c r="DI150" s="646">
        <v>20.268672228027523</v>
      </c>
      <c r="DJ150" s="646">
        <v>0</v>
      </c>
      <c r="DK150" s="646">
        <v>0</v>
      </c>
      <c r="DL150" s="646">
        <v>23.819912664649252</v>
      </c>
      <c r="DM150" s="646">
        <v>0.98373865791140724</v>
      </c>
      <c r="DN150" s="646">
        <v>3600</v>
      </c>
      <c r="DO150" s="563"/>
      <c r="DP150" s="563"/>
      <c r="DQ150" s="563"/>
      <c r="DR150" s="563"/>
      <c r="DS150" s="563"/>
      <c r="DT150" s="650">
        <v>0</v>
      </c>
      <c r="DU150" s="563"/>
      <c r="DV150" s="563"/>
      <c r="DW150" s="563"/>
      <c r="DX150" s="650">
        <v>0</v>
      </c>
      <c r="DY150" s="564">
        <v>0</v>
      </c>
      <c r="DZ150" s="565">
        <v>0</v>
      </c>
      <c r="EA150" s="649">
        <v>0</v>
      </c>
      <c r="EB150" s="646">
        <v>20.268672228027523</v>
      </c>
      <c r="EC150" s="646">
        <v>0</v>
      </c>
      <c r="ED150" s="646">
        <v>0</v>
      </c>
      <c r="EE150" s="646">
        <v>23.819912664649252</v>
      </c>
      <c r="EF150" s="646">
        <v>0.98373865791140724</v>
      </c>
      <c r="EG150" s="646">
        <v>3600</v>
      </c>
      <c r="EH150" s="563"/>
      <c r="EI150" s="563"/>
      <c r="EJ150" s="563"/>
      <c r="EK150" s="563"/>
      <c r="EL150" s="563"/>
      <c r="EM150" s="650">
        <v>0</v>
      </c>
      <c r="EN150" s="563"/>
      <c r="EO150" s="563"/>
      <c r="EP150" s="563"/>
      <c r="EQ150" s="650">
        <v>0</v>
      </c>
      <c r="ER150" s="564">
        <v>0</v>
      </c>
      <c r="ES150" s="565">
        <v>0</v>
      </c>
      <c r="ET150" s="649">
        <v>0</v>
      </c>
      <c r="EU150" s="646">
        <v>20.268672228027523</v>
      </c>
      <c r="EV150" s="646">
        <v>0</v>
      </c>
      <c r="EW150" s="646">
        <v>0</v>
      </c>
      <c r="EX150" s="646">
        <v>23.819912664649252</v>
      </c>
      <c r="EY150" s="646">
        <v>0.98373865791140724</v>
      </c>
      <c r="EZ150" s="646">
        <v>3600</v>
      </c>
      <c r="FA150" s="563"/>
      <c r="FB150" s="563"/>
      <c r="FC150" s="563"/>
      <c r="FD150" s="563"/>
      <c r="FE150" s="563"/>
      <c r="FF150" s="650">
        <v>0</v>
      </c>
      <c r="FG150" s="563"/>
      <c r="FH150" s="563"/>
      <c r="FI150" s="563"/>
      <c r="FJ150" s="650">
        <v>0</v>
      </c>
      <c r="FK150" s="564">
        <v>0</v>
      </c>
      <c r="FL150" s="565">
        <v>0</v>
      </c>
      <c r="FM150" s="649">
        <v>0</v>
      </c>
      <c r="FN150" s="646">
        <v>20.268672228027523</v>
      </c>
      <c r="FO150" s="646">
        <v>0</v>
      </c>
      <c r="FP150" s="646">
        <v>0</v>
      </c>
      <c r="FQ150" s="646">
        <v>23.819912664649252</v>
      </c>
      <c r="FR150" s="646">
        <v>0.98373865791140724</v>
      </c>
      <c r="FS150" s="646">
        <v>3600</v>
      </c>
      <c r="FT150" s="563"/>
      <c r="FU150" s="563"/>
      <c r="FV150" s="563"/>
      <c r="FW150" s="563"/>
      <c r="FX150" s="563"/>
      <c r="FY150" s="650">
        <v>0</v>
      </c>
      <c r="FZ150" s="563"/>
      <c r="GA150" s="563"/>
      <c r="GB150" s="563"/>
      <c r="GC150" s="650">
        <v>0</v>
      </c>
      <c r="GD150" s="564">
        <v>0</v>
      </c>
      <c r="GE150" s="565">
        <v>0</v>
      </c>
      <c r="GF150" s="649">
        <v>0</v>
      </c>
      <c r="GG150" s="646">
        <v>20.268672228027523</v>
      </c>
      <c r="GH150" s="646">
        <v>0</v>
      </c>
      <c r="GI150" s="646">
        <v>0</v>
      </c>
      <c r="GJ150" s="646">
        <v>23.819912664649252</v>
      </c>
      <c r="GK150" s="646">
        <v>0.98373865791140724</v>
      </c>
      <c r="GL150" s="646">
        <v>3600</v>
      </c>
      <c r="GM150" s="563"/>
      <c r="GN150" s="563"/>
      <c r="GO150" s="563"/>
      <c r="GP150" s="563"/>
      <c r="GQ150" s="563"/>
      <c r="GR150" s="650">
        <v>0</v>
      </c>
      <c r="GS150" s="563"/>
      <c r="GT150" s="563"/>
      <c r="GU150" s="563"/>
      <c r="GV150" s="650">
        <v>0</v>
      </c>
      <c r="GW150" s="564">
        <v>0</v>
      </c>
      <c r="GX150" s="565">
        <v>0</v>
      </c>
      <c r="GY150" s="649">
        <v>0</v>
      </c>
      <c r="GZ150" s="646">
        <v>20.268672228027523</v>
      </c>
      <c r="HA150" s="646">
        <v>0</v>
      </c>
      <c r="HB150" s="646">
        <v>0</v>
      </c>
      <c r="HC150" s="646">
        <v>23.819912664649252</v>
      </c>
      <c r="HD150" s="646">
        <v>0.98373865791140724</v>
      </c>
      <c r="HE150" s="646">
        <v>3600</v>
      </c>
      <c r="HF150" s="563"/>
      <c r="HG150" s="563"/>
      <c r="HH150" s="563"/>
      <c r="HI150" s="563"/>
      <c r="HJ150" s="563"/>
      <c r="HK150" s="650">
        <v>0</v>
      </c>
      <c r="HL150" s="563"/>
      <c r="HM150" s="563"/>
      <c r="HN150" s="563"/>
      <c r="HO150" s="650">
        <v>0</v>
      </c>
      <c r="HP150" s="564">
        <v>0</v>
      </c>
      <c r="HQ150" s="565">
        <v>0</v>
      </c>
      <c r="HR150" s="649">
        <v>0</v>
      </c>
      <c r="HS150" s="646">
        <v>20.268672228027523</v>
      </c>
      <c r="HT150" s="646">
        <v>0</v>
      </c>
      <c r="HU150" s="646">
        <v>0</v>
      </c>
      <c r="HV150" s="646">
        <v>23.819912664649252</v>
      </c>
      <c r="HW150" s="646">
        <v>0.98373865791140724</v>
      </c>
      <c r="HX150" s="646">
        <v>3600</v>
      </c>
      <c r="HY150" s="563"/>
      <c r="HZ150" s="563"/>
      <c r="IA150" s="563"/>
      <c r="IB150" s="563"/>
      <c r="IC150" s="563"/>
      <c r="ID150" s="650">
        <v>0</v>
      </c>
      <c r="IE150" s="563"/>
      <c r="IF150" s="563"/>
      <c r="IG150" s="563"/>
      <c r="IH150" s="650">
        <v>0</v>
      </c>
      <c r="II150" s="564">
        <v>0</v>
      </c>
      <c r="IJ150" s="565">
        <v>0</v>
      </c>
      <c r="IK150" s="649">
        <v>0</v>
      </c>
      <c r="IL150" s="646">
        <v>20.268672228027523</v>
      </c>
      <c r="IM150" s="646">
        <v>0</v>
      </c>
      <c r="IN150" s="646">
        <v>0</v>
      </c>
      <c r="IO150" s="646">
        <v>23.819912664649252</v>
      </c>
      <c r="IP150" s="646">
        <v>0.98373865791140724</v>
      </c>
      <c r="IQ150" s="646">
        <v>3600</v>
      </c>
      <c r="IR150" s="563"/>
      <c r="IS150" s="563"/>
      <c r="IT150" s="563"/>
      <c r="IU150" s="563"/>
      <c r="IV150" s="563"/>
      <c r="IW150" s="650">
        <v>0</v>
      </c>
      <c r="IX150" s="563"/>
      <c r="IY150" s="563"/>
      <c r="IZ150" s="563"/>
      <c r="JA150" s="650">
        <v>0</v>
      </c>
      <c r="JB150" s="564">
        <v>0</v>
      </c>
      <c r="JC150" s="565">
        <v>0</v>
      </c>
      <c r="JD150" s="649">
        <v>0</v>
      </c>
      <c r="JE150" s="646">
        <v>20.268672228027523</v>
      </c>
      <c r="JF150" s="646">
        <v>0</v>
      </c>
      <c r="JG150" s="646">
        <v>0</v>
      </c>
      <c r="JH150" s="646">
        <v>23.819912664649252</v>
      </c>
      <c r="JI150" s="646">
        <v>0.98373865791140724</v>
      </c>
      <c r="JJ150" s="646">
        <v>3600</v>
      </c>
      <c r="JK150" s="563"/>
      <c r="JL150" s="563"/>
      <c r="JM150" s="563"/>
      <c r="JN150" s="563"/>
      <c r="JO150" s="563"/>
      <c r="JP150" s="650">
        <v>0</v>
      </c>
      <c r="JQ150" s="563"/>
      <c r="JR150" s="563"/>
      <c r="JS150" s="563"/>
      <c r="JT150" s="650">
        <v>0</v>
      </c>
      <c r="JU150" s="564">
        <v>0</v>
      </c>
      <c r="JV150" s="565">
        <v>0</v>
      </c>
      <c r="JW150" s="649">
        <v>0</v>
      </c>
      <c r="JX150" s="646">
        <v>20.268672228027523</v>
      </c>
      <c r="JY150" s="646">
        <v>0</v>
      </c>
      <c r="JZ150" s="646">
        <v>0</v>
      </c>
      <c r="KA150" s="646">
        <v>23.819912664649252</v>
      </c>
      <c r="KB150" s="646">
        <v>0.98373865791140724</v>
      </c>
      <c r="KC150" s="646">
        <v>3600</v>
      </c>
      <c r="KD150" s="563"/>
      <c r="KE150" s="563"/>
      <c r="KF150" s="563"/>
      <c r="KG150" s="563"/>
      <c r="KH150" s="563"/>
      <c r="KI150" s="650">
        <v>0</v>
      </c>
      <c r="KJ150" s="563"/>
      <c r="KK150" s="563"/>
      <c r="KL150" s="563"/>
      <c r="KM150" s="650">
        <v>0</v>
      </c>
      <c r="KN150" s="564">
        <v>0</v>
      </c>
      <c r="KO150" s="566">
        <v>0</v>
      </c>
    </row>
    <row r="151" spans="1:301" ht="15" customHeight="1">
      <c r="A151" s="663" t="s">
        <v>900</v>
      </c>
      <c r="B151" s="629" t="s">
        <v>382</v>
      </c>
      <c r="C151" s="629">
        <v>325</v>
      </c>
      <c r="D151" s="629">
        <v>600</v>
      </c>
      <c r="E151" s="629">
        <v>315</v>
      </c>
      <c r="F151" s="629">
        <v>295.49356714440597</v>
      </c>
      <c r="G151" s="629">
        <v>89.016911679338008</v>
      </c>
      <c r="H151" s="629">
        <v>64.526405787482304</v>
      </c>
      <c r="I151" s="629">
        <v>60</v>
      </c>
      <c r="J151" s="629"/>
      <c r="K151" s="629"/>
      <c r="L151" s="629">
        <v>16</v>
      </c>
      <c r="M151" s="629">
        <v>339.84386040203987</v>
      </c>
      <c r="N151" s="629">
        <v>5</v>
      </c>
      <c r="O151" s="623">
        <v>8.0388790878538057</v>
      </c>
      <c r="P151" s="629">
        <v>5</v>
      </c>
      <c r="Q151" s="623">
        <v>11.097676048805944</v>
      </c>
      <c r="R151" s="629"/>
      <c r="S151" s="629"/>
      <c r="T151" s="645">
        <v>0</v>
      </c>
      <c r="U151" s="645">
        <v>0</v>
      </c>
      <c r="V151" s="645">
        <v>72.5</v>
      </c>
      <c r="W151" s="793">
        <v>0</v>
      </c>
      <c r="X151" s="646">
        <v>0</v>
      </c>
      <c r="Y151" s="646">
        <v>0</v>
      </c>
      <c r="Z151" s="646">
        <v>0</v>
      </c>
      <c r="AA151" s="646">
        <v>0</v>
      </c>
      <c r="AB151" s="647">
        <v>0</v>
      </c>
      <c r="AC151" s="784">
        <v>0</v>
      </c>
      <c r="AD151" s="631"/>
      <c r="AE151" s="631"/>
      <c r="AF151" s="631"/>
      <c r="AG151" s="631"/>
      <c r="AH151" s="629"/>
      <c r="AI151" s="648">
        <v>1.6421705447115569</v>
      </c>
      <c r="AJ151" s="649">
        <v>0</v>
      </c>
      <c r="AK151" s="646">
        <v>19.136555136659751</v>
      </c>
      <c r="AL151" s="646">
        <v>0</v>
      </c>
      <c r="AM151" s="646">
        <v>0</v>
      </c>
      <c r="AN151" s="646">
        <v>28.556036356539316</v>
      </c>
      <c r="AO151" s="646">
        <v>0.96085220333622556</v>
      </c>
      <c r="AP151" s="801"/>
      <c r="AQ151" s="563"/>
      <c r="AR151" s="563"/>
      <c r="AS151" s="563"/>
      <c r="AT151" s="563"/>
      <c r="AU151" s="563"/>
      <c r="AV151" s="650">
        <v>0</v>
      </c>
      <c r="AW151" s="563"/>
      <c r="AX151" s="563"/>
      <c r="AY151" s="563"/>
      <c r="AZ151" s="650">
        <v>0</v>
      </c>
      <c r="BA151" s="564">
        <v>0</v>
      </c>
      <c r="BB151" s="565">
        <v>0</v>
      </c>
      <c r="BC151" s="649">
        <v>0</v>
      </c>
      <c r="BD151" s="646">
        <v>19.136555136659751</v>
      </c>
      <c r="BE151" s="646">
        <v>0</v>
      </c>
      <c r="BF151" s="646">
        <v>0</v>
      </c>
      <c r="BG151" s="646">
        <v>28.556036356539316</v>
      </c>
      <c r="BH151" s="646">
        <v>0.96085220333622556</v>
      </c>
      <c r="BI151" s="646">
        <v>0</v>
      </c>
      <c r="BJ151" s="563"/>
      <c r="BK151" s="563"/>
      <c r="BL151" s="563"/>
      <c r="BM151" s="563"/>
      <c r="BN151" s="563"/>
      <c r="BO151" s="650">
        <v>0</v>
      </c>
      <c r="BP151" s="563"/>
      <c r="BQ151" s="563"/>
      <c r="BR151" s="563"/>
      <c r="BS151" s="650">
        <v>0</v>
      </c>
      <c r="BT151" s="564">
        <v>0</v>
      </c>
      <c r="BU151" s="565">
        <v>0</v>
      </c>
      <c r="BV151" s="649">
        <v>0</v>
      </c>
      <c r="BW151" s="646">
        <v>19.136555136659751</v>
      </c>
      <c r="BX151" s="646">
        <v>0</v>
      </c>
      <c r="BY151" s="646">
        <v>0</v>
      </c>
      <c r="BZ151" s="646">
        <v>28.556036356539316</v>
      </c>
      <c r="CA151" s="646">
        <v>0.96085220333622556</v>
      </c>
      <c r="CB151" s="646">
        <v>3600</v>
      </c>
      <c r="CC151" s="563"/>
      <c r="CD151" s="563"/>
      <c r="CE151" s="563"/>
      <c r="CF151" s="563"/>
      <c r="CG151" s="563"/>
      <c r="CH151" s="650">
        <v>0</v>
      </c>
      <c r="CI151" s="563"/>
      <c r="CJ151" s="563"/>
      <c r="CK151" s="563"/>
      <c r="CL151" s="650">
        <v>0</v>
      </c>
      <c r="CM151" s="564">
        <v>0</v>
      </c>
      <c r="CN151" s="565">
        <v>0</v>
      </c>
      <c r="CO151" s="649">
        <v>0</v>
      </c>
      <c r="CP151" s="646">
        <v>19.136555136659751</v>
      </c>
      <c r="CQ151" s="646">
        <v>0</v>
      </c>
      <c r="CR151" s="646">
        <v>0</v>
      </c>
      <c r="CS151" s="646">
        <v>28.556036356539316</v>
      </c>
      <c r="CT151" s="646">
        <v>0.96085220333622556</v>
      </c>
      <c r="CU151" s="646">
        <v>3600</v>
      </c>
      <c r="CV151" s="563"/>
      <c r="CW151" s="563"/>
      <c r="CX151" s="563"/>
      <c r="CY151" s="563"/>
      <c r="CZ151" s="563"/>
      <c r="DA151" s="650">
        <v>0</v>
      </c>
      <c r="DB151" s="563"/>
      <c r="DC151" s="563"/>
      <c r="DD151" s="563"/>
      <c r="DE151" s="650">
        <v>0</v>
      </c>
      <c r="DF151" s="564">
        <v>0</v>
      </c>
      <c r="DG151" s="565">
        <v>0</v>
      </c>
      <c r="DH151" s="649">
        <v>0</v>
      </c>
      <c r="DI151" s="646">
        <v>19.136555136659751</v>
      </c>
      <c r="DJ151" s="646">
        <v>0</v>
      </c>
      <c r="DK151" s="646">
        <v>0</v>
      </c>
      <c r="DL151" s="646">
        <v>28.556036356539316</v>
      </c>
      <c r="DM151" s="646">
        <v>0.96085220333622556</v>
      </c>
      <c r="DN151" s="646">
        <v>3600</v>
      </c>
      <c r="DO151" s="563"/>
      <c r="DP151" s="563"/>
      <c r="DQ151" s="563"/>
      <c r="DR151" s="563"/>
      <c r="DS151" s="563"/>
      <c r="DT151" s="650">
        <v>0</v>
      </c>
      <c r="DU151" s="563"/>
      <c r="DV151" s="563"/>
      <c r="DW151" s="563"/>
      <c r="DX151" s="650">
        <v>0</v>
      </c>
      <c r="DY151" s="564">
        <v>0</v>
      </c>
      <c r="DZ151" s="565">
        <v>0</v>
      </c>
      <c r="EA151" s="649">
        <v>0</v>
      </c>
      <c r="EB151" s="646">
        <v>19.136555136659751</v>
      </c>
      <c r="EC151" s="646">
        <v>0</v>
      </c>
      <c r="ED151" s="646">
        <v>0</v>
      </c>
      <c r="EE151" s="646">
        <v>28.556036356539316</v>
      </c>
      <c r="EF151" s="646">
        <v>0.96085220333622556</v>
      </c>
      <c r="EG151" s="646">
        <v>3600</v>
      </c>
      <c r="EH151" s="563"/>
      <c r="EI151" s="563"/>
      <c r="EJ151" s="563"/>
      <c r="EK151" s="563"/>
      <c r="EL151" s="563"/>
      <c r="EM151" s="650">
        <v>0</v>
      </c>
      <c r="EN151" s="563"/>
      <c r="EO151" s="563"/>
      <c r="EP151" s="563"/>
      <c r="EQ151" s="650">
        <v>0</v>
      </c>
      <c r="ER151" s="564">
        <v>0</v>
      </c>
      <c r="ES151" s="565">
        <v>0</v>
      </c>
      <c r="ET151" s="649">
        <v>0</v>
      </c>
      <c r="EU151" s="646">
        <v>19.136555136659751</v>
      </c>
      <c r="EV151" s="646">
        <v>0</v>
      </c>
      <c r="EW151" s="646">
        <v>0</v>
      </c>
      <c r="EX151" s="646">
        <v>28.556036356539316</v>
      </c>
      <c r="EY151" s="646">
        <v>0.96085220333622556</v>
      </c>
      <c r="EZ151" s="646">
        <v>3600</v>
      </c>
      <c r="FA151" s="563"/>
      <c r="FB151" s="563"/>
      <c r="FC151" s="563"/>
      <c r="FD151" s="563"/>
      <c r="FE151" s="563"/>
      <c r="FF151" s="650">
        <v>0</v>
      </c>
      <c r="FG151" s="563"/>
      <c r="FH151" s="563"/>
      <c r="FI151" s="563"/>
      <c r="FJ151" s="650">
        <v>0</v>
      </c>
      <c r="FK151" s="564">
        <v>0</v>
      </c>
      <c r="FL151" s="565">
        <v>0</v>
      </c>
      <c r="FM151" s="649">
        <v>0</v>
      </c>
      <c r="FN151" s="646">
        <v>19.136555136659751</v>
      </c>
      <c r="FO151" s="646">
        <v>0</v>
      </c>
      <c r="FP151" s="646">
        <v>0</v>
      </c>
      <c r="FQ151" s="646">
        <v>28.556036356539316</v>
      </c>
      <c r="FR151" s="646">
        <v>0.96085220333622556</v>
      </c>
      <c r="FS151" s="646">
        <v>3600</v>
      </c>
      <c r="FT151" s="563"/>
      <c r="FU151" s="563"/>
      <c r="FV151" s="563"/>
      <c r="FW151" s="563"/>
      <c r="FX151" s="563"/>
      <c r="FY151" s="650">
        <v>0</v>
      </c>
      <c r="FZ151" s="563"/>
      <c r="GA151" s="563"/>
      <c r="GB151" s="563"/>
      <c r="GC151" s="650">
        <v>0</v>
      </c>
      <c r="GD151" s="564">
        <v>0</v>
      </c>
      <c r="GE151" s="565">
        <v>0</v>
      </c>
      <c r="GF151" s="649">
        <v>0</v>
      </c>
      <c r="GG151" s="646">
        <v>19.136555136659751</v>
      </c>
      <c r="GH151" s="646">
        <v>0</v>
      </c>
      <c r="GI151" s="646">
        <v>0</v>
      </c>
      <c r="GJ151" s="646">
        <v>28.556036356539316</v>
      </c>
      <c r="GK151" s="646">
        <v>0.96085220333622556</v>
      </c>
      <c r="GL151" s="646">
        <v>3600</v>
      </c>
      <c r="GM151" s="563"/>
      <c r="GN151" s="563"/>
      <c r="GO151" s="563"/>
      <c r="GP151" s="563"/>
      <c r="GQ151" s="563"/>
      <c r="GR151" s="650">
        <v>0</v>
      </c>
      <c r="GS151" s="563"/>
      <c r="GT151" s="563"/>
      <c r="GU151" s="563"/>
      <c r="GV151" s="650">
        <v>0</v>
      </c>
      <c r="GW151" s="564">
        <v>0</v>
      </c>
      <c r="GX151" s="565">
        <v>0</v>
      </c>
      <c r="GY151" s="649">
        <v>0</v>
      </c>
      <c r="GZ151" s="646">
        <v>19.136555136659751</v>
      </c>
      <c r="HA151" s="646">
        <v>0</v>
      </c>
      <c r="HB151" s="646">
        <v>0</v>
      </c>
      <c r="HC151" s="646">
        <v>28.556036356539316</v>
      </c>
      <c r="HD151" s="646">
        <v>0.96085220333622556</v>
      </c>
      <c r="HE151" s="646">
        <v>3600</v>
      </c>
      <c r="HF151" s="563"/>
      <c r="HG151" s="563"/>
      <c r="HH151" s="563"/>
      <c r="HI151" s="563"/>
      <c r="HJ151" s="563"/>
      <c r="HK151" s="650">
        <v>0</v>
      </c>
      <c r="HL151" s="563"/>
      <c r="HM151" s="563"/>
      <c r="HN151" s="563"/>
      <c r="HO151" s="650">
        <v>0</v>
      </c>
      <c r="HP151" s="564">
        <v>0</v>
      </c>
      <c r="HQ151" s="565">
        <v>0</v>
      </c>
      <c r="HR151" s="649">
        <v>0</v>
      </c>
      <c r="HS151" s="646">
        <v>19.136555136659751</v>
      </c>
      <c r="HT151" s="646">
        <v>0</v>
      </c>
      <c r="HU151" s="646">
        <v>0</v>
      </c>
      <c r="HV151" s="646">
        <v>28.556036356539316</v>
      </c>
      <c r="HW151" s="646">
        <v>0.96085220333622556</v>
      </c>
      <c r="HX151" s="646">
        <v>3600</v>
      </c>
      <c r="HY151" s="563"/>
      <c r="HZ151" s="563"/>
      <c r="IA151" s="563"/>
      <c r="IB151" s="563"/>
      <c r="IC151" s="563"/>
      <c r="ID151" s="650">
        <v>0</v>
      </c>
      <c r="IE151" s="563"/>
      <c r="IF151" s="563"/>
      <c r="IG151" s="563"/>
      <c r="IH151" s="650">
        <v>0</v>
      </c>
      <c r="II151" s="564">
        <v>0</v>
      </c>
      <c r="IJ151" s="565">
        <v>0</v>
      </c>
      <c r="IK151" s="649">
        <v>0</v>
      </c>
      <c r="IL151" s="646">
        <v>19.136555136659751</v>
      </c>
      <c r="IM151" s="646">
        <v>0</v>
      </c>
      <c r="IN151" s="646">
        <v>0</v>
      </c>
      <c r="IO151" s="646">
        <v>28.556036356539316</v>
      </c>
      <c r="IP151" s="646">
        <v>0.96085220333622556</v>
      </c>
      <c r="IQ151" s="646">
        <v>3600</v>
      </c>
      <c r="IR151" s="563"/>
      <c r="IS151" s="563"/>
      <c r="IT151" s="563"/>
      <c r="IU151" s="563"/>
      <c r="IV151" s="563"/>
      <c r="IW151" s="650">
        <v>0</v>
      </c>
      <c r="IX151" s="563"/>
      <c r="IY151" s="563"/>
      <c r="IZ151" s="563"/>
      <c r="JA151" s="650">
        <v>0</v>
      </c>
      <c r="JB151" s="564">
        <v>0</v>
      </c>
      <c r="JC151" s="565">
        <v>0</v>
      </c>
      <c r="JD151" s="649">
        <v>0</v>
      </c>
      <c r="JE151" s="646">
        <v>19.136555136659751</v>
      </c>
      <c r="JF151" s="646">
        <v>0</v>
      </c>
      <c r="JG151" s="646">
        <v>0</v>
      </c>
      <c r="JH151" s="646">
        <v>28.556036356539316</v>
      </c>
      <c r="JI151" s="646">
        <v>0.96085220333622556</v>
      </c>
      <c r="JJ151" s="646">
        <v>3600</v>
      </c>
      <c r="JK151" s="563"/>
      <c r="JL151" s="563"/>
      <c r="JM151" s="563"/>
      <c r="JN151" s="563"/>
      <c r="JO151" s="563"/>
      <c r="JP151" s="650">
        <v>0</v>
      </c>
      <c r="JQ151" s="563"/>
      <c r="JR151" s="563"/>
      <c r="JS151" s="563"/>
      <c r="JT151" s="650">
        <v>0</v>
      </c>
      <c r="JU151" s="564">
        <v>0</v>
      </c>
      <c r="JV151" s="565">
        <v>0</v>
      </c>
      <c r="JW151" s="649">
        <v>0</v>
      </c>
      <c r="JX151" s="646">
        <v>19.136555136659751</v>
      </c>
      <c r="JY151" s="646">
        <v>0</v>
      </c>
      <c r="JZ151" s="646">
        <v>0</v>
      </c>
      <c r="KA151" s="646">
        <v>28.556036356539316</v>
      </c>
      <c r="KB151" s="646">
        <v>0.96085220333622556</v>
      </c>
      <c r="KC151" s="646">
        <v>3600</v>
      </c>
      <c r="KD151" s="563"/>
      <c r="KE151" s="563"/>
      <c r="KF151" s="563"/>
      <c r="KG151" s="563"/>
      <c r="KH151" s="563"/>
      <c r="KI151" s="650">
        <v>0</v>
      </c>
      <c r="KJ151" s="563"/>
      <c r="KK151" s="563"/>
      <c r="KL151" s="563"/>
      <c r="KM151" s="650">
        <v>0</v>
      </c>
      <c r="KN151" s="564">
        <v>0</v>
      </c>
      <c r="KO151" s="566">
        <v>0</v>
      </c>
    </row>
    <row r="152" spans="1:301" ht="15" customHeight="1">
      <c r="A152" s="663" t="s">
        <v>901</v>
      </c>
      <c r="B152" s="629" t="s">
        <v>382</v>
      </c>
      <c r="C152" s="629">
        <v>360</v>
      </c>
      <c r="D152" s="629">
        <v>677</v>
      </c>
      <c r="E152" s="629">
        <v>355</v>
      </c>
      <c r="F152" s="629">
        <v>319.24911630683215</v>
      </c>
      <c r="G152" s="629">
        <v>117.70159887671427</v>
      </c>
      <c r="H152" s="629">
        <v>89.884206395851677</v>
      </c>
      <c r="I152" s="629">
        <v>85</v>
      </c>
      <c r="J152" s="629"/>
      <c r="K152" s="629"/>
      <c r="L152" s="629">
        <v>18</v>
      </c>
      <c r="M152" s="629">
        <v>307.85095030555607</v>
      </c>
      <c r="N152" s="629">
        <v>5</v>
      </c>
      <c r="O152" s="623">
        <v>10.243894838117807</v>
      </c>
      <c r="P152" s="629">
        <v>5</v>
      </c>
      <c r="Q152" s="623">
        <v>14.128852127147722</v>
      </c>
      <c r="R152" s="629"/>
      <c r="S152" s="629"/>
      <c r="T152" s="645">
        <v>0</v>
      </c>
      <c r="U152" s="645">
        <v>0</v>
      </c>
      <c r="V152" s="645">
        <v>85</v>
      </c>
      <c r="W152" s="793">
        <v>0</v>
      </c>
      <c r="X152" s="646">
        <v>0</v>
      </c>
      <c r="Y152" s="646">
        <v>0</v>
      </c>
      <c r="Z152" s="646">
        <v>0</v>
      </c>
      <c r="AA152" s="646">
        <v>0</v>
      </c>
      <c r="AB152" s="647">
        <v>0</v>
      </c>
      <c r="AC152" s="784">
        <v>0</v>
      </c>
      <c r="AD152" s="631"/>
      <c r="AE152" s="631"/>
      <c r="AF152" s="631"/>
      <c r="AG152" s="631"/>
      <c r="AH152" s="629"/>
      <c r="AI152" s="648">
        <v>2.2053966597576649</v>
      </c>
      <c r="AJ152" s="649">
        <v>0</v>
      </c>
      <c r="AK152" s="646">
        <v>24.372746965265527</v>
      </c>
      <c r="AL152" s="646">
        <v>0</v>
      </c>
      <c r="AM152" s="646">
        <v>0</v>
      </c>
      <c r="AN152" s="646">
        <v>39.227686957370992</v>
      </c>
      <c r="AO152" s="646">
        <v>1.5577154488521225</v>
      </c>
      <c r="AP152" s="801"/>
      <c r="AQ152" s="563"/>
      <c r="AR152" s="563"/>
      <c r="AS152" s="563"/>
      <c r="AT152" s="563"/>
      <c r="AU152" s="563"/>
      <c r="AV152" s="650">
        <v>0</v>
      </c>
      <c r="AW152" s="563"/>
      <c r="AX152" s="563"/>
      <c r="AY152" s="563"/>
      <c r="AZ152" s="650">
        <v>0</v>
      </c>
      <c r="BA152" s="564">
        <v>0</v>
      </c>
      <c r="BB152" s="565">
        <v>0</v>
      </c>
      <c r="BC152" s="649">
        <v>0</v>
      </c>
      <c r="BD152" s="646">
        <v>24.372746965265527</v>
      </c>
      <c r="BE152" s="646">
        <v>0</v>
      </c>
      <c r="BF152" s="646">
        <v>0</v>
      </c>
      <c r="BG152" s="646">
        <v>39.227686957370992</v>
      </c>
      <c r="BH152" s="646">
        <v>1.5577154488521225</v>
      </c>
      <c r="BI152" s="646">
        <v>0</v>
      </c>
      <c r="BJ152" s="563"/>
      <c r="BK152" s="563"/>
      <c r="BL152" s="563"/>
      <c r="BM152" s="563"/>
      <c r="BN152" s="563"/>
      <c r="BO152" s="650">
        <v>0</v>
      </c>
      <c r="BP152" s="563"/>
      <c r="BQ152" s="563"/>
      <c r="BR152" s="563"/>
      <c r="BS152" s="650">
        <v>0</v>
      </c>
      <c r="BT152" s="564">
        <v>0</v>
      </c>
      <c r="BU152" s="565">
        <v>0</v>
      </c>
      <c r="BV152" s="649">
        <v>0</v>
      </c>
      <c r="BW152" s="646">
        <v>24.372746965265527</v>
      </c>
      <c r="BX152" s="646">
        <v>0</v>
      </c>
      <c r="BY152" s="646">
        <v>0</v>
      </c>
      <c r="BZ152" s="646">
        <v>39.227686957370992</v>
      </c>
      <c r="CA152" s="646">
        <v>1.5577154488521225</v>
      </c>
      <c r="CB152" s="646">
        <v>3600</v>
      </c>
      <c r="CC152" s="563"/>
      <c r="CD152" s="563"/>
      <c r="CE152" s="563"/>
      <c r="CF152" s="563"/>
      <c r="CG152" s="563"/>
      <c r="CH152" s="650">
        <v>0</v>
      </c>
      <c r="CI152" s="563"/>
      <c r="CJ152" s="563"/>
      <c r="CK152" s="563"/>
      <c r="CL152" s="650">
        <v>0</v>
      </c>
      <c r="CM152" s="564">
        <v>0</v>
      </c>
      <c r="CN152" s="565">
        <v>0</v>
      </c>
      <c r="CO152" s="649">
        <v>0</v>
      </c>
      <c r="CP152" s="646">
        <v>24.372746965265527</v>
      </c>
      <c r="CQ152" s="646">
        <v>0</v>
      </c>
      <c r="CR152" s="646">
        <v>0</v>
      </c>
      <c r="CS152" s="646">
        <v>39.227686957370992</v>
      </c>
      <c r="CT152" s="646">
        <v>1.5577154488521225</v>
      </c>
      <c r="CU152" s="646">
        <v>3600</v>
      </c>
      <c r="CV152" s="563"/>
      <c r="CW152" s="563"/>
      <c r="CX152" s="563"/>
      <c r="CY152" s="563"/>
      <c r="CZ152" s="563"/>
      <c r="DA152" s="650">
        <v>0</v>
      </c>
      <c r="DB152" s="563"/>
      <c r="DC152" s="563"/>
      <c r="DD152" s="563"/>
      <c r="DE152" s="650">
        <v>0</v>
      </c>
      <c r="DF152" s="564">
        <v>0</v>
      </c>
      <c r="DG152" s="565">
        <v>0</v>
      </c>
      <c r="DH152" s="649">
        <v>0</v>
      </c>
      <c r="DI152" s="646">
        <v>24.372746965265527</v>
      </c>
      <c r="DJ152" s="646">
        <v>0</v>
      </c>
      <c r="DK152" s="646">
        <v>0</v>
      </c>
      <c r="DL152" s="646">
        <v>39.227686957370992</v>
      </c>
      <c r="DM152" s="646">
        <v>1.5577154488521225</v>
      </c>
      <c r="DN152" s="646">
        <v>3600</v>
      </c>
      <c r="DO152" s="563"/>
      <c r="DP152" s="563"/>
      <c r="DQ152" s="563"/>
      <c r="DR152" s="563"/>
      <c r="DS152" s="563"/>
      <c r="DT152" s="650">
        <v>0</v>
      </c>
      <c r="DU152" s="563"/>
      <c r="DV152" s="563"/>
      <c r="DW152" s="563"/>
      <c r="DX152" s="650">
        <v>0</v>
      </c>
      <c r="DY152" s="564">
        <v>0</v>
      </c>
      <c r="DZ152" s="565">
        <v>0</v>
      </c>
      <c r="EA152" s="649">
        <v>0</v>
      </c>
      <c r="EB152" s="646">
        <v>24.372746965265527</v>
      </c>
      <c r="EC152" s="646">
        <v>0</v>
      </c>
      <c r="ED152" s="646">
        <v>0</v>
      </c>
      <c r="EE152" s="646">
        <v>39.227686957370992</v>
      </c>
      <c r="EF152" s="646">
        <v>1.5577154488521225</v>
      </c>
      <c r="EG152" s="646">
        <v>3600</v>
      </c>
      <c r="EH152" s="563"/>
      <c r="EI152" s="563"/>
      <c r="EJ152" s="563"/>
      <c r="EK152" s="563"/>
      <c r="EL152" s="563"/>
      <c r="EM152" s="650">
        <v>0</v>
      </c>
      <c r="EN152" s="563"/>
      <c r="EO152" s="563"/>
      <c r="EP152" s="563"/>
      <c r="EQ152" s="650">
        <v>0</v>
      </c>
      <c r="ER152" s="564">
        <v>0</v>
      </c>
      <c r="ES152" s="565">
        <v>0</v>
      </c>
      <c r="ET152" s="649">
        <v>0</v>
      </c>
      <c r="EU152" s="646">
        <v>24.372746965265527</v>
      </c>
      <c r="EV152" s="646">
        <v>0</v>
      </c>
      <c r="EW152" s="646">
        <v>0</v>
      </c>
      <c r="EX152" s="646">
        <v>39.227686957370992</v>
      </c>
      <c r="EY152" s="646">
        <v>1.5577154488521225</v>
      </c>
      <c r="EZ152" s="646">
        <v>3600</v>
      </c>
      <c r="FA152" s="563"/>
      <c r="FB152" s="563"/>
      <c r="FC152" s="563"/>
      <c r="FD152" s="563"/>
      <c r="FE152" s="563"/>
      <c r="FF152" s="650">
        <v>0</v>
      </c>
      <c r="FG152" s="563"/>
      <c r="FH152" s="563"/>
      <c r="FI152" s="563"/>
      <c r="FJ152" s="650">
        <v>0</v>
      </c>
      <c r="FK152" s="564">
        <v>0</v>
      </c>
      <c r="FL152" s="565">
        <v>0</v>
      </c>
      <c r="FM152" s="649">
        <v>0</v>
      </c>
      <c r="FN152" s="646">
        <v>24.372746965265527</v>
      </c>
      <c r="FO152" s="646">
        <v>0</v>
      </c>
      <c r="FP152" s="646">
        <v>0</v>
      </c>
      <c r="FQ152" s="646">
        <v>39.227686957370992</v>
      </c>
      <c r="FR152" s="646">
        <v>1.5577154488521225</v>
      </c>
      <c r="FS152" s="646">
        <v>3600</v>
      </c>
      <c r="FT152" s="563"/>
      <c r="FU152" s="563"/>
      <c r="FV152" s="563"/>
      <c r="FW152" s="563"/>
      <c r="FX152" s="563"/>
      <c r="FY152" s="650">
        <v>0</v>
      </c>
      <c r="FZ152" s="563"/>
      <c r="GA152" s="563"/>
      <c r="GB152" s="563"/>
      <c r="GC152" s="650">
        <v>0</v>
      </c>
      <c r="GD152" s="564">
        <v>0</v>
      </c>
      <c r="GE152" s="565">
        <v>0</v>
      </c>
      <c r="GF152" s="649">
        <v>0</v>
      </c>
      <c r="GG152" s="646">
        <v>24.372746965265527</v>
      </c>
      <c r="GH152" s="646">
        <v>0</v>
      </c>
      <c r="GI152" s="646">
        <v>0</v>
      </c>
      <c r="GJ152" s="646">
        <v>39.227686957370992</v>
      </c>
      <c r="GK152" s="646">
        <v>1.5577154488521225</v>
      </c>
      <c r="GL152" s="646">
        <v>3600</v>
      </c>
      <c r="GM152" s="563"/>
      <c r="GN152" s="563"/>
      <c r="GO152" s="563"/>
      <c r="GP152" s="563"/>
      <c r="GQ152" s="563"/>
      <c r="GR152" s="650">
        <v>0</v>
      </c>
      <c r="GS152" s="563"/>
      <c r="GT152" s="563"/>
      <c r="GU152" s="563"/>
      <c r="GV152" s="650">
        <v>0</v>
      </c>
      <c r="GW152" s="564">
        <v>0</v>
      </c>
      <c r="GX152" s="565">
        <v>0</v>
      </c>
      <c r="GY152" s="649">
        <v>0</v>
      </c>
      <c r="GZ152" s="646">
        <v>24.372746965265527</v>
      </c>
      <c r="HA152" s="646">
        <v>0</v>
      </c>
      <c r="HB152" s="646">
        <v>0</v>
      </c>
      <c r="HC152" s="646">
        <v>39.227686957370992</v>
      </c>
      <c r="HD152" s="646">
        <v>1.5577154488521225</v>
      </c>
      <c r="HE152" s="646">
        <v>3600</v>
      </c>
      <c r="HF152" s="563"/>
      <c r="HG152" s="563"/>
      <c r="HH152" s="563"/>
      <c r="HI152" s="563"/>
      <c r="HJ152" s="563"/>
      <c r="HK152" s="650">
        <v>0</v>
      </c>
      <c r="HL152" s="563"/>
      <c r="HM152" s="563"/>
      <c r="HN152" s="563"/>
      <c r="HO152" s="650">
        <v>0</v>
      </c>
      <c r="HP152" s="564">
        <v>0</v>
      </c>
      <c r="HQ152" s="565">
        <v>0</v>
      </c>
      <c r="HR152" s="649">
        <v>0</v>
      </c>
      <c r="HS152" s="646">
        <v>24.372746965265527</v>
      </c>
      <c r="HT152" s="646">
        <v>0</v>
      </c>
      <c r="HU152" s="646">
        <v>0</v>
      </c>
      <c r="HV152" s="646">
        <v>39.227686957370992</v>
      </c>
      <c r="HW152" s="646">
        <v>1.5577154488521225</v>
      </c>
      <c r="HX152" s="646">
        <v>3600</v>
      </c>
      <c r="HY152" s="563"/>
      <c r="HZ152" s="563"/>
      <c r="IA152" s="563"/>
      <c r="IB152" s="563"/>
      <c r="IC152" s="563"/>
      <c r="ID152" s="650">
        <v>0</v>
      </c>
      <c r="IE152" s="563"/>
      <c r="IF152" s="563"/>
      <c r="IG152" s="563"/>
      <c r="IH152" s="650">
        <v>0</v>
      </c>
      <c r="II152" s="564">
        <v>0</v>
      </c>
      <c r="IJ152" s="565">
        <v>0</v>
      </c>
      <c r="IK152" s="649">
        <v>0</v>
      </c>
      <c r="IL152" s="646">
        <v>24.372746965265527</v>
      </c>
      <c r="IM152" s="646">
        <v>0</v>
      </c>
      <c r="IN152" s="646">
        <v>0</v>
      </c>
      <c r="IO152" s="646">
        <v>39.227686957370992</v>
      </c>
      <c r="IP152" s="646">
        <v>1.5577154488521225</v>
      </c>
      <c r="IQ152" s="646">
        <v>3600</v>
      </c>
      <c r="IR152" s="563"/>
      <c r="IS152" s="563"/>
      <c r="IT152" s="563"/>
      <c r="IU152" s="563"/>
      <c r="IV152" s="563"/>
      <c r="IW152" s="650">
        <v>0</v>
      </c>
      <c r="IX152" s="563"/>
      <c r="IY152" s="563"/>
      <c r="IZ152" s="563"/>
      <c r="JA152" s="650">
        <v>0</v>
      </c>
      <c r="JB152" s="564">
        <v>0</v>
      </c>
      <c r="JC152" s="565">
        <v>0</v>
      </c>
      <c r="JD152" s="649">
        <v>0</v>
      </c>
      <c r="JE152" s="646">
        <v>24.372746965265527</v>
      </c>
      <c r="JF152" s="646">
        <v>0</v>
      </c>
      <c r="JG152" s="646">
        <v>0</v>
      </c>
      <c r="JH152" s="646">
        <v>39.227686957370992</v>
      </c>
      <c r="JI152" s="646">
        <v>1.5577154488521225</v>
      </c>
      <c r="JJ152" s="646">
        <v>3600</v>
      </c>
      <c r="JK152" s="563"/>
      <c r="JL152" s="563"/>
      <c r="JM152" s="563"/>
      <c r="JN152" s="563"/>
      <c r="JO152" s="563"/>
      <c r="JP152" s="650">
        <v>0</v>
      </c>
      <c r="JQ152" s="563"/>
      <c r="JR152" s="563"/>
      <c r="JS152" s="563"/>
      <c r="JT152" s="650">
        <v>0</v>
      </c>
      <c r="JU152" s="564">
        <v>0</v>
      </c>
      <c r="JV152" s="565">
        <v>0</v>
      </c>
      <c r="JW152" s="649">
        <v>0</v>
      </c>
      <c r="JX152" s="646">
        <v>24.372746965265527</v>
      </c>
      <c r="JY152" s="646">
        <v>0</v>
      </c>
      <c r="JZ152" s="646">
        <v>0</v>
      </c>
      <c r="KA152" s="646">
        <v>39.227686957370992</v>
      </c>
      <c r="KB152" s="646">
        <v>1.5577154488521225</v>
      </c>
      <c r="KC152" s="646">
        <v>3600</v>
      </c>
      <c r="KD152" s="563"/>
      <c r="KE152" s="563"/>
      <c r="KF152" s="563"/>
      <c r="KG152" s="563"/>
      <c r="KH152" s="563"/>
      <c r="KI152" s="650">
        <v>0</v>
      </c>
      <c r="KJ152" s="563"/>
      <c r="KK152" s="563"/>
      <c r="KL152" s="563"/>
      <c r="KM152" s="650">
        <v>0</v>
      </c>
      <c r="KN152" s="564">
        <v>0</v>
      </c>
      <c r="KO152" s="566">
        <v>0</v>
      </c>
    </row>
    <row r="153" spans="1:301" ht="15" customHeight="1">
      <c r="A153" s="663" t="s">
        <v>902</v>
      </c>
      <c r="B153" s="629" t="s">
        <v>383</v>
      </c>
      <c r="C153" s="629">
        <v>390</v>
      </c>
      <c r="D153" s="629">
        <v>677</v>
      </c>
      <c r="E153" s="629">
        <v>400</v>
      </c>
      <c r="F153" s="629">
        <v>335.63888041131054</v>
      </c>
      <c r="G153" s="629">
        <v>136.84687197376257</v>
      </c>
      <c r="H153" s="629">
        <v>106.79977179383839</v>
      </c>
      <c r="I153" s="629">
        <v>100</v>
      </c>
      <c r="J153" s="629"/>
      <c r="K153" s="629"/>
      <c r="L153" s="629">
        <v>18</v>
      </c>
      <c r="M153" s="629">
        <v>289.03769670663161</v>
      </c>
      <c r="N153" s="629">
        <v>5</v>
      </c>
      <c r="O153" s="623">
        <v>9.1965516610117461</v>
      </c>
      <c r="P153" s="629">
        <v>5</v>
      </c>
      <c r="Q153" s="623">
        <v>14.128852127147722</v>
      </c>
      <c r="R153" s="629"/>
      <c r="S153" s="629"/>
      <c r="T153" s="645">
        <v>0</v>
      </c>
      <c r="U153" s="645">
        <v>0</v>
      </c>
      <c r="V153" s="645">
        <v>85</v>
      </c>
      <c r="W153" s="793">
        <v>0</v>
      </c>
      <c r="X153" s="646">
        <v>0</v>
      </c>
      <c r="Y153" s="646">
        <v>0</v>
      </c>
      <c r="Z153" s="646">
        <v>0</v>
      </c>
      <c r="AA153" s="646">
        <v>0</v>
      </c>
      <c r="AB153" s="647">
        <v>0</v>
      </c>
      <c r="AC153" s="784">
        <v>0</v>
      </c>
      <c r="AD153" s="631"/>
      <c r="AE153" s="631"/>
      <c r="AF153" s="631"/>
      <c r="AG153" s="631"/>
      <c r="AH153" s="629"/>
      <c r="AI153" s="648">
        <v>2.2768776329591183</v>
      </c>
      <c r="AJ153" s="649">
        <v>0</v>
      </c>
      <c r="AK153" s="646">
        <v>23.32540378815947</v>
      </c>
      <c r="AL153" s="646">
        <v>0</v>
      </c>
      <c r="AM153" s="646">
        <v>0</v>
      </c>
      <c r="AN153" s="646">
        <v>43.622470943919197</v>
      </c>
      <c r="AO153" s="646">
        <v>1.5202696573231527</v>
      </c>
      <c r="AP153" s="801"/>
      <c r="AQ153" s="563"/>
      <c r="AR153" s="563"/>
      <c r="AS153" s="563"/>
      <c r="AT153" s="563"/>
      <c r="AU153" s="563"/>
      <c r="AV153" s="650">
        <v>0</v>
      </c>
      <c r="AW153" s="563"/>
      <c r="AX153" s="563"/>
      <c r="AY153" s="563"/>
      <c r="AZ153" s="650">
        <v>0</v>
      </c>
      <c r="BA153" s="564">
        <v>0</v>
      </c>
      <c r="BB153" s="565">
        <v>0</v>
      </c>
      <c r="BC153" s="649">
        <v>0</v>
      </c>
      <c r="BD153" s="646">
        <v>23.32540378815947</v>
      </c>
      <c r="BE153" s="646">
        <v>0</v>
      </c>
      <c r="BF153" s="646">
        <v>0</v>
      </c>
      <c r="BG153" s="646">
        <v>43.622470943919197</v>
      </c>
      <c r="BH153" s="646">
        <v>1.5202696573231527</v>
      </c>
      <c r="BI153" s="646">
        <v>0</v>
      </c>
      <c r="BJ153" s="563"/>
      <c r="BK153" s="563"/>
      <c r="BL153" s="563"/>
      <c r="BM153" s="563"/>
      <c r="BN153" s="563"/>
      <c r="BO153" s="650">
        <v>0</v>
      </c>
      <c r="BP153" s="563"/>
      <c r="BQ153" s="563"/>
      <c r="BR153" s="563"/>
      <c r="BS153" s="650">
        <v>0</v>
      </c>
      <c r="BT153" s="564">
        <v>0</v>
      </c>
      <c r="BU153" s="565">
        <v>0</v>
      </c>
      <c r="BV153" s="649">
        <v>0</v>
      </c>
      <c r="BW153" s="646">
        <v>23.32540378815947</v>
      </c>
      <c r="BX153" s="646">
        <v>0</v>
      </c>
      <c r="BY153" s="646">
        <v>0</v>
      </c>
      <c r="BZ153" s="646">
        <v>43.622470943919197</v>
      </c>
      <c r="CA153" s="646">
        <v>1.5202696573231527</v>
      </c>
      <c r="CB153" s="646">
        <v>3600</v>
      </c>
      <c r="CC153" s="563"/>
      <c r="CD153" s="563"/>
      <c r="CE153" s="563"/>
      <c r="CF153" s="563"/>
      <c r="CG153" s="563"/>
      <c r="CH153" s="650">
        <v>0</v>
      </c>
      <c r="CI153" s="563"/>
      <c r="CJ153" s="563"/>
      <c r="CK153" s="563"/>
      <c r="CL153" s="650">
        <v>0</v>
      </c>
      <c r="CM153" s="564">
        <v>0</v>
      </c>
      <c r="CN153" s="565">
        <v>0</v>
      </c>
      <c r="CO153" s="649">
        <v>0</v>
      </c>
      <c r="CP153" s="646">
        <v>23.32540378815947</v>
      </c>
      <c r="CQ153" s="646">
        <v>0</v>
      </c>
      <c r="CR153" s="646">
        <v>0</v>
      </c>
      <c r="CS153" s="646">
        <v>43.622470943919197</v>
      </c>
      <c r="CT153" s="646">
        <v>1.5202696573231527</v>
      </c>
      <c r="CU153" s="646">
        <v>3600</v>
      </c>
      <c r="CV153" s="563"/>
      <c r="CW153" s="563"/>
      <c r="CX153" s="563"/>
      <c r="CY153" s="563"/>
      <c r="CZ153" s="563"/>
      <c r="DA153" s="650">
        <v>0</v>
      </c>
      <c r="DB153" s="563"/>
      <c r="DC153" s="563"/>
      <c r="DD153" s="563"/>
      <c r="DE153" s="650">
        <v>0</v>
      </c>
      <c r="DF153" s="564">
        <v>0</v>
      </c>
      <c r="DG153" s="565">
        <v>0</v>
      </c>
      <c r="DH153" s="649">
        <v>0</v>
      </c>
      <c r="DI153" s="646">
        <v>23.32540378815947</v>
      </c>
      <c r="DJ153" s="646">
        <v>0</v>
      </c>
      <c r="DK153" s="646">
        <v>0</v>
      </c>
      <c r="DL153" s="646">
        <v>43.622470943919197</v>
      </c>
      <c r="DM153" s="646">
        <v>1.5202696573231527</v>
      </c>
      <c r="DN153" s="646">
        <v>3600</v>
      </c>
      <c r="DO153" s="563"/>
      <c r="DP153" s="563"/>
      <c r="DQ153" s="563"/>
      <c r="DR153" s="563"/>
      <c r="DS153" s="563"/>
      <c r="DT153" s="650">
        <v>0</v>
      </c>
      <c r="DU153" s="563"/>
      <c r="DV153" s="563"/>
      <c r="DW153" s="563"/>
      <c r="DX153" s="650">
        <v>0</v>
      </c>
      <c r="DY153" s="564">
        <v>0</v>
      </c>
      <c r="DZ153" s="565">
        <v>0</v>
      </c>
      <c r="EA153" s="649">
        <v>0</v>
      </c>
      <c r="EB153" s="646">
        <v>23.32540378815947</v>
      </c>
      <c r="EC153" s="646">
        <v>0</v>
      </c>
      <c r="ED153" s="646">
        <v>0</v>
      </c>
      <c r="EE153" s="646">
        <v>43.622470943919197</v>
      </c>
      <c r="EF153" s="646">
        <v>1.5202696573231527</v>
      </c>
      <c r="EG153" s="646">
        <v>3600</v>
      </c>
      <c r="EH153" s="563"/>
      <c r="EI153" s="563"/>
      <c r="EJ153" s="563"/>
      <c r="EK153" s="563"/>
      <c r="EL153" s="563"/>
      <c r="EM153" s="650">
        <v>0</v>
      </c>
      <c r="EN153" s="563"/>
      <c r="EO153" s="563"/>
      <c r="EP153" s="563"/>
      <c r="EQ153" s="650">
        <v>0</v>
      </c>
      <c r="ER153" s="564">
        <v>0</v>
      </c>
      <c r="ES153" s="565">
        <v>0</v>
      </c>
      <c r="ET153" s="649">
        <v>0</v>
      </c>
      <c r="EU153" s="646">
        <v>23.32540378815947</v>
      </c>
      <c r="EV153" s="646">
        <v>0</v>
      </c>
      <c r="EW153" s="646">
        <v>0</v>
      </c>
      <c r="EX153" s="646">
        <v>43.622470943919197</v>
      </c>
      <c r="EY153" s="646">
        <v>1.5202696573231527</v>
      </c>
      <c r="EZ153" s="646">
        <v>3600</v>
      </c>
      <c r="FA153" s="563"/>
      <c r="FB153" s="563"/>
      <c r="FC153" s="563"/>
      <c r="FD153" s="563"/>
      <c r="FE153" s="563"/>
      <c r="FF153" s="650">
        <v>0</v>
      </c>
      <c r="FG153" s="563"/>
      <c r="FH153" s="563"/>
      <c r="FI153" s="563"/>
      <c r="FJ153" s="650">
        <v>0</v>
      </c>
      <c r="FK153" s="564">
        <v>0</v>
      </c>
      <c r="FL153" s="565">
        <v>0</v>
      </c>
      <c r="FM153" s="649">
        <v>0</v>
      </c>
      <c r="FN153" s="646">
        <v>23.32540378815947</v>
      </c>
      <c r="FO153" s="646">
        <v>0</v>
      </c>
      <c r="FP153" s="646">
        <v>0</v>
      </c>
      <c r="FQ153" s="646">
        <v>43.622470943919197</v>
      </c>
      <c r="FR153" s="646">
        <v>1.5202696573231527</v>
      </c>
      <c r="FS153" s="646">
        <v>3600</v>
      </c>
      <c r="FT153" s="563"/>
      <c r="FU153" s="563"/>
      <c r="FV153" s="563"/>
      <c r="FW153" s="563"/>
      <c r="FX153" s="563"/>
      <c r="FY153" s="650">
        <v>0</v>
      </c>
      <c r="FZ153" s="563"/>
      <c r="GA153" s="563"/>
      <c r="GB153" s="563"/>
      <c r="GC153" s="650">
        <v>0</v>
      </c>
      <c r="GD153" s="564">
        <v>0</v>
      </c>
      <c r="GE153" s="565">
        <v>0</v>
      </c>
      <c r="GF153" s="649">
        <v>0</v>
      </c>
      <c r="GG153" s="646">
        <v>23.32540378815947</v>
      </c>
      <c r="GH153" s="646">
        <v>0</v>
      </c>
      <c r="GI153" s="646">
        <v>0</v>
      </c>
      <c r="GJ153" s="646">
        <v>43.622470943919197</v>
      </c>
      <c r="GK153" s="646">
        <v>1.5202696573231527</v>
      </c>
      <c r="GL153" s="646">
        <v>3600</v>
      </c>
      <c r="GM153" s="563"/>
      <c r="GN153" s="563"/>
      <c r="GO153" s="563"/>
      <c r="GP153" s="563"/>
      <c r="GQ153" s="563"/>
      <c r="GR153" s="650">
        <v>0</v>
      </c>
      <c r="GS153" s="563"/>
      <c r="GT153" s="563"/>
      <c r="GU153" s="563"/>
      <c r="GV153" s="650">
        <v>0</v>
      </c>
      <c r="GW153" s="564">
        <v>0</v>
      </c>
      <c r="GX153" s="565">
        <v>0</v>
      </c>
      <c r="GY153" s="649">
        <v>0</v>
      </c>
      <c r="GZ153" s="646">
        <v>23.32540378815947</v>
      </c>
      <c r="HA153" s="646">
        <v>0</v>
      </c>
      <c r="HB153" s="646">
        <v>0</v>
      </c>
      <c r="HC153" s="646">
        <v>43.622470943919197</v>
      </c>
      <c r="HD153" s="646">
        <v>1.5202696573231527</v>
      </c>
      <c r="HE153" s="646">
        <v>3600</v>
      </c>
      <c r="HF153" s="563"/>
      <c r="HG153" s="563"/>
      <c r="HH153" s="563"/>
      <c r="HI153" s="563"/>
      <c r="HJ153" s="563"/>
      <c r="HK153" s="650">
        <v>0</v>
      </c>
      <c r="HL153" s="563"/>
      <c r="HM153" s="563"/>
      <c r="HN153" s="563"/>
      <c r="HO153" s="650">
        <v>0</v>
      </c>
      <c r="HP153" s="564">
        <v>0</v>
      </c>
      <c r="HQ153" s="565">
        <v>0</v>
      </c>
      <c r="HR153" s="649">
        <v>0</v>
      </c>
      <c r="HS153" s="646">
        <v>23.32540378815947</v>
      </c>
      <c r="HT153" s="646">
        <v>0</v>
      </c>
      <c r="HU153" s="646">
        <v>0</v>
      </c>
      <c r="HV153" s="646">
        <v>43.622470943919197</v>
      </c>
      <c r="HW153" s="646">
        <v>1.5202696573231527</v>
      </c>
      <c r="HX153" s="646">
        <v>3600</v>
      </c>
      <c r="HY153" s="563"/>
      <c r="HZ153" s="563"/>
      <c r="IA153" s="563"/>
      <c r="IB153" s="563"/>
      <c r="IC153" s="563"/>
      <c r="ID153" s="650">
        <v>0</v>
      </c>
      <c r="IE153" s="563"/>
      <c r="IF153" s="563"/>
      <c r="IG153" s="563"/>
      <c r="IH153" s="650">
        <v>0</v>
      </c>
      <c r="II153" s="564">
        <v>0</v>
      </c>
      <c r="IJ153" s="565">
        <v>0</v>
      </c>
      <c r="IK153" s="649">
        <v>0</v>
      </c>
      <c r="IL153" s="646">
        <v>23.32540378815947</v>
      </c>
      <c r="IM153" s="646">
        <v>0</v>
      </c>
      <c r="IN153" s="646">
        <v>0</v>
      </c>
      <c r="IO153" s="646">
        <v>43.622470943919197</v>
      </c>
      <c r="IP153" s="646">
        <v>1.5202696573231527</v>
      </c>
      <c r="IQ153" s="646">
        <v>3600</v>
      </c>
      <c r="IR153" s="563"/>
      <c r="IS153" s="563"/>
      <c r="IT153" s="563"/>
      <c r="IU153" s="563"/>
      <c r="IV153" s="563"/>
      <c r="IW153" s="650">
        <v>0</v>
      </c>
      <c r="IX153" s="563"/>
      <c r="IY153" s="563"/>
      <c r="IZ153" s="563"/>
      <c r="JA153" s="650">
        <v>0</v>
      </c>
      <c r="JB153" s="564">
        <v>0</v>
      </c>
      <c r="JC153" s="565">
        <v>0</v>
      </c>
      <c r="JD153" s="649">
        <v>0</v>
      </c>
      <c r="JE153" s="646">
        <v>23.32540378815947</v>
      </c>
      <c r="JF153" s="646">
        <v>0</v>
      </c>
      <c r="JG153" s="646">
        <v>0</v>
      </c>
      <c r="JH153" s="646">
        <v>43.622470943919197</v>
      </c>
      <c r="JI153" s="646">
        <v>1.5202696573231527</v>
      </c>
      <c r="JJ153" s="646">
        <v>3600</v>
      </c>
      <c r="JK153" s="563"/>
      <c r="JL153" s="563"/>
      <c r="JM153" s="563"/>
      <c r="JN153" s="563"/>
      <c r="JO153" s="563"/>
      <c r="JP153" s="650">
        <v>0</v>
      </c>
      <c r="JQ153" s="563"/>
      <c r="JR153" s="563"/>
      <c r="JS153" s="563"/>
      <c r="JT153" s="650">
        <v>0</v>
      </c>
      <c r="JU153" s="564">
        <v>0</v>
      </c>
      <c r="JV153" s="565">
        <v>0</v>
      </c>
      <c r="JW153" s="649">
        <v>0</v>
      </c>
      <c r="JX153" s="646">
        <v>23.32540378815947</v>
      </c>
      <c r="JY153" s="646">
        <v>0</v>
      </c>
      <c r="JZ153" s="646">
        <v>0</v>
      </c>
      <c r="KA153" s="646">
        <v>43.622470943919197</v>
      </c>
      <c r="KB153" s="646">
        <v>1.5202696573231527</v>
      </c>
      <c r="KC153" s="646">
        <v>3600</v>
      </c>
      <c r="KD153" s="563"/>
      <c r="KE153" s="563"/>
      <c r="KF153" s="563"/>
      <c r="KG153" s="563"/>
      <c r="KH153" s="563"/>
      <c r="KI153" s="650">
        <v>0</v>
      </c>
      <c r="KJ153" s="563"/>
      <c r="KK153" s="563"/>
      <c r="KL153" s="563"/>
      <c r="KM153" s="650">
        <v>0</v>
      </c>
      <c r="KN153" s="564">
        <v>0</v>
      </c>
      <c r="KO153" s="566">
        <v>0</v>
      </c>
    </row>
    <row r="154" spans="1:301" ht="15" customHeight="1">
      <c r="A154" s="663" t="s">
        <v>903</v>
      </c>
      <c r="B154" s="629" t="s">
        <v>384</v>
      </c>
      <c r="C154" s="629">
        <v>409</v>
      </c>
      <c r="D154" s="629">
        <v>727</v>
      </c>
      <c r="E154" s="629">
        <v>400</v>
      </c>
      <c r="F154" s="629">
        <v>359.21780679585072</v>
      </c>
      <c r="G154" s="629">
        <v>156.84687197376255</v>
      </c>
      <c r="H154" s="629">
        <v>124.27442230675224</v>
      </c>
      <c r="I154" s="629">
        <v>120</v>
      </c>
      <c r="J154" s="629"/>
      <c r="K154" s="629"/>
      <c r="L154" s="629">
        <v>18</v>
      </c>
      <c r="M154" s="629">
        <v>255.88288855554032</v>
      </c>
      <c r="N154" s="629">
        <v>5</v>
      </c>
      <c r="O154" s="623">
        <v>11.360598490528906</v>
      </c>
      <c r="P154" s="629">
        <v>5</v>
      </c>
      <c r="Q154" s="623">
        <v>16.292898956664882</v>
      </c>
      <c r="R154" s="629"/>
      <c r="S154" s="629"/>
      <c r="T154" s="645">
        <v>0</v>
      </c>
      <c r="U154" s="645">
        <v>0</v>
      </c>
      <c r="V154" s="645">
        <v>85</v>
      </c>
      <c r="W154" s="793">
        <v>0</v>
      </c>
      <c r="X154" s="646">
        <v>0</v>
      </c>
      <c r="Y154" s="646">
        <v>0</v>
      </c>
      <c r="Z154" s="646">
        <v>0</v>
      </c>
      <c r="AA154" s="646">
        <v>0</v>
      </c>
      <c r="AB154" s="647">
        <v>0</v>
      </c>
      <c r="AC154" s="784">
        <v>0</v>
      </c>
      <c r="AD154" s="631"/>
      <c r="AE154" s="631"/>
      <c r="AF154" s="631"/>
      <c r="AG154" s="631"/>
      <c r="AH154" s="629"/>
      <c r="AI154" s="648">
        <v>2.5227600493081606</v>
      </c>
      <c r="AJ154" s="649">
        <v>0</v>
      </c>
      <c r="AK154" s="646">
        <v>27.653497447193786</v>
      </c>
      <c r="AL154" s="646">
        <v>0</v>
      </c>
      <c r="AM154" s="646">
        <v>0</v>
      </c>
      <c r="AN154" s="646">
        <v>52.527318276282131</v>
      </c>
      <c r="AO154" s="646">
        <v>2.0541713888440638</v>
      </c>
      <c r="AP154" s="801"/>
      <c r="AQ154" s="563"/>
      <c r="AR154" s="563"/>
      <c r="AS154" s="563"/>
      <c r="AT154" s="563"/>
      <c r="AU154" s="563"/>
      <c r="AV154" s="650">
        <v>0</v>
      </c>
      <c r="AW154" s="563"/>
      <c r="AX154" s="563"/>
      <c r="AY154" s="563"/>
      <c r="AZ154" s="650">
        <v>0</v>
      </c>
      <c r="BA154" s="564">
        <v>0</v>
      </c>
      <c r="BB154" s="565">
        <v>0</v>
      </c>
      <c r="BC154" s="649">
        <v>0</v>
      </c>
      <c r="BD154" s="646">
        <v>27.653497447193786</v>
      </c>
      <c r="BE154" s="646">
        <v>0</v>
      </c>
      <c r="BF154" s="646">
        <v>0</v>
      </c>
      <c r="BG154" s="646">
        <v>52.527318276282131</v>
      </c>
      <c r="BH154" s="646">
        <v>2.0541713888440638</v>
      </c>
      <c r="BI154" s="646">
        <v>0</v>
      </c>
      <c r="BJ154" s="563"/>
      <c r="BK154" s="563"/>
      <c r="BL154" s="563"/>
      <c r="BM154" s="563"/>
      <c r="BN154" s="563"/>
      <c r="BO154" s="650">
        <v>0</v>
      </c>
      <c r="BP154" s="563"/>
      <c r="BQ154" s="563"/>
      <c r="BR154" s="563"/>
      <c r="BS154" s="650">
        <v>0</v>
      </c>
      <c r="BT154" s="564">
        <v>0</v>
      </c>
      <c r="BU154" s="565">
        <v>0</v>
      </c>
      <c r="BV154" s="649">
        <v>0</v>
      </c>
      <c r="BW154" s="646">
        <v>27.653497447193786</v>
      </c>
      <c r="BX154" s="646">
        <v>0</v>
      </c>
      <c r="BY154" s="646">
        <v>0</v>
      </c>
      <c r="BZ154" s="646">
        <v>52.527318276282131</v>
      </c>
      <c r="CA154" s="646">
        <v>2.0541713888440638</v>
      </c>
      <c r="CB154" s="646">
        <v>3600</v>
      </c>
      <c r="CC154" s="563"/>
      <c r="CD154" s="563"/>
      <c r="CE154" s="563"/>
      <c r="CF154" s="563"/>
      <c r="CG154" s="563"/>
      <c r="CH154" s="650">
        <v>0</v>
      </c>
      <c r="CI154" s="563"/>
      <c r="CJ154" s="563"/>
      <c r="CK154" s="563"/>
      <c r="CL154" s="650">
        <v>0</v>
      </c>
      <c r="CM154" s="564">
        <v>0</v>
      </c>
      <c r="CN154" s="565">
        <v>0</v>
      </c>
      <c r="CO154" s="649">
        <v>0</v>
      </c>
      <c r="CP154" s="646">
        <v>27.653497447193786</v>
      </c>
      <c r="CQ154" s="646">
        <v>0</v>
      </c>
      <c r="CR154" s="646">
        <v>0</v>
      </c>
      <c r="CS154" s="646">
        <v>52.527318276282131</v>
      </c>
      <c r="CT154" s="646">
        <v>2.0541713888440638</v>
      </c>
      <c r="CU154" s="646">
        <v>3600</v>
      </c>
      <c r="CV154" s="563"/>
      <c r="CW154" s="563"/>
      <c r="CX154" s="563"/>
      <c r="CY154" s="563"/>
      <c r="CZ154" s="563"/>
      <c r="DA154" s="650">
        <v>0</v>
      </c>
      <c r="DB154" s="563"/>
      <c r="DC154" s="563"/>
      <c r="DD154" s="563"/>
      <c r="DE154" s="650">
        <v>0</v>
      </c>
      <c r="DF154" s="564">
        <v>0</v>
      </c>
      <c r="DG154" s="565">
        <v>0</v>
      </c>
      <c r="DH154" s="649">
        <v>0</v>
      </c>
      <c r="DI154" s="646">
        <v>27.653497447193786</v>
      </c>
      <c r="DJ154" s="646">
        <v>0</v>
      </c>
      <c r="DK154" s="646">
        <v>0</v>
      </c>
      <c r="DL154" s="646">
        <v>52.527318276282131</v>
      </c>
      <c r="DM154" s="646">
        <v>2.0541713888440638</v>
      </c>
      <c r="DN154" s="646">
        <v>3600</v>
      </c>
      <c r="DO154" s="563"/>
      <c r="DP154" s="563"/>
      <c r="DQ154" s="563"/>
      <c r="DR154" s="563"/>
      <c r="DS154" s="563"/>
      <c r="DT154" s="650">
        <v>0</v>
      </c>
      <c r="DU154" s="563"/>
      <c r="DV154" s="563"/>
      <c r="DW154" s="563"/>
      <c r="DX154" s="650">
        <v>0</v>
      </c>
      <c r="DY154" s="564">
        <v>0</v>
      </c>
      <c r="DZ154" s="565">
        <v>0</v>
      </c>
      <c r="EA154" s="649">
        <v>0</v>
      </c>
      <c r="EB154" s="646">
        <v>27.653497447193786</v>
      </c>
      <c r="EC154" s="646">
        <v>0</v>
      </c>
      <c r="ED154" s="646">
        <v>0</v>
      </c>
      <c r="EE154" s="646">
        <v>52.527318276282131</v>
      </c>
      <c r="EF154" s="646">
        <v>2.0541713888440638</v>
      </c>
      <c r="EG154" s="646">
        <v>3600</v>
      </c>
      <c r="EH154" s="563"/>
      <c r="EI154" s="563"/>
      <c r="EJ154" s="563"/>
      <c r="EK154" s="563"/>
      <c r="EL154" s="563"/>
      <c r="EM154" s="650">
        <v>0</v>
      </c>
      <c r="EN154" s="563"/>
      <c r="EO154" s="563"/>
      <c r="EP154" s="563"/>
      <c r="EQ154" s="650">
        <v>0</v>
      </c>
      <c r="ER154" s="564">
        <v>0</v>
      </c>
      <c r="ES154" s="565">
        <v>0</v>
      </c>
      <c r="ET154" s="649">
        <v>0</v>
      </c>
      <c r="EU154" s="646">
        <v>27.653497447193786</v>
      </c>
      <c r="EV154" s="646">
        <v>0</v>
      </c>
      <c r="EW154" s="646">
        <v>0</v>
      </c>
      <c r="EX154" s="646">
        <v>52.527318276282131</v>
      </c>
      <c r="EY154" s="646">
        <v>2.0541713888440638</v>
      </c>
      <c r="EZ154" s="646">
        <v>3600</v>
      </c>
      <c r="FA154" s="563"/>
      <c r="FB154" s="563"/>
      <c r="FC154" s="563"/>
      <c r="FD154" s="563"/>
      <c r="FE154" s="563"/>
      <c r="FF154" s="650">
        <v>0</v>
      </c>
      <c r="FG154" s="563"/>
      <c r="FH154" s="563"/>
      <c r="FI154" s="563"/>
      <c r="FJ154" s="650">
        <v>0</v>
      </c>
      <c r="FK154" s="564">
        <v>0</v>
      </c>
      <c r="FL154" s="565">
        <v>0</v>
      </c>
      <c r="FM154" s="649">
        <v>0</v>
      </c>
      <c r="FN154" s="646">
        <v>27.653497447193786</v>
      </c>
      <c r="FO154" s="646">
        <v>0</v>
      </c>
      <c r="FP154" s="646">
        <v>0</v>
      </c>
      <c r="FQ154" s="646">
        <v>52.527318276282131</v>
      </c>
      <c r="FR154" s="646">
        <v>2.0541713888440638</v>
      </c>
      <c r="FS154" s="646">
        <v>3600</v>
      </c>
      <c r="FT154" s="563"/>
      <c r="FU154" s="563"/>
      <c r="FV154" s="563"/>
      <c r="FW154" s="563"/>
      <c r="FX154" s="563"/>
      <c r="FY154" s="650">
        <v>0</v>
      </c>
      <c r="FZ154" s="563"/>
      <c r="GA154" s="563"/>
      <c r="GB154" s="563"/>
      <c r="GC154" s="650">
        <v>0</v>
      </c>
      <c r="GD154" s="564">
        <v>0</v>
      </c>
      <c r="GE154" s="565">
        <v>0</v>
      </c>
      <c r="GF154" s="649">
        <v>0</v>
      </c>
      <c r="GG154" s="646">
        <v>27.653497447193786</v>
      </c>
      <c r="GH154" s="646">
        <v>0</v>
      </c>
      <c r="GI154" s="646">
        <v>0</v>
      </c>
      <c r="GJ154" s="646">
        <v>52.527318276282131</v>
      </c>
      <c r="GK154" s="646">
        <v>2.0541713888440638</v>
      </c>
      <c r="GL154" s="646">
        <v>3600</v>
      </c>
      <c r="GM154" s="563"/>
      <c r="GN154" s="563"/>
      <c r="GO154" s="563"/>
      <c r="GP154" s="563"/>
      <c r="GQ154" s="563"/>
      <c r="GR154" s="650">
        <v>0</v>
      </c>
      <c r="GS154" s="563"/>
      <c r="GT154" s="563"/>
      <c r="GU154" s="563"/>
      <c r="GV154" s="650">
        <v>0</v>
      </c>
      <c r="GW154" s="564">
        <v>0</v>
      </c>
      <c r="GX154" s="565">
        <v>0</v>
      </c>
      <c r="GY154" s="649">
        <v>0</v>
      </c>
      <c r="GZ154" s="646">
        <v>27.653497447193786</v>
      </c>
      <c r="HA154" s="646">
        <v>0</v>
      </c>
      <c r="HB154" s="646">
        <v>0</v>
      </c>
      <c r="HC154" s="646">
        <v>52.527318276282131</v>
      </c>
      <c r="HD154" s="646">
        <v>2.0541713888440638</v>
      </c>
      <c r="HE154" s="646">
        <v>3600</v>
      </c>
      <c r="HF154" s="563"/>
      <c r="HG154" s="563"/>
      <c r="HH154" s="563"/>
      <c r="HI154" s="563"/>
      <c r="HJ154" s="563"/>
      <c r="HK154" s="650">
        <v>0</v>
      </c>
      <c r="HL154" s="563"/>
      <c r="HM154" s="563"/>
      <c r="HN154" s="563"/>
      <c r="HO154" s="650">
        <v>0</v>
      </c>
      <c r="HP154" s="564">
        <v>0</v>
      </c>
      <c r="HQ154" s="565">
        <v>0</v>
      </c>
      <c r="HR154" s="649">
        <v>0</v>
      </c>
      <c r="HS154" s="646">
        <v>27.653497447193786</v>
      </c>
      <c r="HT154" s="646">
        <v>0</v>
      </c>
      <c r="HU154" s="646">
        <v>0</v>
      </c>
      <c r="HV154" s="646">
        <v>52.527318276282131</v>
      </c>
      <c r="HW154" s="646">
        <v>2.0541713888440638</v>
      </c>
      <c r="HX154" s="646">
        <v>3600</v>
      </c>
      <c r="HY154" s="563"/>
      <c r="HZ154" s="563"/>
      <c r="IA154" s="563"/>
      <c r="IB154" s="563"/>
      <c r="IC154" s="563"/>
      <c r="ID154" s="650">
        <v>0</v>
      </c>
      <c r="IE154" s="563"/>
      <c r="IF154" s="563"/>
      <c r="IG154" s="563"/>
      <c r="IH154" s="650">
        <v>0</v>
      </c>
      <c r="II154" s="564">
        <v>0</v>
      </c>
      <c r="IJ154" s="565">
        <v>0</v>
      </c>
      <c r="IK154" s="649">
        <v>0</v>
      </c>
      <c r="IL154" s="646">
        <v>27.653497447193786</v>
      </c>
      <c r="IM154" s="646">
        <v>0</v>
      </c>
      <c r="IN154" s="646">
        <v>0</v>
      </c>
      <c r="IO154" s="646">
        <v>52.527318276282131</v>
      </c>
      <c r="IP154" s="646">
        <v>2.0541713888440638</v>
      </c>
      <c r="IQ154" s="646">
        <v>3600</v>
      </c>
      <c r="IR154" s="563"/>
      <c r="IS154" s="563"/>
      <c r="IT154" s="563"/>
      <c r="IU154" s="563"/>
      <c r="IV154" s="563"/>
      <c r="IW154" s="650">
        <v>0</v>
      </c>
      <c r="IX154" s="563"/>
      <c r="IY154" s="563"/>
      <c r="IZ154" s="563"/>
      <c r="JA154" s="650">
        <v>0</v>
      </c>
      <c r="JB154" s="564">
        <v>0</v>
      </c>
      <c r="JC154" s="565">
        <v>0</v>
      </c>
      <c r="JD154" s="649">
        <v>0</v>
      </c>
      <c r="JE154" s="646">
        <v>27.653497447193786</v>
      </c>
      <c r="JF154" s="646">
        <v>0</v>
      </c>
      <c r="JG154" s="646">
        <v>0</v>
      </c>
      <c r="JH154" s="646">
        <v>52.527318276282131</v>
      </c>
      <c r="JI154" s="646">
        <v>2.0541713888440638</v>
      </c>
      <c r="JJ154" s="646">
        <v>3600</v>
      </c>
      <c r="JK154" s="563"/>
      <c r="JL154" s="563"/>
      <c r="JM154" s="563"/>
      <c r="JN154" s="563"/>
      <c r="JO154" s="563"/>
      <c r="JP154" s="650">
        <v>0</v>
      </c>
      <c r="JQ154" s="563"/>
      <c r="JR154" s="563"/>
      <c r="JS154" s="563"/>
      <c r="JT154" s="650">
        <v>0</v>
      </c>
      <c r="JU154" s="564">
        <v>0</v>
      </c>
      <c r="JV154" s="565">
        <v>0</v>
      </c>
      <c r="JW154" s="649">
        <v>0</v>
      </c>
      <c r="JX154" s="646">
        <v>27.653497447193786</v>
      </c>
      <c r="JY154" s="646">
        <v>0</v>
      </c>
      <c r="JZ154" s="646">
        <v>0</v>
      </c>
      <c r="KA154" s="646">
        <v>52.527318276282131</v>
      </c>
      <c r="KB154" s="646">
        <v>2.0541713888440638</v>
      </c>
      <c r="KC154" s="646">
        <v>3600</v>
      </c>
      <c r="KD154" s="563"/>
      <c r="KE154" s="563"/>
      <c r="KF154" s="563"/>
      <c r="KG154" s="563"/>
      <c r="KH154" s="563"/>
      <c r="KI154" s="650">
        <v>0</v>
      </c>
      <c r="KJ154" s="563"/>
      <c r="KK154" s="563"/>
      <c r="KL154" s="563"/>
      <c r="KM154" s="650">
        <v>0</v>
      </c>
      <c r="KN154" s="564">
        <v>0</v>
      </c>
      <c r="KO154" s="566">
        <v>0</v>
      </c>
    </row>
    <row r="155" spans="1:301" ht="15" customHeight="1">
      <c r="A155" s="663" t="s">
        <v>904</v>
      </c>
      <c r="B155" s="629" t="s">
        <v>383</v>
      </c>
      <c r="C155" s="629">
        <v>496.27699999999999</v>
      </c>
      <c r="D155" s="629">
        <v>802</v>
      </c>
      <c r="E155" s="629">
        <v>500</v>
      </c>
      <c r="F155" s="629">
        <v>428.63701654498641</v>
      </c>
      <c r="G155" s="629">
        <v>186.0585899672032</v>
      </c>
      <c r="H155" s="629">
        <v>146.97086731704485</v>
      </c>
      <c r="I155" s="629">
        <v>140</v>
      </c>
      <c r="J155" s="629"/>
      <c r="K155" s="629"/>
      <c r="L155" s="629">
        <v>18</v>
      </c>
      <c r="M155" s="629">
        <v>197.75163148461172</v>
      </c>
      <c r="N155" s="629">
        <v>5</v>
      </c>
      <c r="O155" s="623">
        <v>12.121251703040812</v>
      </c>
      <c r="P155" s="629">
        <v>5</v>
      </c>
      <c r="Q155" s="623">
        <v>19.827971181378274</v>
      </c>
      <c r="R155" s="629"/>
      <c r="S155" s="629"/>
      <c r="T155" s="645">
        <v>0</v>
      </c>
      <c r="U155" s="645">
        <v>0</v>
      </c>
      <c r="V155" s="645">
        <v>110</v>
      </c>
      <c r="W155" s="793">
        <v>0</v>
      </c>
      <c r="X155" s="646">
        <v>0</v>
      </c>
      <c r="Y155" s="646">
        <v>0</v>
      </c>
      <c r="Z155" s="646">
        <v>0</v>
      </c>
      <c r="AA155" s="646">
        <v>0</v>
      </c>
      <c r="AB155" s="647">
        <v>0</v>
      </c>
      <c r="AC155" s="784">
        <v>0</v>
      </c>
      <c r="AD155" s="631"/>
      <c r="AE155" s="631"/>
      <c r="AF155" s="631"/>
      <c r="AG155" s="631"/>
      <c r="AH155" s="629"/>
      <c r="AI155" s="648">
        <v>2.655293411412297</v>
      </c>
      <c r="AJ155" s="649">
        <v>0</v>
      </c>
      <c r="AK155" s="646">
        <v>31.949222884419086</v>
      </c>
      <c r="AL155" s="646">
        <v>0</v>
      </c>
      <c r="AM155" s="646">
        <v>0</v>
      </c>
      <c r="AN155" s="646">
        <v>57.31096528831435</v>
      </c>
      <c r="AO155" s="646">
        <v>2.9475226102387624</v>
      </c>
      <c r="AP155" s="801"/>
      <c r="AQ155" s="563"/>
      <c r="AR155" s="563"/>
      <c r="AS155" s="563"/>
      <c r="AT155" s="563"/>
      <c r="AU155" s="563"/>
      <c r="AV155" s="650">
        <v>0</v>
      </c>
      <c r="AW155" s="563"/>
      <c r="AX155" s="563"/>
      <c r="AY155" s="563"/>
      <c r="AZ155" s="650">
        <v>0</v>
      </c>
      <c r="BA155" s="564">
        <v>0</v>
      </c>
      <c r="BB155" s="565">
        <v>0</v>
      </c>
      <c r="BC155" s="649">
        <v>0</v>
      </c>
      <c r="BD155" s="646">
        <v>31.949222884419086</v>
      </c>
      <c r="BE155" s="646">
        <v>0</v>
      </c>
      <c r="BF155" s="646">
        <v>0</v>
      </c>
      <c r="BG155" s="646">
        <v>57.31096528831435</v>
      </c>
      <c r="BH155" s="646">
        <v>2.9475226102387624</v>
      </c>
      <c r="BI155" s="646">
        <v>0</v>
      </c>
      <c r="BJ155" s="563"/>
      <c r="BK155" s="563"/>
      <c r="BL155" s="563"/>
      <c r="BM155" s="563"/>
      <c r="BN155" s="563"/>
      <c r="BO155" s="650">
        <v>0</v>
      </c>
      <c r="BP155" s="563"/>
      <c r="BQ155" s="563"/>
      <c r="BR155" s="563"/>
      <c r="BS155" s="650">
        <v>0</v>
      </c>
      <c r="BT155" s="564">
        <v>0</v>
      </c>
      <c r="BU155" s="565">
        <v>0</v>
      </c>
      <c r="BV155" s="649">
        <v>0</v>
      </c>
      <c r="BW155" s="646">
        <v>31.949222884419086</v>
      </c>
      <c r="BX155" s="646">
        <v>0</v>
      </c>
      <c r="BY155" s="646">
        <v>0</v>
      </c>
      <c r="BZ155" s="646">
        <v>57.31096528831435</v>
      </c>
      <c r="CA155" s="646">
        <v>2.9475226102387624</v>
      </c>
      <c r="CB155" s="646">
        <v>3600</v>
      </c>
      <c r="CC155" s="563"/>
      <c r="CD155" s="563"/>
      <c r="CE155" s="563"/>
      <c r="CF155" s="563"/>
      <c r="CG155" s="563"/>
      <c r="CH155" s="650">
        <v>0</v>
      </c>
      <c r="CI155" s="563"/>
      <c r="CJ155" s="563"/>
      <c r="CK155" s="563"/>
      <c r="CL155" s="650">
        <v>0</v>
      </c>
      <c r="CM155" s="564">
        <v>0</v>
      </c>
      <c r="CN155" s="565">
        <v>0</v>
      </c>
      <c r="CO155" s="649">
        <v>0</v>
      </c>
      <c r="CP155" s="646">
        <v>31.949222884419086</v>
      </c>
      <c r="CQ155" s="646">
        <v>0</v>
      </c>
      <c r="CR155" s="646">
        <v>0</v>
      </c>
      <c r="CS155" s="646">
        <v>57.31096528831435</v>
      </c>
      <c r="CT155" s="646">
        <v>2.9475226102387624</v>
      </c>
      <c r="CU155" s="646">
        <v>3600</v>
      </c>
      <c r="CV155" s="563"/>
      <c r="CW155" s="563"/>
      <c r="CX155" s="563"/>
      <c r="CY155" s="563"/>
      <c r="CZ155" s="563"/>
      <c r="DA155" s="650">
        <v>0</v>
      </c>
      <c r="DB155" s="563"/>
      <c r="DC155" s="563"/>
      <c r="DD155" s="563"/>
      <c r="DE155" s="650">
        <v>0</v>
      </c>
      <c r="DF155" s="564">
        <v>0</v>
      </c>
      <c r="DG155" s="565">
        <v>0</v>
      </c>
      <c r="DH155" s="649">
        <v>0</v>
      </c>
      <c r="DI155" s="646">
        <v>31.949222884419086</v>
      </c>
      <c r="DJ155" s="646">
        <v>0</v>
      </c>
      <c r="DK155" s="646">
        <v>0</v>
      </c>
      <c r="DL155" s="646">
        <v>57.31096528831435</v>
      </c>
      <c r="DM155" s="646">
        <v>2.9475226102387624</v>
      </c>
      <c r="DN155" s="646">
        <v>3600</v>
      </c>
      <c r="DO155" s="563"/>
      <c r="DP155" s="563"/>
      <c r="DQ155" s="563"/>
      <c r="DR155" s="563"/>
      <c r="DS155" s="563"/>
      <c r="DT155" s="650">
        <v>0</v>
      </c>
      <c r="DU155" s="563"/>
      <c r="DV155" s="563"/>
      <c r="DW155" s="563"/>
      <c r="DX155" s="650">
        <v>0</v>
      </c>
      <c r="DY155" s="564">
        <v>0</v>
      </c>
      <c r="DZ155" s="565">
        <v>0</v>
      </c>
      <c r="EA155" s="649">
        <v>0</v>
      </c>
      <c r="EB155" s="646">
        <v>31.949222884419086</v>
      </c>
      <c r="EC155" s="646">
        <v>0</v>
      </c>
      <c r="ED155" s="646">
        <v>0</v>
      </c>
      <c r="EE155" s="646">
        <v>57.31096528831435</v>
      </c>
      <c r="EF155" s="646">
        <v>2.9475226102387624</v>
      </c>
      <c r="EG155" s="646">
        <v>3600</v>
      </c>
      <c r="EH155" s="563"/>
      <c r="EI155" s="563"/>
      <c r="EJ155" s="563"/>
      <c r="EK155" s="563"/>
      <c r="EL155" s="563"/>
      <c r="EM155" s="650">
        <v>0</v>
      </c>
      <c r="EN155" s="563"/>
      <c r="EO155" s="563"/>
      <c r="EP155" s="563"/>
      <c r="EQ155" s="650">
        <v>0</v>
      </c>
      <c r="ER155" s="564">
        <v>0</v>
      </c>
      <c r="ES155" s="565">
        <v>0</v>
      </c>
      <c r="ET155" s="649">
        <v>0</v>
      </c>
      <c r="EU155" s="646">
        <v>31.949222884419086</v>
      </c>
      <c r="EV155" s="646">
        <v>0</v>
      </c>
      <c r="EW155" s="646">
        <v>0</v>
      </c>
      <c r="EX155" s="646">
        <v>57.31096528831435</v>
      </c>
      <c r="EY155" s="646">
        <v>2.9475226102387624</v>
      </c>
      <c r="EZ155" s="646">
        <v>3600</v>
      </c>
      <c r="FA155" s="563"/>
      <c r="FB155" s="563"/>
      <c r="FC155" s="563"/>
      <c r="FD155" s="563"/>
      <c r="FE155" s="563"/>
      <c r="FF155" s="650">
        <v>0</v>
      </c>
      <c r="FG155" s="563"/>
      <c r="FH155" s="563"/>
      <c r="FI155" s="563"/>
      <c r="FJ155" s="650">
        <v>0</v>
      </c>
      <c r="FK155" s="564">
        <v>0</v>
      </c>
      <c r="FL155" s="565">
        <v>0</v>
      </c>
      <c r="FM155" s="649">
        <v>0</v>
      </c>
      <c r="FN155" s="646">
        <v>31.949222884419086</v>
      </c>
      <c r="FO155" s="646">
        <v>0</v>
      </c>
      <c r="FP155" s="646">
        <v>0</v>
      </c>
      <c r="FQ155" s="646">
        <v>57.31096528831435</v>
      </c>
      <c r="FR155" s="646">
        <v>2.9475226102387624</v>
      </c>
      <c r="FS155" s="646">
        <v>3600</v>
      </c>
      <c r="FT155" s="563"/>
      <c r="FU155" s="563"/>
      <c r="FV155" s="563"/>
      <c r="FW155" s="563"/>
      <c r="FX155" s="563"/>
      <c r="FY155" s="650">
        <v>0</v>
      </c>
      <c r="FZ155" s="563"/>
      <c r="GA155" s="563"/>
      <c r="GB155" s="563"/>
      <c r="GC155" s="650">
        <v>0</v>
      </c>
      <c r="GD155" s="564">
        <v>0</v>
      </c>
      <c r="GE155" s="565">
        <v>0</v>
      </c>
      <c r="GF155" s="649">
        <v>0</v>
      </c>
      <c r="GG155" s="646">
        <v>31.949222884419086</v>
      </c>
      <c r="GH155" s="646">
        <v>0</v>
      </c>
      <c r="GI155" s="646">
        <v>0</v>
      </c>
      <c r="GJ155" s="646">
        <v>57.31096528831435</v>
      </c>
      <c r="GK155" s="646">
        <v>2.9475226102387624</v>
      </c>
      <c r="GL155" s="646">
        <v>3600</v>
      </c>
      <c r="GM155" s="563"/>
      <c r="GN155" s="563"/>
      <c r="GO155" s="563"/>
      <c r="GP155" s="563"/>
      <c r="GQ155" s="563"/>
      <c r="GR155" s="650">
        <v>0</v>
      </c>
      <c r="GS155" s="563"/>
      <c r="GT155" s="563"/>
      <c r="GU155" s="563"/>
      <c r="GV155" s="650">
        <v>0</v>
      </c>
      <c r="GW155" s="564">
        <v>0</v>
      </c>
      <c r="GX155" s="565">
        <v>0</v>
      </c>
      <c r="GY155" s="649">
        <v>0</v>
      </c>
      <c r="GZ155" s="646">
        <v>31.949222884419086</v>
      </c>
      <c r="HA155" s="646">
        <v>0</v>
      </c>
      <c r="HB155" s="646">
        <v>0</v>
      </c>
      <c r="HC155" s="646">
        <v>57.31096528831435</v>
      </c>
      <c r="HD155" s="646">
        <v>2.9475226102387624</v>
      </c>
      <c r="HE155" s="646">
        <v>3600</v>
      </c>
      <c r="HF155" s="563"/>
      <c r="HG155" s="563"/>
      <c r="HH155" s="563"/>
      <c r="HI155" s="563"/>
      <c r="HJ155" s="563"/>
      <c r="HK155" s="650">
        <v>0</v>
      </c>
      <c r="HL155" s="563"/>
      <c r="HM155" s="563"/>
      <c r="HN155" s="563"/>
      <c r="HO155" s="650">
        <v>0</v>
      </c>
      <c r="HP155" s="564">
        <v>0</v>
      </c>
      <c r="HQ155" s="565">
        <v>0</v>
      </c>
      <c r="HR155" s="649">
        <v>0</v>
      </c>
      <c r="HS155" s="646">
        <v>31.949222884419086</v>
      </c>
      <c r="HT155" s="646">
        <v>0</v>
      </c>
      <c r="HU155" s="646">
        <v>0</v>
      </c>
      <c r="HV155" s="646">
        <v>57.31096528831435</v>
      </c>
      <c r="HW155" s="646">
        <v>2.9475226102387624</v>
      </c>
      <c r="HX155" s="646">
        <v>3600</v>
      </c>
      <c r="HY155" s="563"/>
      <c r="HZ155" s="563"/>
      <c r="IA155" s="563"/>
      <c r="IB155" s="563"/>
      <c r="IC155" s="563"/>
      <c r="ID155" s="650">
        <v>0</v>
      </c>
      <c r="IE155" s="563"/>
      <c r="IF155" s="563"/>
      <c r="IG155" s="563"/>
      <c r="IH155" s="650">
        <v>0</v>
      </c>
      <c r="II155" s="564">
        <v>0</v>
      </c>
      <c r="IJ155" s="565">
        <v>0</v>
      </c>
      <c r="IK155" s="649">
        <v>0</v>
      </c>
      <c r="IL155" s="646">
        <v>31.949222884419086</v>
      </c>
      <c r="IM155" s="646">
        <v>0</v>
      </c>
      <c r="IN155" s="646">
        <v>0</v>
      </c>
      <c r="IO155" s="646">
        <v>57.31096528831435</v>
      </c>
      <c r="IP155" s="646">
        <v>2.9475226102387624</v>
      </c>
      <c r="IQ155" s="646">
        <v>3600</v>
      </c>
      <c r="IR155" s="563"/>
      <c r="IS155" s="563"/>
      <c r="IT155" s="563"/>
      <c r="IU155" s="563"/>
      <c r="IV155" s="563"/>
      <c r="IW155" s="650">
        <v>0</v>
      </c>
      <c r="IX155" s="563"/>
      <c r="IY155" s="563"/>
      <c r="IZ155" s="563"/>
      <c r="JA155" s="650">
        <v>0</v>
      </c>
      <c r="JB155" s="564">
        <v>0</v>
      </c>
      <c r="JC155" s="565">
        <v>0</v>
      </c>
      <c r="JD155" s="649">
        <v>0</v>
      </c>
      <c r="JE155" s="646">
        <v>31.949222884419086</v>
      </c>
      <c r="JF155" s="646">
        <v>0</v>
      </c>
      <c r="JG155" s="646">
        <v>0</v>
      </c>
      <c r="JH155" s="646">
        <v>57.31096528831435</v>
      </c>
      <c r="JI155" s="646">
        <v>2.9475226102387624</v>
      </c>
      <c r="JJ155" s="646">
        <v>3600</v>
      </c>
      <c r="JK155" s="563"/>
      <c r="JL155" s="563"/>
      <c r="JM155" s="563"/>
      <c r="JN155" s="563"/>
      <c r="JO155" s="563"/>
      <c r="JP155" s="650">
        <v>0</v>
      </c>
      <c r="JQ155" s="563"/>
      <c r="JR155" s="563"/>
      <c r="JS155" s="563"/>
      <c r="JT155" s="650">
        <v>0</v>
      </c>
      <c r="JU155" s="564">
        <v>0</v>
      </c>
      <c r="JV155" s="565">
        <v>0</v>
      </c>
      <c r="JW155" s="649">
        <v>0</v>
      </c>
      <c r="JX155" s="646">
        <v>31.949222884419086</v>
      </c>
      <c r="JY155" s="646">
        <v>0</v>
      </c>
      <c r="JZ155" s="646">
        <v>0</v>
      </c>
      <c r="KA155" s="646">
        <v>57.31096528831435</v>
      </c>
      <c r="KB155" s="646">
        <v>2.9475226102387624</v>
      </c>
      <c r="KC155" s="646">
        <v>3600</v>
      </c>
      <c r="KD155" s="563"/>
      <c r="KE155" s="563"/>
      <c r="KF155" s="563"/>
      <c r="KG155" s="563"/>
      <c r="KH155" s="563"/>
      <c r="KI155" s="650">
        <v>0</v>
      </c>
      <c r="KJ155" s="563"/>
      <c r="KK155" s="563"/>
      <c r="KL155" s="563"/>
      <c r="KM155" s="650">
        <v>0</v>
      </c>
      <c r="KN155" s="564">
        <v>0</v>
      </c>
      <c r="KO155" s="566">
        <v>0</v>
      </c>
    </row>
    <row r="156" spans="1:301" ht="15" customHeight="1">
      <c r="A156" s="663" t="s">
        <v>905</v>
      </c>
      <c r="B156" s="629" t="s">
        <v>385</v>
      </c>
      <c r="C156" s="629">
        <v>525</v>
      </c>
      <c r="D156" s="629">
        <v>802</v>
      </c>
      <c r="E156" s="629">
        <v>500</v>
      </c>
      <c r="F156" s="629">
        <v>468.16961764798549</v>
      </c>
      <c r="G156" s="629">
        <v>206.0585899672032</v>
      </c>
      <c r="H156" s="629">
        <v>164.03736156382575</v>
      </c>
      <c r="I156" s="629">
        <v>160</v>
      </c>
      <c r="J156" s="629"/>
      <c r="K156" s="629"/>
      <c r="L156" s="629">
        <v>20</v>
      </c>
      <c r="M156" s="629">
        <v>241.22631827135376</v>
      </c>
      <c r="N156" s="629">
        <v>5</v>
      </c>
      <c r="O156" s="623">
        <v>12.121251703040812</v>
      </c>
      <c r="P156" s="629">
        <v>5</v>
      </c>
      <c r="Q156" s="623">
        <v>19.827971181378274</v>
      </c>
      <c r="R156" s="629"/>
      <c r="S156" s="629"/>
      <c r="T156" s="645">
        <v>0</v>
      </c>
      <c r="U156" s="645">
        <v>0</v>
      </c>
      <c r="V156" s="645">
        <v>110</v>
      </c>
      <c r="W156" s="793">
        <v>0</v>
      </c>
      <c r="X156" s="646">
        <v>0</v>
      </c>
      <c r="Y156" s="646">
        <v>0</v>
      </c>
      <c r="Z156" s="646">
        <v>0</v>
      </c>
      <c r="AA156" s="646">
        <v>0</v>
      </c>
      <c r="AB156" s="647">
        <v>0</v>
      </c>
      <c r="AC156" s="784">
        <v>0</v>
      </c>
      <c r="AD156" s="631"/>
      <c r="AE156" s="631"/>
      <c r="AF156" s="631"/>
      <c r="AG156" s="631"/>
      <c r="AH156" s="629"/>
      <c r="AI156" s="648">
        <v>3.1510610178348295</v>
      </c>
      <c r="AJ156" s="649">
        <v>0</v>
      </c>
      <c r="AK156" s="646">
        <v>31.949222884419086</v>
      </c>
      <c r="AL156" s="646">
        <v>0</v>
      </c>
      <c r="AM156" s="646">
        <v>0</v>
      </c>
      <c r="AN156" s="646">
        <v>63.785841788506595</v>
      </c>
      <c r="AO156" s="646">
        <v>2.9475226102387624</v>
      </c>
      <c r="AP156" s="801"/>
      <c r="AQ156" s="563"/>
      <c r="AR156" s="563"/>
      <c r="AS156" s="563"/>
      <c r="AT156" s="563"/>
      <c r="AU156" s="563"/>
      <c r="AV156" s="650">
        <v>0</v>
      </c>
      <c r="AW156" s="563"/>
      <c r="AX156" s="563"/>
      <c r="AY156" s="563"/>
      <c r="AZ156" s="650">
        <v>0</v>
      </c>
      <c r="BA156" s="564">
        <v>0</v>
      </c>
      <c r="BB156" s="565">
        <v>0</v>
      </c>
      <c r="BC156" s="649">
        <v>0</v>
      </c>
      <c r="BD156" s="646">
        <v>31.949222884419086</v>
      </c>
      <c r="BE156" s="646">
        <v>0</v>
      </c>
      <c r="BF156" s="646">
        <v>0</v>
      </c>
      <c r="BG156" s="646">
        <v>63.785841788506595</v>
      </c>
      <c r="BH156" s="646">
        <v>2.9475226102387624</v>
      </c>
      <c r="BI156" s="646">
        <v>0</v>
      </c>
      <c r="BJ156" s="563"/>
      <c r="BK156" s="563"/>
      <c r="BL156" s="563"/>
      <c r="BM156" s="563"/>
      <c r="BN156" s="563"/>
      <c r="BO156" s="650">
        <v>0</v>
      </c>
      <c r="BP156" s="563"/>
      <c r="BQ156" s="563"/>
      <c r="BR156" s="563"/>
      <c r="BS156" s="650">
        <v>0</v>
      </c>
      <c r="BT156" s="564">
        <v>0</v>
      </c>
      <c r="BU156" s="565">
        <v>0</v>
      </c>
      <c r="BV156" s="649">
        <v>0</v>
      </c>
      <c r="BW156" s="646">
        <v>31.949222884419086</v>
      </c>
      <c r="BX156" s="646">
        <v>0</v>
      </c>
      <c r="BY156" s="646">
        <v>0</v>
      </c>
      <c r="BZ156" s="646">
        <v>63.785841788506595</v>
      </c>
      <c r="CA156" s="646">
        <v>2.9475226102387624</v>
      </c>
      <c r="CB156" s="646">
        <v>3600</v>
      </c>
      <c r="CC156" s="563"/>
      <c r="CD156" s="563"/>
      <c r="CE156" s="563"/>
      <c r="CF156" s="563"/>
      <c r="CG156" s="563"/>
      <c r="CH156" s="650">
        <v>0</v>
      </c>
      <c r="CI156" s="563"/>
      <c r="CJ156" s="563"/>
      <c r="CK156" s="563"/>
      <c r="CL156" s="650">
        <v>0</v>
      </c>
      <c r="CM156" s="564">
        <v>0</v>
      </c>
      <c r="CN156" s="565">
        <v>0</v>
      </c>
      <c r="CO156" s="649">
        <v>0</v>
      </c>
      <c r="CP156" s="646">
        <v>31.949222884419086</v>
      </c>
      <c r="CQ156" s="646">
        <v>0</v>
      </c>
      <c r="CR156" s="646">
        <v>0</v>
      </c>
      <c r="CS156" s="646">
        <v>63.785841788506595</v>
      </c>
      <c r="CT156" s="646">
        <v>2.9475226102387624</v>
      </c>
      <c r="CU156" s="646">
        <v>3600</v>
      </c>
      <c r="CV156" s="563"/>
      <c r="CW156" s="563"/>
      <c r="CX156" s="563"/>
      <c r="CY156" s="563"/>
      <c r="CZ156" s="563"/>
      <c r="DA156" s="650">
        <v>0</v>
      </c>
      <c r="DB156" s="563"/>
      <c r="DC156" s="563"/>
      <c r="DD156" s="563"/>
      <c r="DE156" s="650">
        <v>0</v>
      </c>
      <c r="DF156" s="564">
        <v>0</v>
      </c>
      <c r="DG156" s="565">
        <v>0</v>
      </c>
      <c r="DH156" s="649">
        <v>0</v>
      </c>
      <c r="DI156" s="646">
        <v>31.949222884419086</v>
      </c>
      <c r="DJ156" s="646">
        <v>0</v>
      </c>
      <c r="DK156" s="646">
        <v>0</v>
      </c>
      <c r="DL156" s="646">
        <v>63.785841788506595</v>
      </c>
      <c r="DM156" s="646">
        <v>2.9475226102387624</v>
      </c>
      <c r="DN156" s="646">
        <v>3600</v>
      </c>
      <c r="DO156" s="563"/>
      <c r="DP156" s="563"/>
      <c r="DQ156" s="563"/>
      <c r="DR156" s="563"/>
      <c r="DS156" s="563"/>
      <c r="DT156" s="650">
        <v>0</v>
      </c>
      <c r="DU156" s="563"/>
      <c r="DV156" s="563"/>
      <c r="DW156" s="563"/>
      <c r="DX156" s="650">
        <v>0</v>
      </c>
      <c r="DY156" s="564">
        <v>0</v>
      </c>
      <c r="DZ156" s="565">
        <v>0</v>
      </c>
      <c r="EA156" s="649">
        <v>0</v>
      </c>
      <c r="EB156" s="646">
        <v>31.949222884419086</v>
      </c>
      <c r="EC156" s="646">
        <v>0</v>
      </c>
      <c r="ED156" s="646">
        <v>0</v>
      </c>
      <c r="EE156" s="646">
        <v>63.785841788506595</v>
      </c>
      <c r="EF156" s="646">
        <v>2.9475226102387624</v>
      </c>
      <c r="EG156" s="646">
        <v>3600</v>
      </c>
      <c r="EH156" s="563"/>
      <c r="EI156" s="563"/>
      <c r="EJ156" s="563"/>
      <c r="EK156" s="563"/>
      <c r="EL156" s="563"/>
      <c r="EM156" s="650">
        <v>0</v>
      </c>
      <c r="EN156" s="563"/>
      <c r="EO156" s="563"/>
      <c r="EP156" s="563"/>
      <c r="EQ156" s="650">
        <v>0</v>
      </c>
      <c r="ER156" s="564">
        <v>0</v>
      </c>
      <c r="ES156" s="565">
        <v>0</v>
      </c>
      <c r="ET156" s="649">
        <v>0</v>
      </c>
      <c r="EU156" s="646">
        <v>31.949222884419086</v>
      </c>
      <c r="EV156" s="646">
        <v>0</v>
      </c>
      <c r="EW156" s="646">
        <v>0</v>
      </c>
      <c r="EX156" s="646">
        <v>63.785841788506595</v>
      </c>
      <c r="EY156" s="646">
        <v>2.9475226102387624</v>
      </c>
      <c r="EZ156" s="646">
        <v>3600</v>
      </c>
      <c r="FA156" s="563"/>
      <c r="FB156" s="563"/>
      <c r="FC156" s="563"/>
      <c r="FD156" s="563"/>
      <c r="FE156" s="563"/>
      <c r="FF156" s="650">
        <v>0</v>
      </c>
      <c r="FG156" s="563"/>
      <c r="FH156" s="563"/>
      <c r="FI156" s="563"/>
      <c r="FJ156" s="650">
        <v>0</v>
      </c>
      <c r="FK156" s="564">
        <v>0</v>
      </c>
      <c r="FL156" s="565">
        <v>0</v>
      </c>
      <c r="FM156" s="649">
        <v>0</v>
      </c>
      <c r="FN156" s="646">
        <v>31.949222884419086</v>
      </c>
      <c r="FO156" s="646">
        <v>0</v>
      </c>
      <c r="FP156" s="646">
        <v>0</v>
      </c>
      <c r="FQ156" s="646">
        <v>63.785841788506595</v>
      </c>
      <c r="FR156" s="646">
        <v>2.9475226102387624</v>
      </c>
      <c r="FS156" s="646">
        <v>3600</v>
      </c>
      <c r="FT156" s="563"/>
      <c r="FU156" s="563"/>
      <c r="FV156" s="563"/>
      <c r="FW156" s="563"/>
      <c r="FX156" s="563"/>
      <c r="FY156" s="650">
        <v>0</v>
      </c>
      <c r="FZ156" s="563"/>
      <c r="GA156" s="563"/>
      <c r="GB156" s="563"/>
      <c r="GC156" s="650">
        <v>0</v>
      </c>
      <c r="GD156" s="564">
        <v>0</v>
      </c>
      <c r="GE156" s="565">
        <v>0</v>
      </c>
      <c r="GF156" s="649">
        <v>0</v>
      </c>
      <c r="GG156" s="646">
        <v>31.949222884419086</v>
      </c>
      <c r="GH156" s="646">
        <v>0</v>
      </c>
      <c r="GI156" s="646">
        <v>0</v>
      </c>
      <c r="GJ156" s="646">
        <v>63.785841788506595</v>
      </c>
      <c r="GK156" s="646">
        <v>2.9475226102387624</v>
      </c>
      <c r="GL156" s="646">
        <v>3600</v>
      </c>
      <c r="GM156" s="563"/>
      <c r="GN156" s="563"/>
      <c r="GO156" s="563"/>
      <c r="GP156" s="563"/>
      <c r="GQ156" s="563"/>
      <c r="GR156" s="650">
        <v>0</v>
      </c>
      <c r="GS156" s="563"/>
      <c r="GT156" s="563"/>
      <c r="GU156" s="563"/>
      <c r="GV156" s="650">
        <v>0</v>
      </c>
      <c r="GW156" s="564">
        <v>0</v>
      </c>
      <c r="GX156" s="565">
        <v>0</v>
      </c>
      <c r="GY156" s="649">
        <v>0</v>
      </c>
      <c r="GZ156" s="646">
        <v>31.949222884419086</v>
      </c>
      <c r="HA156" s="646">
        <v>0</v>
      </c>
      <c r="HB156" s="646">
        <v>0</v>
      </c>
      <c r="HC156" s="646">
        <v>63.785841788506595</v>
      </c>
      <c r="HD156" s="646">
        <v>2.9475226102387624</v>
      </c>
      <c r="HE156" s="646">
        <v>3600</v>
      </c>
      <c r="HF156" s="563"/>
      <c r="HG156" s="563"/>
      <c r="HH156" s="563"/>
      <c r="HI156" s="563"/>
      <c r="HJ156" s="563"/>
      <c r="HK156" s="650">
        <v>0</v>
      </c>
      <c r="HL156" s="563"/>
      <c r="HM156" s="563"/>
      <c r="HN156" s="563"/>
      <c r="HO156" s="650">
        <v>0</v>
      </c>
      <c r="HP156" s="564">
        <v>0</v>
      </c>
      <c r="HQ156" s="565">
        <v>0</v>
      </c>
      <c r="HR156" s="649">
        <v>0</v>
      </c>
      <c r="HS156" s="646">
        <v>31.949222884419086</v>
      </c>
      <c r="HT156" s="646">
        <v>0</v>
      </c>
      <c r="HU156" s="646">
        <v>0</v>
      </c>
      <c r="HV156" s="646">
        <v>63.785841788506595</v>
      </c>
      <c r="HW156" s="646">
        <v>2.9475226102387624</v>
      </c>
      <c r="HX156" s="646">
        <v>3600</v>
      </c>
      <c r="HY156" s="563"/>
      <c r="HZ156" s="563"/>
      <c r="IA156" s="563"/>
      <c r="IB156" s="563"/>
      <c r="IC156" s="563"/>
      <c r="ID156" s="650">
        <v>0</v>
      </c>
      <c r="IE156" s="563"/>
      <c r="IF156" s="563"/>
      <c r="IG156" s="563"/>
      <c r="IH156" s="650">
        <v>0</v>
      </c>
      <c r="II156" s="564">
        <v>0</v>
      </c>
      <c r="IJ156" s="565">
        <v>0</v>
      </c>
      <c r="IK156" s="649">
        <v>0</v>
      </c>
      <c r="IL156" s="646">
        <v>31.949222884419086</v>
      </c>
      <c r="IM156" s="646">
        <v>0</v>
      </c>
      <c r="IN156" s="646">
        <v>0</v>
      </c>
      <c r="IO156" s="646">
        <v>63.785841788506595</v>
      </c>
      <c r="IP156" s="646">
        <v>2.9475226102387624</v>
      </c>
      <c r="IQ156" s="646">
        <v>3600</v>
      </c>
      <c r="IR156" s="563"/>
      <c r="IS156" s="563"/>
      <c r="IT156" s="563"/>
      <c r="IU156" s="563"/>
      <c r="IV156" s="563"/>
      <c r="IW156" s="650">
        <v>0</v>
      </c>
      <c r="IX156" s="563"/>
      <c r="IY156" s="563"/>
      <c r="IZ156" s="563"/>
      <c r="JA156" s="650">
        <v>0</v>
      </c>
      <c r="JB156" s="564">
        <v>0</v>
      </c>
      <c r="JC156" s="565">
        <v>0</v>
      </c>
      <c r="JD156" s="649">
        <v>0</v>
      </c>
      <c r="JE156" s="646">
        <v>31.949222884419086</v>
      </c>
      <c r="JF156" s="646">
        <v>0</v>
      </c>
      <c r="JG156" s="646">
        <v>0</v>
      </c>
      <c r="JH156" s="646">
        <v>63.785841788506595</v>
      </c>
      <c r="JI156" s="646">
        <v>2.9475226102387624</v>
      </c>
      <c r="JJ156" s="646">
        <v>3600</v>
      </c>
      <c r="JK156" s="563"/>
      <c r="JL156" s="563"/>
      <c r="JM156" s="563"/>
      <c r="JN156" s="563"/>
      <c r="JO156" s="563"/>
      <c r="JP156" s="650">
        <v>0</v>
      </c>
      <c r="JQ156" s="563"/>
      <c r="JR156" s="563"/>
      <c r="JS156" s="563"/>
      <c r="JT156" s="650">
        <v>0</v>
      </c>
      <c r="JU156" s="564">
        <v>0</v>
      </c>
      <c r="JV156" s="565">
        <v>0</v>
      </c>
      <c r="JW156" s="649">
        <v>0</v>
      </c>
      <c r="JX156" s="646">
        <v>31.949222884419086</v>
      </c>
      <c r="JY156" s="646">
        <v>0</v>
      </c>
      <c r="JZ156" s="646">
        <v>0</v>
      </c>
      <c r="KA156" s="646">
        <v>63.785841788506595</v>
      </c>
      <c r="KB156" s="646">
        <v>2.9475226102387624</v>
      </c>
      <c r="KC156" s="646">
        <v>3600</v>
      </c>
      <c r="KD156" s="563"/>
      <c r="KE156" s="563"/>
      <c r="KF156" s="563"/>
      <c r="KG156" s="563"/>
      <c r="KH156" s="563"/>
      <c r="KI156" s="650">
        <v>0</v>
      </c>
      <c r="KJ156" s="563"/>
      <c r="KK156" s="563"/>
      <c r="KL156" s="563"/>
      <c r="KM156" s="650">
        <v>0</v>
      </c>
      <c r="KN156" s="564">
        <v>0</v>
      </c>
      <c r="KO156" s="566">
        <v>0</v>
      </c>
    </row>
    <row r="157" spans="1:301" ht="15" customHeight="1">
      <c r="A157" s="663" t="s">
        <v>906</v>
      </c>
      <c r="B157" s="629" t="s">
        <v>382</v>
      </c>
      <c r="C157" s="629">
        <v>582.98900000000003</v>
      </c>
      <c r="D157" s="629">
        <v>902</v>
      </c>
      <c r="E157" s="629">
        <v>560</v>
      </c>
      <c r="F157" s="629">
        <v>517.4010237662286</v>
      </c>
      <c r="G157" s="629">
        <v>226.58562076326757</v>
      </c>
      <c r="H157" s="629">
        <v>179.98668744829493</v>
      </c>
      <c r="I157" s="629">
        <v>175</v>
      </c>
      <c r="J157" s="629"/>
      <c r="K157" s="629"/>
      <c r="L157" s="629">
        <v>20</v>
      </c>
      <c r="M157" s="629">
        <v>235.19290077985301</v>
      </c>
      <c r="N157" s="629">
        <v>6</v>
      </c>
      <c r="O157" s="623">
        <v>18.496274717023891</v>
      </c>
      <c r="P157" s="629">
        <v>6</v>
      </c>
      <c r="Q157" s="623">
        <v>30.097045413375707</v>
      </c>
      <c r="R157" s="629"/>
      <c r="S157" s="629"/>
      <c r="T157" s="645">
        <v>0</v>
      </c>
      <c r="U157" s="645">
        <v>0</v>
      </c>
      <c r="V157" s="645">
        <v>122.5</v>
      </c>
      <c r="W157" s="793">
        <v>0</v>
      </c>
      <c r="X157" s="646">
        <v>0</v>
      </c>
      <c r="Y157" s="646">
        <v>0</v>
      </c>
      <c r="Z157" s="646">
        <v>0</v>
      </c>
      <c r="AA157" s="646">
        <v>0</v>
      </c>
      <c r="AB157" s="647">
        <v>0</v>
      </c>
      <c r="AC157" s="784">
        <v>0</v>
      </c>
      <c r="AD157" s="631"/>
      <c r="AE157" s="631"/>
      <c r="AF157" s="631"/>
      <c r="AG157" s="631"/>
      <c r="AH157" s="629"/>
      <c r="AI157" s="648">
        <v>3.6919430786408109</v>
      </c>
      <c r="AJ157" s="649">
        <v>0</v>
      </c>
      <c r="AK157" s="646">
        <v>48.593320130399597</v>
      </c>
      <c r="AL157" s="646">
        <v>0</v>
      </c>
      <c r="AM157" s="646">
        <v>0</v>
      </c>
      <c r="AN157" s="646">
        <v>70.367168646123687</v>
      </c>
      <c r="AO157" s="646">
        <v>5.6670189228290413</v>
      </c>
      <c r="AP157" s="801"/>
      <c r="AQ157" s="563"/>
      <c r="AR157" s="563"/>
      <c r="AS157" s="563"/>
      <c r="AT157" s="563"/>
      <c r="AU157" s="563"/>
      <c r="AV157" s="650">
        <v>0</v>
      </c>
      <c r="AW157" s="563"/>
      <c r="AX157" s="563"/>
      <c r="AY157" s="563"/>
      <c r="AZ157" s="650">
        <v>0</v>
      </c>
      <c r="BA157" s="564">
        <v>0</v>
      </c>
      <c r="BB157" s="565">
        <v>0</v>
      </c>
      <c r="BC157" s="649">
        <v>0</v>
      </c>
      <c r="BD157" s="646">
        <v>48.593320130399597</v>
      </c>
      <c r="BE157" s="646">
        <v>0</v>
      </c>
      <c r="BF157" s="646">
        <v>0</v>
      </c>
      <c r="BG157" s="646">
        <v>70.367168646123687</v>
      </c>
      <c r="BH157" s="646">
        <v>5.6670189228290413</v>
      </c>
      <c r="BI157" s="646">
        <v>0</v>
      </c>
      <c r="BJ157" s="563"/>
      <c r="BK157" s="563"/>
      <c r="BL157" s="563"/>
      <c r="BM157" s="563"/>
      <c r="BN157" s="563"/>
      <c r="BO157" s="650">
        <v>0</v>
      </c>
      <c r="BP157" s="563"/>
      <c r="BQ157" s="563"/>
      <c r="BR157" s="563"/>
      <c r="BS157" s="650">
        <v>0</v>
      </c>
      <c r="BT157" s="564">
        <v>0</v>
      </c>
      <c r="BU157" s="565">
        <v>0</v>
      </c>
      <c r="BV157" s="649">
        <v>0</v>
      </c>
      <c r="BW157" s="646">
        <v>48.593320130399597</v>
      </c>
      <c r="BX157" s="646">
        <v>0</v>
      </c>
      <c r="BY157" s="646">
        <v>0</v>
      </c>
      <c r="BZ157" s="646">
        <v>70.367168646123687</v>
      </c>
      <c r="CA157" s="646">
        <v>5.6670189228290413</v>
      </c>
      <c r="CB157" s="646">
        <v>3600</v>
      </c>
      <c r="CC157" s="563"/>
      <c r="CD157" s="563"/>
      <c r="CE157" s="563"/>
      <c r="CF157" s="563"/>
      <c r="CG157" s="563"/>
      <c r="CH157" s="650">
        <v>0</v>
      </c>
      <c r="CI157" s="563"/>
      <c r="CJ157" s="563"/>
      <c r="CK157" s="563"/>
      <c r="CL157" s="650">
        <v>0</v>
      </c>
      <c r="CM157" s="564">
        <v>0</v>
      </c>
      <c r="CN157" s="565">
        <v>0</v>
      </c>
      <c r="CO157" s="649">
        <v>0</v>
      </c>
      <c r="CP157" s="646">
        <v>48.593320130399597</v>
      </c>
      <c r="CQ157" s="646">
        <v>0</v>
      </c>
      <c r="CR157" s="646">
        <v>0</v>
      </c>
      <c r="CS157" s="646">
        <v>70.367168646123687</v>
      </c>
      <c r="CT157" s="646">
        <v>5.6670189228290413</v>
      </c>
      <c r="CU157" s="646">
        <v>3600</v>
      </c>
      <c r="CV157" s="563"/>
      <c r="CW157" s="563"/>
      <c r="CX157" s="563"/>
      <c r="CY157" s="563"/>
      <c r="CZ157" s="563"/>
      <c r="DA157" s="650">
        <v>0</v>
      </c>
      <c r="DB157" s="563"/>
      <c r="DC157" s="563"/>
      <c r="DD157" s="563"/>
      <c r="DE157" s="650">
        <v>0</v>
      </c>
      <c r="DF157" s="564">
        <v>0</v>
      </c>
      <c r="DG157" s="565">
        <v>0</v>
      </c>
      <c r="DH157" s="649">
        <v>0</v>
      </c>
      <c r="DI157" s="646">
        <v>48.593320130399597</v>
      </c>
      <c r="DJ157" s="646">
        <v>0</v>
      </c>
      <c r="DK157" s="646">
        <v>0</v>
      </c>
      <c r="DL157" s="646">
        <v>70.367168646123687</v>
      </c>
      <c r="DM157" s="646">
        <v>5.6670189228290413</v>
      </c>
      <c r="DN157" s="646">
        <v>3600</v>
      </c>
      <c r="DO157" s="563"/>
      <c r="DP157" s="563"/>
      <c r="DQ157" s="563"/>
      <c r="DR157" s="563"/>
      <c r="DS157" s="563"/>
      <c r="DT157" s="650">
        <v>0</v>
      </c>
      <c r="DU157" s="563"/>
      <c r="DV157" s="563"/>
      <c r="DW157" s="563"/>
      <c r="DX157" s="650">
        <v>0</v>
      </c>
      <c r="DY157" s="564">
        <v>0</v>
      </c>
      <c r="DZ157" s="565">
        <v>0</v>
      </c>
      <c r="EA157" s="649">
        <v>0</v>
      </c>
      <c r="EB157" s="646">
        <v>48.593320130399597</v>
      </c>
      <c r="EC157" s="646">
        <v>0</v>
      </c>
      <c r="ED157" s="646">
        <v>0</v>
      </c>
      <c r="EE157" s="646">
        <v>70.367168646123687</v>
      </c>
      <c r="EF157" s="646">
        <v>5.6670189228290413</v>
      </c>
      <c r="EG157" s="646">
        <v>3600</v>
      </c>
      <c r="EH157" s="563"/>
      <c r="EI157" s="563"/>
      <c r="EJ157" s="563"/>
      <c r="EK157" s="563"/>
      <c r="EL157" s="563"/>
      <c r="EM157" s="650">
        <v>0</v>
      </c>
      <c r="EN157" s="563"/>
      <c r="EO157" s="563"/>
      <c r="EP157" s="563"/>
      <c r="EQ157" s="650">
        <v>0</v>
      </c>
      <c r="ER157" s="564">
        <v>0</v>
      </c>
      <c r="ES157" s="565">
        <v>0</v>
      </c>
      <c r="ET157" s="649">
        <v>0</v>
      </c>
      <c r="EU157" s="646">
        <v>48.593320130399597</v>
      </c>
      <c r="EV157" s="646">
        <v>0</v>
      </c>
      <c r="EW157" s="646">
        <v>0</v>
      </c>
      <c r="EX157" s="646">
        <v>70.367168646123687</v>
      </c>
      <c r="EY157" s="646">
        <v>5.6670189228290413</v>
      </c>
      <c r="EZ157" s="646">
        <v>3600</v>
      </c>
      <c r="FA157" s="563"/>
      <c r="FB157" s="563"/>
      <c r="FC157" s="563"/>
      <c r="FD157" s="563"/>
      <c r="FE157" s="563"/>
      <c r="FF157" s="650">
        <v>0</v>
      </c>
      <c r="FG157" s="563"/>
      <c r="FH157" s="563"/>
      <c r="FI157" s="563"/>
      <c r="FJ157" s="650">
        <v>0</v>
      </c>
      <c r="FK157" s="564">
        <v>0</v>
      </c>
      <c r="FL157" s="565">
        <v>0</v>
      </c>
      <c r="FM157" s="649">
        <v>0</v>
      </c>
      <c r="FN157" s="646">
        <v>48.593320130399597</v>
      </c>
      <c r="FO157" s="646">
        <v>0</v>
      </c>
      <c r="FP157" s="646">
        <v>0</v>
      </c>
      <c r="FQ157" s="646">
        <v>70.367168646123687</v>
      </c>
      <c r="FR157" s="646">
        <v>5.6670189228290413</v>
      </c>
      <c r="FS157" s="646">
        <v>3600</v>
      </c>
      <c r="FT157" s="563"/>
      <c r="FU157" s="563"/>
      <c r="FV157" s="563"/>
      <c r="FW157" s="563"/>
      <c r="FX157" s="563"/>
      <c r="FY157" s="650">
        <v>0</v>
      </c>
      <c r="FZ157" s="563"/>
      <c r="GA157" s="563"/>
      <c r="GB157" s="563"/>
      <c r="GC157" s="650">
        <v>0</v>
      </c>
      <c r="GD157" s="564">
        <v>0</v>
      </c>
      <c r="GE157" s="565">
        <v>0</v>
      </c>
      <c r="GF157" s="649">
        <v>0</v>
      </c>
      <c r="GG157" s="646">
        <v>48.593320130399597</v>
      </c>
      <c r="GH157" s="646">
        <v>0</v>
      </c>
      <c r="GI157" s="646">
        <v>0</v>
      </c>
      <c r="GJ157" s="646">
        <v>70.367168646123687</v>
      </c>
      <c r="GK157" s="646">
        <v>5.6670189228290413</v>
      </c>
      <c r="GL157" s="646">
        <v>3600</v>
      </c>
      <c r="GM157" s="563"/>
      <c r="GN157" s="563"/>
      <c r="GO157" s="563"/>
      <c r="GP157" s="563"/>
      <c r="GQ157" s="563"/>
      <c r="GR157" s="650">
        <v>0</v>
      </c>
      <c r="GS157" s="563"/>
      <c r="GT157" s="563"/>
      <c r="GU157" s="563"/>
      <c r="GV157" s="650">
        <v>0</v>
      </c>
      <c r="GW157" s="564">
        <v>0</v>
      </c>
      <c r="GX157" s="565">
        <v>0</v>
      </c>
      <c r="GY157" s="649">
        <v>0</v>
      </c>
      <c r="GZ157" s="646">
        <v>48.593320130399597</v>
      </c>
      <c r="HA157" s="646">
        <v>0</v>
      </c>
      <c r="HB157" s="646">
        <v>0</v>
      </c>
      <c r="HC157" s="646">
        <v>70.367168646123687</v>
      </c>
      <c r="HD157" s="646">
        <v>5.6670189228290413</v>
      </c>
      <c r="HE157" s="646">
        <v>3600</v>
      </c>
      <c r="HF157" s="563"/>
      <c r="HG157" s="563"/>
      <c r="HH157" s="563"/>
      <c r="HI157" s="563"/>
      <c r="HJ157" s="563"/>
      <c r="HK157" s="650">
        <v>0</v>
      </c>
      <c r="HL157" s="563"/>
      <c r="HM157" s="563"/>
      <c r="HN157" s="563"/>
      <c r="HO157" s="650">
        <v>0</v>
      </c>
      <c r="HP157" s="564">
        <v>0</v>
      </c>
      <c r="HQ157" s="565">
        <v>0</v>
      </c>
      <c r="HR157" s="649">
        <v>0</v>
      </c>
      <c r="HS157" s="646">
        <v>48.593320130399597</v>
      </c>
      <c r="HT157" s="646">
        <v>0</v>
      </c>
      <c r="HU157" s="646">
        <v>0</v>
      </c>
      <c r="HV157" s="646">
        <v>70.367168646123687</v>
      </c>
      <c r="HW157" s="646">
        <v>5.6670189228290413</v>
      </c>
      <c r="HX157" s="646">
        <v>3600</v>
      </c>
      <c r="HY157" s="563"/>
      <c r="HZ157" s="563"/>
      <c r="IA157" s="563"/>
      <c r="IB157" s="563"/>
      <c r="IC157" s="563"/>
      <c r="ID157" s="650">
        <v>0</v>
      </c>
      <c r="IE157" s="563"/>
      <c r="IF157" s="563"/>
      <c r="IG157" s="563"/>
      <c r="IH157" s="650">
        <v>0</v>
      </c>
      <c r="II157" s="564">
        <v>0</v>
      </c>
      <c r="IJ157" s="565">
        <v>0</v>
      </c>
      <c r="IK157" s="649">
        <v>0</v>
      </c>
      <c r="IL157" s="646">
        <v>48.593320130399597</v>
      </c>
      <c r="IM157" s="646">
        <v>0</v>
      </c>
      <c r="IN157" s="646">
        <v>0</v>
      </c>
      <c r="IO157" s="646">
        <v>70.367168646123687</v>
      </c>
      <c r="IP157" s="646">
        <v>5.6670189228290413</v>
      </c>
      <c r="IQ157" s="646">
        <v>3600</v>
      </c>
      <c r="IR157" s="563"/>
      <c r="IS157" s="563"/>
      <c r="IT157" s="563"/>
      <c r="IU157" s="563"/>
      <c r="IV157" s="563"/>
      <c r="IW157" s="650">
        <v>0</v>
      </c>
      <c r="IX157" s="563"/>
      <c r="IY157" s="563"/>
      <c r="IZ157" s="563"/>
      <c r="JA157" s="650">
        <v>0</v>
      </c>
      <c r="JB157" s="564">
        <v>0</v>
      </c>
      <c r="JC157" s="565">
        <v>0</v>
      </c>
      <c r="JD157" s="649">
        <v>0</v>
      </c>
      <c r="JE157" s="646">
        <v>48.593320130399597</v>
      </c>
      <c r="JF157" s="646">
        <v>0</v>
      </c>
      <c r="JG157" s="646">
        <v>0</v>
      </c>
      <c r="JH157" s="646">
        <v>70.367168646123687</v>
      </c>
      <c r="JI157" s="646">
        <v>5.6670189228290413</v>
      </c>
      <c r="JJ157" s="646">
        <v>3600</v>
      </c>
      <c r="JK157" s="563"/>
      <c r="JL157" s="563"/>
      <c r="JM157" s="563"/>
      <c r="JN157" s="563"/>
      <c r="JO157" s="563"/>
      <c r="JP157" s="650">
        <v>0</v>
      </c>
      <c r="JQ157" s="563"/>
      <c r="JR157" s="563"/>
      <c r="JS157" s="563"/>
      <c r="JT157" s="650">
        <v>0</v>
      </c>
      <c r="JU157" s="564">
        <v>0</v>
      </c>
      <c r="JV157" s="565">
        <v>0</v>
      </c>
      <c r="JW157" s="649">
        <v>0</v>
      </c>
      <c r="JX157" s="646">
        <v>48.593320130399597</v>
      </c>
      <c r="JY157" s="646">
        <v>0</v>
      </c>
      <c r="JZ157" s="646">
        <v>0</v>
      </c>
      <c r="KA157" s="646">
        <v>70.367168646123687</v>
      </c>
      <c r="KB157" s="646">
        <v>5.6670189228290413</v>
      </c>
      <c r="KC157" s="646">
        <v>3600</v>
      </c>
      <c r="KD157" s="563"/>
      <c r="KE157" s="563"/>
      <c r="KF157" s="563"/>
      <c r="KG157" s="563"/>
      <c r="KH157" s="563"/>
      <c r="KI157" s="650">
        <v>0</v>
      </c>
      <c r="KJ157" s="563"/>
      <c r="KK157" s="563"/>
      <c r="KL157" s="563"/>
      <c r="KM157" s="650">
        <v>0</v>
      </c>
      <c r="KN157" s="564">
        <v>0</v>
      </c>
      <c r="KO157" s="566">
        <v>0</v>
      </c>
    </row>
    <row r="158" spans="1:301" ht="15" customHeight="1">
      <c r="A158" s="663" t="s">
        <v>907</v>
      </c>
      <c r="B158" s="629" t="s">
        <v>382</v>
      </c>
      <c r="C158" s="629">
        <v>664.95699999999999</v>
      </c>
      <c r="D158" s="629">
        <v>952</v>
      </c>
      <c r="E158" s="629">
        <v>630</v>
      </c>
      <c r="F158" s="629">
        <v>596.27920848197721</v>
      </c>
      <c r="G158" s="629">
        <v>253.03382335867602</v>
      </c>
      <c r="H158" s="629">
        <v>200.00875758327325</v>
      </c>
      <c r="I158" s="629">
        <v>195</v>
      </c>
      <c r="J158" s="629"/>
      <c r="K158" s="629"/>
      <c r="L158" s="629">
        <v>24</v>
      </c>
      <c r="M158" s="629">
        <v>275.94234824520538</v>
      </c>
      <c r="N158" s="629">
        <v>6</v>
      </c>
      <c r="O158" s="623">
        <v>18.844001899886479</v>
      </c>
      <c r="P158" s="629">
        <v>6</v>
      </c>
      <c r="Q158" s="623">
        <v>33.52622731245674</v>
      </c>
      <c r="R158" s="629"/>
      <c r="S158" s="629"/>
      <c r="T158" s="645">
        <v>0</v>
      </c>
      <c r="U158" s="645">
        <v>0</v>
      </c>
      <c r="V158" s="645">
        <v>147.5</v>
      </c>
      <c r="W158" s="793">
        <v>0</v>
      </c>
      <c r="X158" s="646">
        <v>0</v>
      </c>
      <c r="Y158" s="646">
        <v>0</v>
      </c>
      <c r="Z158" s="646">
        <v>0</v>
      </c>
      <c r="AA158" s="646">
        <v>0</v>
      </c>
      <c r="AB158" s="647">
        <v>0</v>
      </c>
      <c r="AC158" s="784">
        <v>0</v>
      </c>
      <c r="AD158" s="631"/>
      <c r="AE158" s="631"/>
      <c r="AF158" s="631"/>
      <c r="AG158" s="631"/>
      <c r="AH158" s="629"/>
      <c r="AI158" s="648">
        <v>4.7686738731184848</v>
      </c>
      <c r="AJ158" s="649">
        <v>0</v>
      </c>
      <c r="AK158" s="646">
        <v>52.370229212343219</v>
      </c>
      <c r="AL158" s="646">
        <v>0</v>
      </c>
      <c r="AM158" s="646">
        <v>0</v>
      </c>
      <c r="AN158" s="646">
        <v>73.888240476107882</v>
      </c>
      <c r="AO158" s="646">
        <v>6.8678165712660562</v>
      </c>
      <c r="AP158" s="801"/>
      <c r="AQ158" s="563"/>
      <c r="AR158" s="563"/>
      <c r="AS158" s="563"/>
      <c r="AT158" s="563"/>
      <c r="AU158" s="563"/>
      <c r="AV158" s="650">
        <v>0</v>
      </c>
      <c r="AW158" s="563"/>
      <c r="AX158" s="563"/>
      <c r="AY158" s="563"/>
      <c r="AZ158" s="650">
        <v>0</v>
      </c>
      <c r="BA158" s="564">
        <v>0</v>
      </c>
      <c r="BB158" s="565">
        <v>0</v>
      </c>
      <c r="BC158" s="649">
        <v>0</v>
      </c>
      <c r="BD158" s="646">
        <v>52.370229212343219</v>
      </c>
      <c r="BE158" s="646">
        <v>0</v>
      </c>
      <c r="BF158" s="646">
        <v>0</v>
      </c>
      <c r="BG158" s="646">
        <v>73.888240476107882</v>
      </c>
      <c r="BH158" s="646">
        <v>6.8678165712660562</v>
      </c>
      <c r="BI158" s="646">
        <v>0</v>
      </c>
      <c r="BJ158" s="563"/>
      <c r="BK158" s="563"/>
      <c r="BL158" s="563"/>
      <c r="BM158" s="563"/>
      <c r="BN158" s="563"/>
      <c r="BO158" s="650">
        <v>0</v>
      </c>
      <c r="BP158" s="563"/>
      <c r="BQ158" s="563"/>
      <c r="BR158" s="563"/>
      <c r="BS158" s="650">
        <v>0</v>
      </c>
      <c r="BT158" s="564">
        <v>0</v>
      </c>
      <c r="BU158" s="565">
        <v>0</v>
      </c>
      <c r="BV158" s="649">
        <v>0</v>
      </c>
      <c r="BW158" s="646">
        <v>52.370229212343219</v>
      </c>
      <c r="BX158" s="646">
        <v>0</v>
      </c>
      <c r="BY158" s="646">
        <v>0</v>
      </c>
      <c r="BZ158" s="646">
        <v>73.888240476107882</v>
      </c>
      <c r="CA158" s="646">
        <v>6.8678165712660562</v>
      </c>
      <c r="CB158" s="646">
        <v>3600</v>
      </c>
      <c r="CC158" s="563"/>
      <c r="CD158" s="563"/>
      <c r="CE158" s="563"/>
      <c r="CF158" s="563"/>
      <c r="CG158" s="563"/>
      <c r="CH158" s="650">
        <v>0</v>
      </c>
      <c r="CI158" s="563"/>
      <c r="CJ158" s="563"/>
      <c r="CK158" s="563"/>
      <c r="CL158" s="650">
        <v>0</v>
      </c>
      <c r="CM158" s="564">
        <v>0</v>
      </c>
      <c r="CN158" s="565">
        <v>0</v>
      </c>
      <c r="CO158" s="649">
        <v>0</v>
      </c>
      <c r="CP158" s="646">
        <v>52.370229212343219</v>
      </c>
      <c r="CQ158" s="646">
        <v>0</v>
      </c>
      <c r="CR158" s="646">
        <v>0</v>
      </c>
      <c r="CS158" s="646">
        <v>73.888240476107882</v>
      </c>
      <c r="CT158" s="646">
        <v>6.8678165712660562</v>
      </c>
      <c r="CU158" s="646">
        <v>3600</v>
      </c>
      <c r="CV158" s="563"/>
      <c r="CW158" s="563"/>
      <c r="CX158" s="563"/>
      <c r="CY158" s="563"/>
      <c r="CZ158" s="563"/>
      <c r="DA158" s="650">
        <v>0</v>
      </c>
      <c r="DB158" s="563"/>
      <c r="DC158" s="563"/>
      <c r="DD158" s="563"/>
      <c r="DE158" s="650">
        <v>0</v>
      </c>
      <c r="DF158" s="564">
        <v>0</v>
      </c>
      <c r="DG158" s="565">
        <v>0</v>
      </c>
      <c r="DH158" s="649">
        <v>0</v>
      </c>
      <c r="DI158" s="646">
        <v>52.370229212343219</v>
      </c>
      <c r="DJ158" s="646">
        <v>0</v>
      </c>
      <c r="DK158" s="646">
        <v>0</v>
      </c>
      <c r="DL158" s="646">
        <v>73.888240476107882</v>
      </c>
      <c r="DM158" s="646">
        <v>6.8678165712660562</v>
      </c>
      <c r="DN158" s="646">
        <v>3600</v>
      </c>
      <c r="DO158" s="563"/>
      <c r="DP158" s="563"/>
      <c r="DQ158" s="563"/>
      <c r="DR158" s="563"/>
      <c r="DS158" s="563"/>
      <c r="DT158" s="650">
        <v>0</v>
      </c>
      <c r="DU158" s="563"/>
      <c r="DV158" s="563"/>
      <c r="DW158" s="563"/>
      <c r="DX158" s="650">
        <v>0</v>
      </c>
      <c r="DY158" s="564">
        <v>0</v>
      </c>
      <c r="DZ158" s="565">
        <v>0</v>
      </c>
      <c r="EA158" s="649">
        <v>0</v>
      </c>
      <c r="EB158" s="646">
        <v>52.370229212343219</v>
      </c>
      <c r="EC158" s="646">
        <v>0</v>
      </c>
      <c r="ED158" s="646">
        <v>0</v>
      </c>
      <c r="EE158" s="646">
        <v>73.888240476107882</v>
      </c>
      <c r="EF158" s="646">
        <v>6.8678165712660562</v>
      </c>
      <c r="EG158" s="646">
        <v>3600</v>
      </c>
      <c r="EH158" s="563"/>
      <c r="EI158" s="563"/>
      <c r="EJ158" s="563"/>
      <c r="EK158" s="563"/>
      <c r="EL158" s="563"/>
      <c r="EM158" s="650">
        <v>0</v>
      </c>
      <c r="EN158" s="563"/>
      <c r="EO158" s="563"/>
      <c r="EP158" s="563"/>
      <c r="EQ158" s="650">
        <v>0</v>
      </c>
      <c r="ER158" s="564">
        <v>0</v>
      </c>
      <c r="ES158" s="565">
        <v>0</v>
      </c>
      <c r="ET158" s="649">
        <v>0</v>
      </c>
      <c r="EU158" s="646">
        <v>52.370229212343219</v>
      </c>
      <c r="EV158" s="646">
        <v>0</v>
      </c>
      <c r="EW158" s="646">
        <v>0</v>
      </c>
      <c r="EX158" s="646">
        <v>73.888240476107882</v>
      </c>
      <c r="EY158" s="646">
        <v>6.8678165712660562</v>
      </c>
      <c r="EZ158" s="646">
        <v>3600</v>
      </c>
      <c r="FA158" s="563"/>
      <c r="FB158" s="563"/>
      <c r="FC158" s="563"/>
      <c r="FD158" s="563"/>
      <c r="FE158" s="563"/>
      <c r="FF158" s="650">
        <v>0</v>
      </c>
      <c r="FG158" s="563"/>
      <c r="FH158" s="563"/>
      <c r="FI158" s="563"/>
      <c r="FJ158" s="650">
        <v>0</v>
      </c>
      <c r="FK158" s="564">
        <v>0</v>
      </c>
      <c r="FL158" s="565">
        <v>0</v>
      </c>
      <c r="FM158" s="649">
        <v>0</v>
      </c>
      <c r="FN158" s="646">
        <v>52.370229212343219</v>
      </c>
      <c r="FO158" s="646">
        <v>0</v>
      </c>
      <c r="FP158" s="646">
        <v>0</v>
      </c>
      <c r="FQ158" s="646">
        <v>73.888240476107882</v>
      </c>
      <c r="FR158" s="646">
        <v>6.8678165712660562</v>
      </c>
      <c r="FS158" s="646">
        <v>3600</v>
      </c>
      <c r="FT158" s="563"/>
      <c r="FU158" s="563"/>
      <c r="FV158" s="563"/>
      <c r="FW158" s="563"/>
      <c r="FX158" s="563"/>
      <c r="FY158" s="650">
        <v>0</v>
      </c>
      <c r="FZ158" s="563"/>
      <c r="GA158" s="563"/>
      <c r="GB158" s="563"/>
      <c r="GC158" s="650">
        <v>0</v>
      </c>
      <c r="GD158" s="564">
        <v>0</v>
      </c>
      <c r="GE158" s="565">
        <v>0</v>
      </c>
      <c r="GF158" s="649">
        <v>0</v>
      </c>
      <c r="GG158" s="646">
        <v>52.370229212343219</v>
      </c>
      <c r="GH158" s="646">
        <v>0</v>
      </c>
      <c r="GI158" s="646">
        <v>0</v>
      </c>
      <c r="GJ158" s="646">
        <v>73.888240476107882</v>
      </c>
      <c r="GK158" s="646">
        <v>6.8678165712660562</v>
      </c>
      <c r="GL158" s="646">
        <v>3600</v>
      </c>
      <c r="GM158" s="563"/>
      <c r="GN158" s="563"/>
      <c r="GO158" s="563"/>
      <c r="GP158" s="563"/>
      <c r="GQ158" s="563"/>
      <c r="GR158" s="650">
        <v>0</v>
      </c>
      <c r="GS158" s="563"/>
      <c r="GT158" s="563"/>
      <c r="GU158" s="563"/>
      <c r="GV158" s="650">
        <v>0</v>
      </c>
      <c r="GW158" s="564">
        <v>0</v>
      </c>
      <c r="GX158" s="565">
        <v>0</v>
      </c>
      <c r="GY158" s="649">
        <v>0</v>
      </c>
      <c r="GZ158" s="646">
        <v>52.370229212343219</v>
      </c>
      <c r="HA158" s="646">
        <v>0</v>
      </c>
      <c r="HB158" s="646">
        <v>0</v>
      </c>
      <c r="HC158" s="646">
        <v>73.888240476107882</v>
      </c>
      <c r="HD158" s="646">
        <v>6.8678165712660562</v>
      </c>
      <c r="HE158" s="646">
        <v>3600</v>
      </c>
      <c r="HF158" s="563"/>
      <c r="HG158" s="563"/>
      <c r="HH158" s="563"/>
      <c r="HI158" s="563"/>
      <c r="HJ158" s="563"/>
      <c r="HK158" s="650">
        <v>0</v>
      </c>
      <c r="HL158" s="563"/>
      <c r="HM158" s="563"/>
      <c r="HN158" s="563"/>
      <c r="HO158" s="650">
        <v>0</v>
      </c>
      <c r="HP158" s="564">
        <v>0</v>
      </c>
      <c r="HQ158" s="565">
        <v>0</v>
      </c>
      <c r="HR158" s="649">
        <v>0</v>
      </c>
      <c r="HS158" s="646">
        <v>52.370229212343219</v>
      </c>
      <c r="HT158" s="646">
        <v>0</v>
      </c>
      <c r="HU158" s="646">
        <v>0</v>
      </c>
      <c r="HV158" s="646">
        <v>73.888240476107882</v>
      </c>
      <c r="HW158" s="646">
        <v>6.8678165712660562</v>
      </c>
      <c r="HX158" s="646">
        <v>3600</v>
      </c>
      <c r="HY158" s="563"/>
      <c r="HZ158" s="563"/>
      <c r="IA158" s="563"/>
      <c r="IB158" s="563"/>
      <c r="IC158" s="563"/>
      <c r="ID158" s="650">
        <v>0</v>
      </c>
      <c r="IE158" s="563"/>
      <c r="IF158" s="563"/>
      <c r="IG158" s="563"/>
      <c r="IH158" s="650">
        <v>0</v>
      </c>
      <c r="II158" s="564">
        <v>0</v>
      </c>
      <c r="IJ158" s="565">
        <v>0</v>
      </c>
      <c r="IK158" s="649">
        <v>0</v>
      </c>
      <c r="IL158" s="646">
        <v>52.370229212343219</v>
      </c>
      <c r="IM158" s="646">
        <v>0</v>
      </c>
      <c r="IN158" s="646">
        <v>0</v>
      </c>
      <c r="IO158" s="646">
        <v>73.888240476107882</v>
      </c>
      <c r="IP158" s="646">
        <v>6.8678165712660562</v>
      </c>
      <c r="IQ158" s="646">
        <v>3600</v>
      </c>
      <c r="IR158" s="563"/>
      <c r="IS158" s="563"/>
      <c r="IT158" s="563"/>
      <c r="IU158" s="563"/>
      <c r="IV158" s="563"/>
      <c r="IW158" s="650">
        <v>0</v>
      </c>
      <c r="IX158" s="563"/>
      <c r="IY158" s="563"/>
      <c r="IZ158" s="563"/>
      <c r="JA158" s="650">
        <v>0</v>
      </c>
      <c r="JB158" s="564">
        <v>0</v>
      </c>
      <c r="JC158" s="565">
        <v>0</v>
      </c>
      <c r="JD158" s="649">
        <v>0</v>
      </c>
      <c r="JE158" s="646">
        <v>52.370229212343219</v>
      </c>
      <c r="JF158" s="646">
        <v>0</v>
      </c>
      <c r="JG158" s="646">
        <v>0</v>
      </c>
      <c r="JH158" s="646">
        <v>73.888240476107882</v>
      </c>
      <c r="JI158" s="646">
        <v>6.8678165712660562</v>
      </c>
      <c r="JJ158" s="646">
        <v>3600</v>
      </c>
      <c r="JK158" s="563"/>
      <c r="JL158" s="563"/>
      <c r="JM158" s="563"/>
      <c r="JN158" s="563"/>
      <c r="JO158" s="563"/>
      <c r="JP158" s="650">
        <v>0</v>
      </c>
      <c r="JQ158" s="563"/>
      <c r="JR158" s="563"/>
      <c r="JS158" s="563"/>
      <c r="JT158" s="650">
        <v>0</v>
      </c>
      <c r="JU158" s="564">
        <v>0</v>
      </c>
      <c r="JV158" s="565">
        <v>0</v>
      </c>
      <c r="JW158" s="649">
        <v>0</v>
      </c>
      <c r="JX158" s="646">
        <v>52.370229212343219</v>
      </c>
      <c r="JY158" s="646">
        <v>0</v>
      </c>
      <c r="JZ158" s="646">
        <v>0</v>
      </c>
      <c r="KA158" s="646">
        <v>73.888240476107882</v>
      </c>
      <c r="KB158" s="646">
        <v>6.8678165712660562</v>
      </c>
      <c r="KC158" s="646">
        <v>3600</v>
      </c>
      <c r="KD158" s="563"/>
      <c r="KE158" s="563"/>
      <c r="KF158" s="563"/>
      <c r="KG158" s="563"/>
      <c r="KH158" s="563"/>
      <c r="KI158" s="650">
        <v>0</v>
      </c>
      <c r="KJ158" s="563"/>
      <c r="KK158" s="563"/>
      <c r="KL158" s="563"/>
      <c r="KM158" s="650">
        <v>0</v>
      </c>
      <c r="KN158" s="564">
        <v>0</v>
      </c>
      <c r="KO158" s="566">
        <v>0</v>
      </c>
    </row>
    <row r="159" spans="1:301" ht="15" customHeight="1">
      <c r="A159" s="663" t="s">
        <v>908</v>
      </c>
      <c r="B159" s="629" t="s">
        <v>382</v>
      </c>
      <c r="C159" s="629">
        <v>750.18499999999995</v>
      </c>
      <c r="D159" s="629">
        <v>1102</v>
      </c>
      <c r="E159" s="629">
        <v>800</v>
      </c>
      <c r="F159" s="629">
        <v>621.20447668394229</v>
      </c>
      <c r="G159" s="629">
        <v>293.69374394752509</v>
      </c>
      <c r="H159" s="629">
        <v>235.38070273123972</v>
      </c>
      <c r="I159" s="629">
        <v>220</v>
      </c>
      <c r="J159" s="629">
        <v>42.8</v>
      </c>
      <c r="K159" s="629">
        <v>63.21</v>
      </c>
      <c r="L159" s="629">
        <v>24</v>
      </c>
      <c r="M159" s="629">
        <v>309.17426189941949</v>
      </c>
      <c r="N159" s="629">
        <v>6</v>
      </c>
      <c r="O159" s="623">
        <v>21.248498377127767</v>
      </c>
      <c r="P159" s="629">
        <v>6</v>
      </c>
      <c r="Q159" s="623">
        <v>44.923540614580446</v>
      </c>
      <c r="R159" s="629">
        <v>16</v>
      </c>
      <c r="S159" s="629"/>
      <c r="T159" s="645">
        <v>0</v>
      </c>
      <c r="U159" s="645">
        <v>0</v>
      </c>
      <c r="V159" s="645">
        <v>147.5</v>
      </c>
      <c r="W159" s="793">
        <v>0</v>
      </c>
      <c r="X159" s="646">
        <v>0</v>
      </c>
      <c r="Y159" s="646">
        <v>0</v>
      </c>
      <c r="Z159" s="646">
        <v>0</v>
      </c>
      <c r="AA159" s="646">
        <v>0</v>
      </c>
      <c r="AB159" s="647">
        <v>14.024258416308403</v>
      </c>
      <c r="AC159" s="784">
        <v>2579.4876266708916</v>
      </c>
      <c r="AD159" s="631"/>
      <c r="AE159" s="631"/>
      <c r="AF159" s="631"/>
      <c r="AG159" s="631"/>
      <c r="AH159" s="629"/>
      <c r="AI159" s="648">
        <v>6.3101616249308208</v>
      </c>
      <c r="AJ159" s="649">
        <v>53.050422830584061</v>
      </c>
      <c r="AK159" s="646">
        <v>119.22246182229227</v>
      </c>
      <c r="AL159" s="646">
        <v>0</v>
      </c>
      <c r="AM159" s="646">
        <v>0</v>
      </c>
      <c r="AN159" s="646">
        <v>95.449966649942354</v>
      </c>
      <c r="AO159" s="646">
        <v>23.529857454798815</v>
      </c>
      <c r="AP159" s="801">
        <v>1200</v>
      </c>
      <c r="AQ159" s="563" t="s">
        <v>71</v>
      </c>
      <c r="AR159" s="563">
        <v>4</v>
      </c>
      <c r="AS159" s="563">
        <v>0</v>
      </c>
      <c r="AT159" s="563">
        <v>0</v>
      </c>
      <c r="AU159" s="563">
        <v>0</v>
      </c>
      <c r="AV159" s="650">
        <v>1699.8525094162487</v>
      </c>
      <c r="AW159" s="563">
        <v>0</v>
      </c>
      <c r="AX159" s="563">
        <v>0</v>
      </c>
      <c r="AY159" s="563">
        <v>0</v>
      </c>
      <c r="AZ159" s="650">
        <v>1686.2638132650702</v>
      </c>
      <c r="BA159" s="564">
        <v>1686.2638132650702</v>
      </c>
      <c r="BB159" s="565">
        <v>97.298408609336278</v>
      </c>
      <c r="BC159" s="649">
        <v>53.050422830584061</v>
      </c>
      <c r="BD159" s="646">
        <v>119.22246182229227</v>
      </c>
      <c r="BE159" s="646">
        <v>0</v>
      </c>
      <c r="BF159" s="646">
        <v>0</v>
      </c>
      <c r="BG159" s="646">
        <v>95.449966649942354</v>
      </c>
      <c r="BH159" s="646">
        <v>23.529857454798815</v>
      </c>
      <c r="BI159" s="646">
        <v>1500</v>
      </c>
      <c r="BJ159" s="563" t="s">
        <v>71</v>
      </c>
      <c r="BK159" s="563">
        <v>4</v>
      </c>
      <c r="BL159" s="563">
        <v>0</v>
      </c>
      <c r="BM159" s="563">
        <v>0</v>
      </c>
      <c r="BN159" s="563">
        <v>0</v>
      </c>
      <c r="BO159" s="650">
        <v>1699.8525094162487</v>
      </c>
      <c r="BP159" s="563">
        <v>0</v>
      </c>
      <c r="BQ159" s="563">
        <v>0</v>
      </c>
      <c r="BR159" s="563">
        <v>0</v>
      </c>
      <c r="BS159" s="650">
        <v>1686.2638132650702</v>
      </c>
      <c r="BT159" s="564">
        <v>1686.2638132650702</v>
      </c>
      <c r="BU159" s="565">
        <v>97.298408609336278</v>
      </c>
      <c r="BV159" s="649">
        <v>53.050422830584061</v>
      </c>
      <c r="BW159" s="646">
        <v>119.22246182229227</v>
      </c>
      <c r="BX159" s="646">
        <v>0</v>
      </c>
      <c r="BY159" s="646">
        <v>0</v>
      </c>
      <c r="BZ159" s="646">
        <v>95.449966649942354</v>
      </c>
      <c r="CA159" s="646">
        <v>23.529857454798815</v>
      </c>
      <c r="CB159" s="646">
        <v>1200</v>
      </c>
      <c r="CC159" s="563" t="s">
        <v>1584</v>
      </c>
      <c r="CD159" s="563">
        <v>4</v>
      </c>
      <c r="CE159" s="563">
        <v>0</v>
      </c>
      <c r="CF159" s="563">
        <v>0</v>
      </c>
      <c r="CG159" s="563">
        <v>0</v>
      </c>
      <c r="CH159" s="650">
        <v>1477.9921876139299</v>
      </c>
      <c r="CI159" s="563">
        <v>0</v>
      </c>
      <c r="CJ159" s="563">
        <v>0</v>
      </c>
      <c r="CK159" s="563">
        <v>0</v>
      </c>
      <c r="CL159" s="650">
        <v>1466.1770526887628</v>
      </c>
      <c r="CM159" s="564">
        <v>1466.1770526887628</v>
      </c>
      <c r="CN159" s="565">
        <v>84.5992737577171</v>
      </c>
      <c r="CO159" s="649">
        <v>53.050422830584061</v>
      </c>
      <c r="CP159" s="646">
        <v>119.22246182229227</v>
      </c>
      <c r="CQ159" s="646">
        <v>0</v>
      </c>
      <c r="CR159" s="646">
        <v>0</v>
      </c>
      <c r="CS159" s="646">
        <v>95.449966649942354</v>
      </c>
      <c r="CT159" s="646">
        <v>23.529857454798815</v>
      </c>
      <c r="CU159" s="646">
        <v>1500</v>
      </c>
      <c r="CV159" s="563" t="s">
        <v>1584</v>
      </c>
      <c r="CW159" s="563">
        <v>4</v>
      </c>
      <c r="CX159" s="563">
        <v>0</v>
      </c>
      <c r="CY159" s="563">
        <v>0</v>
      </c>
      <c r="CZ159" s="563">
        <v>0</v>
      </c>
      <c r="DA159" s="650">
        <v>1477.9921876139299</v>
      </c>
      <c r="DB159" s="563">
        <v>0</v>
      </c>
      <c r="DC159" s="563">
        <v>0</v>
      </c>
      <c r="DD159" s="563">
        <v>0</v>
      </c>
      <c r="DE159" s="650">
        <v>1466.1770526887628</v>
      </c>
      <c r="DF159" s="564">
        <v>1466.1770526887628</v>
      </c>
      <c r="DG159" s="565">
        <v>84.5992737577171</v>
      </c>
      <c r="DH159" s="649">
        <v>53.050422830584061</v>
      </c>
      <c r="DI159" s="646">
        <v>119.22246182229227</v>
      </c>
      <c r="DJ159" s="646">
        <v>0</v>
      </c>
      <c r="DK159" s="646">
        <v>0</v>
      </c>
      <c r="DL159" s="646">
        <v>95.449966649942354</v>
      </c>
      <c r="DM159" s="646">
        <v>23.529857454798815</v>
      </c>
      <c r="DN159" s="646">
        <v>1200</v>
      </c>
      <c r="DO159" s="563" t="s">
        <v>1585</v>
      </c>
      <c r="DP159" s="563">
        <v>4</v>
      </c>
      <c r="DQ159" s="563">
        <v>0</v>
      </c>
      <c r="DR159" s="563">
        <v>0</v>
      </c>
      <c r="DS159" s="563">
        <v>0</v>
      </c>
      <c r="DT159" s="650">
        <v>1580.0401103945405</v>
      </c>
      <c r="DU159" s="563">
        <v>0</v>
      </c>
      <c r="DV159" s="563">
        <v>0</v>
      </c>
      <c r="DW159" s="563">
        <v>0</v>
      </c>
      <c r="DX159" s="650">
        <v>1567.4091998608963</v>
      </c>
      <c r="DY159" s="564">
        <v>1567.4091998608963</v>
      </c>
      <c r="DZ159" s="565">
        <v>90.440427877535939</v>
      </c>
      <c r="EA159" s="649">
        <v>53.050422830584061</v>
      </c>
      <c r="EB159" s="646">
        <v>119.22246182229227</v>
      </c>
      <c r="EC159" s="646">
        <v>0</v>
      </c>
      <c r="ED159" s="646">
        <v>0</v>
      </c>
      <c r="EE159" s="646">
        <v>95.449966649942354</v>
      </c>
      <c r="EF159" s="646">
        <v>23.529857454798815</v>
      </c>
      <c r="EG159" s="646">
        <v>1500</v>
      </c>
      <c r="EH159" s="563" t="s">
        <v>1585</v>
      </c>
      <c r="EI159" s="563">
        <v>4</v>
      </c>
      <c r="EJ159" s="563">
        <v>0</v>
      </c>
      <c r="EK159" s="563">
        <v>0</v>
      </c>
      <c r="EL159" s="563">
        <v>0</v>
      </c>
      <c r="EM159" s="650">
        <v>1580.0401103945405</v>
      </c>
      <c r="EN159" s="563">
        <v>0</v>
      </c>
      <c r="EO159" s="563">
        <v>0</v>
      </c>
      <c r="EP159" s="563">
        <v>0</v>
      </c>
      <c r="EQ159" s="650">
        <v>1567.4091998608963</v>
      </c>
      <c r="ER159" s="564">
        <v>1567.4091998608963</v>
      </c>
      <c r="ES159" s="565">
        <v>90.440427877535939</v>
      </c>
      <c r="ET159" s="649">
        <v>53.050422830584061</v>
      </c>
      <c r="EU159" s="646">
        <v>119.22246182229227</v>
      </c>
      <c r="EV159" s="646">
        <v>0</v>
      </c>
      <c r="EW159" s="646">
        <v>0</v>
      </c>
      <c r="EX159" s="646">
        <v>95.449966649942354</v>
      </c>
      <c r="EY159" s="646">
        <v>23.529857454798815</v>
      </c>
      <c r="EZ159" s="646">
        <v>1200</v>
      </c>
      <c r="FA159" s="563" t="s">
        <v>1586</v>
      </c>
      <c r="FB159" s="563">
        <v>4</v>
      </c>
      <c r="FC159" s="563">
        <v>0</v>
      </c>
      <c r="FD159" s="563">
        <v>0</v>
      </c>
      <c r="FE159" s="563">
        <v>0</v>
      </c>
      <c r="FF159" s="650">
        <v>1612.6216848288088</v>
      </c>
      <c r="FG159" s="563">
        <v>0</v>
      </c>
      <c r="FH159" s="563">
        <v>0</v>
      </c>
      <c r="FI159" s="563">
        <v>0</v>
      </c>
      <c r="FJ159" s="650">
        <v>1599.7303157513566</v>
      </c>
      <c r="FK159" s="564">
        <v>1599.7303157513566</v>
      </c>
      <c r="FL159" s="565">
        <v>92.305375174560908</v>
      </c>
      <c r="FM159" s="649">
        <v>53.050422830584061</v>
      </c>
      <c r="FN159" s="646">
        <v>119.22246182229227</v>
      </c>
      <c r="FO159" s="646">
        <v>0</v>
      </c>
      <c r="FP159" s="646">
        <v>0</v>
      </c>
      <c r="FQ159" s="646">
        <v>95.449966649942354</v>
      </c>
      <c r="FR159" s="646">
        <v>23.529857454798815</v>
      </c>
      <c r="FS159" s="646">
        <v>1500</v>
      </c>
      <c r="FT159" s="563" t="s">
        <v>1586</v>
      </c>
      <c r="FU159" s="563">
        <v>4</v>
      </c>
      <c r="FV159" s="563">
        <v>0</v>
      </c>
      <c r="FW159" s="563">
        <v>0</v>
      </c>
      <c r="FX159" s="563">
        <v>0</v>
      </c>
      <c r="FY159" s="650">
        <v>1612.6216848288088</v>
      </c>
      <c r="FZ159" s="563">
        <v>0</v>
      </c>
      <c r="GA159" s="563">
        <v>0</v>
      </c>
      <c r="GB159" s="563">
        <v>0</v>
      </c>
      <c r="GC159" s="650">
        <v>1599.7303157513566</v>
      </c>
      <c r="GD159" s="564">
        <v>1599.7303157513566</v>
      </c>
      <c r="GE159" s="565">
        <v>92.305375174560908</v>
      </c>
      <c r="GF159" s="649">
        <v>53.050422830584061</v>
      </c>
      <c r="GG159" s="646">
        <v>119.22246182229227</v>
      </c>
      <c r="GH159" s="646">
        <v>0</v>
      </c>
      <c r="GI159" s="646">
        <v>0</v>
      </c>
      <c r="GJ159" s="646">
        <v>95.449966649942354</v>
      </c>
      <c r="GK159" s="646">
        <v>23.529857454798815</v>
      </c>
      <c r="GL159" s="646">
        <v>1200</v>
      </c>
      <c r="GM159" s="563" t="s">
        <v>1587</v>
      </c>
      <c r="GN159" s="563">
        <v>4</v>
      </c>
      <c r="GO159" s="563">
        <v>0</v>
      </c>
      <c r="GP159" s="563">
        <v>0</v>
      </c>
      <c r="GQ159" s="563">
        <v>0</v>
      </c>
      <c r="GR159" s="650">
        <v>2163.5590255650577</v>
      </c>
      <c r="GS159" s="563">
        <v>0</v>
      </c>
      <c r="GT159" s="563">
        <v>0</v>
      </c>
      <c r="GU159" s="563">
        <v>0</v>
      </c>
      <c r="GV159" s="650">
        <v>2146.2634390123094</v>
      </c>
      <c r="GW159" s="564">
        <v>2146.2634390123094</v>
      </c>
      <c r="GX159" s="565">
        <v>123.84065614736197</v>
      </c>
      <c r="GY159" s="649">
        <v>53.050422830584061</v>
      </c>
      <c r="GZ159" s="646">
        <v>119.22246182229227</v>
      </c>
      <c r="HA159" s="646">
        <v>0</v>
      </c>
      <c r="HB159" s="646">
        <v>0</v>
      </c>
      <c r="HC159" s="646">
        <v>95.449966649942354</v>
      </c>
      <c r="HD159" s="646">
        <v>23.529857454798815</v>
      </c>
      <c r="HE159" s="646">
        <v>1500</v>
      </c>
      <c r="HF159" s="563" t="s">
        <v>1587</v>
      </c>
      <c r="HG159" s="563">
        <v>4</v>
      </c>
      <c r="HH159" s="563">
        <v>0</v>
      </c>
      <c r="HI159" s="563">
        <v>0</v>
      </c>
      <c r="HJ159" s="563">
        <v>0</v>
      </c>
      <c r="HK159" s="650">
        <v>2163.5590255650577</v>
      </c>
      <c r="HL159" s="563">
        <v>0</v>
      </c>
      <c r="HM159" s="563">
        <v>0</v>
      </c>
      <c r="HN159" s="563">
        <v>0</v>
      </c>
      <c r="HO159" s="650">
        <v>2146.2634390123094</v>
      </c>
      <c r="HP159" s="564">
        <v>2146.2634390123094</v>
      </c>
      <c r="HQ159" s="565">
        <v>123.84065614736197</v>
      </c>
      <c r="HR159" s="649">
        <v>53.050422830584061</v>
      </c>
      <c r="HS159" s="646">
        <v>119.22246182229227</v>
      </c>
      <c r="HT159" s="646">
        <v>0</v>
      </c>
      <c r="HU159" s="646">
        <v>0</v>
      </c>
      <c r="HV159" s="646">
        <v>95.449966649942354</v>
      </c>
      <c r="HW159" s="646">
        <v>23.529857454798815</v>
      </c>
      <c r="HX159" s="646">
        <v>1200</v>
      </c>
      <c r="HY159" s="563" t="s">
        <v>68</v>
      </c>
      <c r="HZ159" s="563">
        <v>4</v>
      </c>
      <c r="IA159" s="563">
        <v>0</v>
      </c>
      <c r="IB159" s="563">
        <v>0</v>
      </c>
      <c r="IC159" s="563">
        <v>0</v>
      </c>
      <c r="ID159" s="650">
        <v>1908.0797094848363</v>
      </c>
      <c r="IE159" s="563">
        <v>0</v>
      </c>
      <c r="IF159" s="563">
        <v>0</v>
      </c>
      <c r="IG159" s="563">
        <v>0</v>
      </c>
      <c r="IH159" s="650">
        <v>1892.8264358856329</v>
      </c>
      <c r="II159" s="564">
        <v>1892.8264358856329</v>
      </c>
      <c r="IJ159" s="565">
        <v>109.21719278832899</v>
      </c>
      <c r="IK159" s="649">
        <v>53.050422830584061</v>
      </c>
      <c r="IL159" s="646">
        <v>119.22246182229227</v>
      </c>
      <c r="IM159" s="646">
        <v>0</v>
      </c>
      <c r="IN159" s="646">
        <v>0</v>
      </c>
      <c r="IO159" s="646">
        <v>95.449966649942354</v>
      </c>
      <c r="IP159" s="646">
        <v>23.529857454798815</v>
      </c>
      <c r="IQ159" s="646">
        <v>1500</v>
      </c>
      <c r="IR159" s="563" t="s">
        <v>68</v>
      </c>
      <c r="IS159" s="563">
        <v>4</v>
      </c>
      <c r="IT159" s="563">
        <v>0</v>
      </c>
      <c r="IU159" s="563">
        <v>0</v>
      </c>
      <c r="IV159" s="563">
        <v>0</v>
      </c>
      <c r="IW159" s="650">
        <v>1908.0797094848363</v>
      </c>
      <c r="IX159" s="563">
        <v>0</v>
      </c>
      <c r="IY159" s="563">
        <v>0</v>
      </c>
      <c r="IZ159" s="563">
        <v>0</v>
      </c>
      <c r="JA159" s="650">
        <v>1892.8264358856329</v>
      </c>
      <c r="JB159" s="564">
        <v>1892.8264358856329</v>
      </c>
      <c r="JC159" s="565">
        <v>109.21719278832899</v>
      </c>
      <c r="JD159" s="649">
        <v>53.050422830584061</v>
      </c>
      <c r="JE159" s="646">
        <v>119.22246182229227</v>
      </c>
      <c r="JF159" s="646">
        <v>0</v>
      </c>
      <c r="JG159" s="646">
        <v>0</v>
      </c>
      <c r="JH159" s="646">
        <v>95.449966649942354</v>
      </c>
      <c r="JI159" s="646">
        <v>23.529857454798815</v>
      </c>
      <c r="JJ159" s="646">
        <v>1200</v>
      </c>
      <c r="JK159" s="563" t="s">
        <v>67</v>
      </c>
      <c r="JL159" s="563">
        <v>4</v>
      </c>
      <c r="JM159" s="563">
        <v>0</v>
      </c>
      <c r="JN159" s="563">
        <v>0</v>
      </c>
      <c r="JO159" s="563">
        <v>0</v>
      </c>
      <c r="JP159" s="650">
        <v>2600.2743347226324</v>
      </c>
      <c r="JQ159" s="563">
        <v>0</v>
      </c>
      <c r="JR159" s="563">
        <v>0</v>
      </c>
      <c r="JS159" s="563">
        <v>0</v>
      </c>
      <c r="JT159" s="650">
        <v>2579.4876266708916</v>
      </c>
      <c r="JU159" s="564">
        <v>2579.4876266708916</v>
      </c>
      <c r="JV159" s="565">
        <v>148.83794524214164</v>
      </c>
      <c r="JW159" s="649">
        <v>53.050422830584061</v>
      </c>
      <c r="JX159" s="646">
        <v>119.22246182229227</v>
      </c>
      <c r="JY159" s="646">
        <v>0</v>
      </c>
      <c r="JZ159" s="646">
        <v>0</v>
      </c>
      <c r="KA159" s="646">
        <v>95.449966649942354</v>
      </c>
      <c r="KB159" s="646">
        <v>23.529857454798815</v>
      </c>
      <c r="KC159" s="646">
        <v>1500</v>
      </c>
      <c r="KD159" s="563" t="s">
        <v>67</v>
      </c>
      <c r="KE159" s="563">
        <v>4</v>
      </c>
      <c r="KF159" s="563">
        <v>0</v>
      </c>
      <c r="KG159" s="563">
        <v>0</v>
      </c>
      <c r="KH159" s="563">
        <v>0</v>
      </c>
      <c r="KI159" s="650">
        <v>2600.2743347226324</v>
      </c>
      <c r="KJ159" s="563">
        <v>0</v>
      </c>
      <c r="KK159" s="563">
        <v>0</v>
      </c>
      <c r="KL159" s="563">
        <v>0</v>
      </c>
      <c r="KM159" s="650">
        <v>2579.4876266708916</v>
      </c>
      <c r="KN159" s="564">
        <v>2579.4876266708916</v>
      </c>
      <c r="KO159" s="566">
        <v>148.83794524214164</v>
      </c>
    </row>
    <row r="160" spans="1:301" ht="15" customHeight="1">
      <c r="A160" s="782" t="s">
        <v>909</v>
      </c>
      <c r="B160" s="629" t="s">
        <v>388</v>
      </c>
      <c r="C160" s="629">
        <v>750.18499999999995</v>
      </c>
      <c r="D160" s="629">
        <v>1235</v>
      </c>
      <c r="E160" s="629"/>
      <c r="F160" s="629"/>
      <c r="G160" s="629">
        <v>29</v>
      </c>
      <c r="H160" s="629">
        <v>220</v>
      </c>
      <c r="I160" s="629">
        <v>220</v>
      </c>
      <c r="J160" s="629">
        <v>43.48</v>
      </c>
      <c r="K160" s="629">
        <v>63.44</v>
      </c>
      <c r="L160" s="629">
        <v>24</v>
      </c>
      <c r="M160" s="629"/>
      <c r="N160" s="629">
        <v>6</v>
      </c>
      <c r="O160" s="623">
        <v>56.421509838466818</v>
      </c>
      <c r="P160" s="629">
        <v>6</v>
      </c>
      <c r="Q160" s="623">
        <v>56.421509838466818</v>
      </c>
      <c r="R160" s="629">
        <v>18.000000000000004</v>
      </c>
      <c r="S160" s="629"/>
      <c r="T160" s="645">
        <v>0</v>
      </c>
      <c r="U160" s="645">
        <v>0</v>
      </c>
      <c r="V160" s="645">
        <v>10</v>
      </c>
      <c r="W160" s="793">
        <v>0</v>
      </c>
      <c r="X160" s="646">
        <v>0</v>
      </c>
      <c r="Y160" s="646">
        <v>0</v>
      </c>
      <c r="Z160" s="646">
        <v>0</v>
      </c>
      <c r="AA160" s="646">
        <v>0</v>
      </c>
      <c r="AB160" s="647">
        <v>15.50585098781349</v>
      </c>
      <c r="AC160" s="784">
        <v>2148.0593269329815</v>
      </c>
      <c r="AD160" s="631"/>
      <c r="AE160" s="631"/>
      <c r="AF160" s="631"/>
      <c r="AG160" s="631"/>
      <c r="AH160" s="629"/>
      <c r="AI160" s="648">
        <v>3.9076267715081743</v>
      </c>
      <c r="AJ160" s="649">
        <v>0</v>
      </c>
      <c r="AK160" s="646">
        <v>112.84301967693364</v>
      </c>
      <c r="AL160" s="646">
        <v>0</v>
      </c>
      <c r="AM160" s="646">
        <v>0</v>
      </c>
      <c r="AN160" s="646">
        <v>111.5</v>
      </c>
      <c r="AO160" s="646">
        <v>21.513874335843891</v>
      </c>
      <c r="AP160" s="801">
        <v>1200</v>
      </c>
      <c r="AQ160" s="563" t="s">
        <v>71</v>
      </c>
      <c r="AR160" s="563">
        <v>4</v>
      </c>
      <c r="AS160" s="563">
        <v>0</v>
      </c>
      <c r="AT160" s="563">
        <v>0</v>
      </c>
      <c r="AU160" s="563">
        <v>0</v>
      </c>
      <c r="AV160" s="650">
        <v>1414.3400279600303</v>
      </c>
      <c r="AW160" s="563">
        <v>0</v>
      </c>
      <c r="AX160" s="563">
        <v>0</v>
      </c>
      <c r="AY160" s="563">
        <v>0</v>
      </c>
      <c r="AZ160" s="650">
        <v>1404.2303108188366</v>
      </c>
      <c r="BA160" s="564">
        <v>1404.2303108188366</v>
      </c>
      <c r="BB160" s="565">
        <v>90.803779018241059</v>
      </c>
      <c r="BC160" s="649">
        <v>0</v>
      </c>
      <c r="BD160" s="646">
        <v>112.84301967693364</v>
      </c>
      <c r="BE160" s="646">
        <v>0</v>
      </c>
      <c r="BF160" s="646">
        <v>0</v>
      </c>
      <c r="BG160" s="646">
        <v>111.5</v>
      </c>
      <c r="BH160" s="646">
        <v>21.513874335843891</v>
      </c>
      <c r="BI160" s="646">
        <v>1500</v>
      </c>
      <c r="BJ160" s="563" t="s">
        <v>71</v>
      </c>
      <c r="BK160" s="563">
        <v>5</v>
      </c>
      <c r="BL160" s="563">
        <v>0</v>
      </c>
      <c r="BM160" s="563">
        <v>0</v>
      </c>
      <c r="BN160" s="563">
        <v>0</v>
      </c>
      <c r="BO160" s="650">
        <v>1620.6680294268081</v>
      </c>
      <c r="BP160" s="563">
        <v>0</v>
      </c>
      <c r="BQ160" s="563">
        <v>0</v>
      </c>
      <c r="BR160" s="563">
        <v>0</v>
      </c>
      <c r="BS160" s="650">
        <v>1609.0834775981273</v>
      </c>
      <c r="BT160" s="564">
        <v>1609.0834775981273</v>
      </c>
      <c r="BU160" s="565">
        <v>104.05049613017029</v>
      </c>
      <c r="BV160" s="649">
        <v>0</v>
      </c>
      <c r="BW160" s="646">
        <v>112.84301967693364</v>
      </c>
      <c r="BX160" s="646">
        <v>0</v>
      </c>
      <c r="BY160" s="646">
        <v>0</v>
      </c>
      <c r="BZ160" s="646">
        <v>111.5</v>
      </c>
      <c r="CA160" s="646">
        <v>21.513874335843891</v>
      </c>
      <c r="CB160" s="646">
        <v>1200</v>
      </c>
      <c r="CC160" s="563" t="s">
        <v>1584</v>
      </c>
      <c r="CD160" s="563">
        <v>4</v>
      </c>
      <c r="CE160" s="563">
        <v>0</v>
      </c>
      <c r="CF160" s="563">
        <v>0</v>
      </c>
      <c r="CG160" s="563">
        <v>0</v>
      </c>
      <c r="CH160" s="650">
        <v>1229.744051543038</v>
      </c>
      <c r="CI160" s="563">
        <v>0</v>
      </c>
      <c r="CJ160" s="563">
        <v>0</v>
      </c>
      <c r="CK160" s="563">
        <v>0</v>
      </c>
      <c r="CL160" s="650">
        <v>1220.9538283496117</v>
      </c>
      <c r="CM160" s="564">
        <v>1220.9538283496117</v>
      </c>
      <c r="CN160" s="565">
        <v>78.952306303860169</v>
      </c>
      <c r="CO160" s="649">
        <v>0</v>
      </c>
      <c r="CP160" s="646">
        <v>112.84301967693364</v>
      </c>
      <c r="CQ160" s="646">
        <v>0</v>
      </c>
      <c r="CR160" s="646">
        <v>0</v>
      </c>
      <c r="CS160" s="646">
        <v>111.5</v>
      </c>
      <c r="CT160" s="646">
        <v>21.513874335843891</v>
      </c>
      <c r="CU160" s="646">
        <v>1500</v>
      </c>
      <c r="CV160" s="563" t="s">
        <v>1584</v>
      </c>
      <c r="CW160" s="563">
        <v>4</v>
      </c>
      <c r="CX160" s="563">
        <v>0</v>
      </c>
      <c r="CY160" s="563">
        <v>0</v>
      </c>
      <c r="CZ160" s="563">
        <v>0</v>
      </c>
      <c r="DA160" s="650">
        <v>1229.744051543038</v>
      </c>
      <c r="DB160" s="563">
        <v>0</v>
      </c>
      <c r="DC160" s="563">
        <v>0</v>
      </c>
      <c r="DD160" s="563">
        <v>0</v>
      </c>
      <c r="DE160" s="650">
        <v>1220.9538283496117</v>
      </c>
      <c r="DF160" s="564">
        <v>1220.9538283496117</v>
      </c>
      <c r="DG160" s="565">
        <v>78.952306303860169</v>
      </c>
      <c r="DH160" s="649">
        <v>0</v>
      </c>
      <c r="DI160" s="646">
        <v>112.84301967693364</v>
      </c>
      <c r="DJ160" s="646">
        <v>0</v>
      </c>
      <c r="DK160" s="646">
        <v>0</v>
      </c>
      <c r="DL160" s="646">
        <v>111.5</v>
      </c>
      <c r="DM160" s="646">
        <v>21.513874335843891</v>
      </c>
      <c r="DN160" s="646">
        <v>1200</v>
      </c>
      <c r="DO160" s="563" t="s">
        <v>1585</v>
      </c>
      <c r="DP160" s="563">
        <v>4</v>
      </c>
      <c r="DQ160" s="563">
        <v>0</v>
      </c>
      <c r="DR160" s="563">
        <v>0</v>
      </c>
      <c r="DS160" s="563">
        <v>0</v>
      </c>
      <c r="DT160" s="650">
        <v>1314.6516897992351</v>
      </c>
      <c r="DU160" s="563">
        <v>0</v>
      </c>
      <c r="DV160" s="563">
        <v>0</v>
      </c>
      <c r="DW160" s="563">
        <v>0</v>
      </c>
      <c r="DX160" s="650">
        <v>1305.2545459297851</v>
      </c>
      <c r="DY160" s="564">
        <v>1305.2545459297851</v>
      </c>
      <c r="DZ160" s="565">
        <v>84.403565738479216</v>
      </c>
      <c r="EA160" s="649">
        <v>0</v>
      </c>
      <c r="EB160" s="646">
        <v>112.84301967693364</v>
      </c>
      <c r="EC160" s="646">
        <v>0</v>
      </c>
      <c r="ED160" s="646">
        <v>0</v>
      </c>
      <c r="EE160" s="646">
        <v>111.5</v>
      </c>
      <c r="EF160" s="646">
        <v>21.513874335843891</v>
      </c>
      <c r="EG160" s="646">
        <v>1500</v>
      </c>
      <c r="EH160" s="563" t="s">
        <v>1585</v>
      </c>
      <c r="EI160" s="563">
        <v>4</v>
      </c>
      <c r="EJ160" s="563">
        <v>0</v>
      </c>
      <c r="EK160" s="563">
        <v>0</v>
      </c>
      <c r="EL160" s="563">
        <v>0</v>
      </c>
      <c r="EM160" s="650">
        <v>1314.6516897992351</v>
      </c>
      <c r="EN160" s="563">
        <v>0</v>
      </c>
      <c r="EO160" s="563">
        <v>0</v>
      </c>
      <c r="EP160" s="563">
        <v>0</v>
      </c>
      <c r="EQ160" s="650">
        <v>1305.2545459297851</v>
      </c>
      <c r="ER160" s="564">
        <v>1305.2545459297851</v>
      </c>
      <c r="ES160" s="565">
        <v>84.403565738479216</v>
      </c>
      <c r="ET160" s="649">
        <v>0</v>
      </c>
      <c r="EU160" s="646">
        <v>112.84301967693364</v>
      </c>
      <c r="EV160" s="646">
        <v>0</v>
      </c>
      <c r="EW160" s="646">
        <v>0</v>
      </c>
      <c r="EX160" s="646">
        <v>111.5</v>
      </c>
      <c r="EY160" s="646">
        <v>21.513874335843891</v>
      </c>
      <c r="EZ160" s="646">
        <v>1200</v>
      </c>
      <c r="FA160" s="563" t="s">
        <v>1586</v>
      </c>
      <c r="FB160" s="563">
        <v>4</v>
      </c>
      <c r="FC160" s="563">
        <v>0</v>
      </c>
      <c r="FD160" s="563">
        <v>0</v>
      </c>
      <c r="FE160" s="563">
        <v>0</v>
      </c>
      <c r="FF160" s="650">
        <v>1341.7607622899163</v>
      </c>
      <c r="FG160" s="563">
        <v>0</v>
      </c>
      <c r="FH160" s="563">
        <v>0</v>
      </c>
      <c r="FI160" s="563">
        <v>0</v>
      </c>
      <c r="FJ160" s="650">
        <v>1332.169842490051</v>
      </c>
      <c r="FK160" s="564">
        <v>1332.169842490051</v>
      </c>
      <c r="FL160" s="565">
        <v>86.144028554471021</v>
      </c>
      <c r="FM160" s="649">
        <v>0</v>
      </c>
      <c r="FN160" s="646">
        <v>112.84301967693364</v>
      </c>
      <c r="FO160" s="646">
        <v>0</v>
      </c>
      <c r="FP160" s="646">
        <v>0</v>
      </c>
      <c r="FQ160" s="646">
        <v>111.5</v>
      </c>
      <c r="FR160" s="646">
        <v>21.513874335843891</v>
      </c>
      <c r="FS160" s="646">
        <v>1500</v>
      </c>
      <c r="FT160" s="563" t="s">
        <v>1586</v>
      </c>
      <c r="FU160" s="563">
        <v>4</v>
      </c>
      <c r="FV160" s="563">
        <v>0</v>
      </c>
      <c r="FW160" s="563">
        <v>0</v>
      </c>
      <c r="FX160" s="563">
        <v>0</v>
      </c>
      <c r="FY160" s="650">
        <v>1341.7607622899163</v>
      </c>
      <c r="FZ160" s="563">
        <v>0</v>
      </c>
      <c r="GA160" s="563">
        <v>0</v>
      </c>
      <c r="GB160" s="563">
        <v>0</v>
      </c>
      <c r="GC160" s="650">
        <v>1332.169842490051</v>
      </c>
      <c r="GD160" s="564">
        <v>1332.169842490051</v>
      </c>
      <c r="GE160" s="565">
        <v>86.144028554471021</v>
      </c>
      <c r="GF160" s="649">
        <v>0</v>
      </c>
      <c r="GG160" s="646">
        <v>112.84301967693364</v>
      </c>
      <c r="GH160" s="646">
        <v>0</v>
      </c>
      <c r="GI160" s="646">
        <v>0</v>
      </c>
      <c r="GJ160" s="646">
        <v>111.5</v>
      </c>
      <c r="GK160" s="646">
        <v>21.513874335843891</v>
      </c>
      <c r="GL160" s="646">
        <v>1200</v>
      </c>
      <c r="GM160" s="563" t="s">
        <v>1587</v>
      </c>
      <c r="GN160" s="563">
        <v>4</v>
      </c>
      <c r="GO160" s="563">
        <v>0</v>
      </c>
      <c r="GP160" s="563">
        <v>0</v>
      </c>
      <c r="GQ160" s="563">
        <v>0</v>
      </c>
      <c r="GR160" s="650">
        <v>1800.1609644126736</v>
      </c>
      <c r="GS160" s="563">
        <v>0</v>
      </c>
      <c r="GT160" s="563">
        <v>0</v>
      </c>
      <c r="GU160" s="563">
        <v>0</v>
      </c>
      <c r="GV160" s="650">
        <v>1787.2933952294416</v>
      </c>
      <c r="GW160" s="564">
        <v>1787.2933952294416</v>
      </c>
      <c r="GX160" s="565">
        <v>115.57434222206716</v>
      </c>
      <c r="GY160" s="649">
        <v>0</v>
      </c>
      <c r="GZ160" s="646">
        <v>112.84301967693364</v>
      </c>
      <c r="HA160" s="646">
        <v>0</v>
      </c>
      <c r="HB160" s="646">
        <v>0</v>
      </c>
      <c r="HC160" s="646">
        <v>111.5</v>
      </c>
      <c r="HD160" s="646">
        <v>21.513874335843891</v>
      </c>
      <c r="HE160" s="646">
        <v>1500</v>
      </c>
      <c r="HF160" s="563" t="s">
        <v>1587</v>
      </c>
      <c r="HG160" s="563">
        <v>4</v>
      </c>
      <c r="HH160" s="563">
        <v>0</v>
      </c>
      <c r="HI160" s="563">
        <v>0</v>
      </c>
      <c r="HJ160" s="563">
        <v>0</v>
      </c>
      <c r="HK160" s="650">
        <v>1800.1609644126736</v>
      </c>
      <c r="HL160" s="563">
        <v>0</v>
      </c>
      <c r="HM160" s="563">
        <v>0</v>
      </c>
      <c r="HN160" s="563">
        <v>0</v>
      </c>
      <c r="HO160" s="650">
        <v>1787.2933952294416</v>
      </c>
      <c r="HP160" s="564">
        <v>1787.2933952294416</v>
      </c>
      <c r="HQ160" s="565">
        <v>115.57434222206716</v>
      </c>
      <c r="HR160" s="649">
        <v>0</v>
      </c>
      <c r="HS160" s="646">
        <v>112.84301967693364</v>
      </c>
      <c r="HT160" s="646">
        <v>0</v>
      </c>
      <c r="HU160" s="646">
        <v>0</v>
      </c>
      <c r="HV160" s="646">
        <v>111.5</v>
      </c>
      <c r="HW160" s="646">
        <v>21.513874335843891</v>
      </c>
      <c r="HX160" s="646">
        <v>1200</v>
      </c>
      <c r="HY160" s="563" t="s">
        <v>68</v>
      </c>
      <c r="HZ160" s="563">
        <v>4</v>
      </c>
      <c r="IA160" s="563">
        <v>0</v>
      </c>
      <c r="IB160" s="563">
        <v>0</v>
      </c>
      <c r="IC160" s="563">
        <v>0</v>
      </c>
      <c r="ID160" s="650">
        <v>1587.5927439079408</v>
      </c>
      <c r="IE160" s="563">
        <v>0</v>
      </c>
      <c r="IF160" s="563">
        <v>0</v>
      </c>
      <c r="IG160" s="563">
        <v>0</v>
      </c>
      <c r="IH160" s="650">
        <v>1576.2446145620779</v>
      </c>
      <c r="II160" s="564">
        <v>1576.2446145620779</v>
      </c>
      <c r="IJ160" s="565">
        <v>101.9269891531724</v>
      </c>
      <c r="IK160" s="649">
        <v>0</v>
      </c>
      <c r="IL160" s="646">
        <v>112.84301967693364</v>
      </c>
      <c r="IM160" s="646">
        <v>0</v>
      </c>
      <c r="IN160" s="646">
        <v>0</v>
      </c>
      <c r="IO160" s="646">
        <v>111.5</v>
      </c>
      <c r="IP160" s="646">
        <v>21.513874335843891</v>
      </c>
      <c r="IQ160" s="646">
        <v>1500</v>
      </c>
      <c r="IR160" s="563" t="s">
        <v>68</v>
      </c>
      <c r="IS160" s="563">
        <v>4</v>
      </c>
      <c r="IT160" s="563">
        <v>0</v>
      </c>
      <c r="IU160" s="563">
        <v>0</v>
      </c>
      <c r="IV160" s="563">
        <v>0</v>
      </c>
      <c r="IW160" s="650">
        <v>1587.5927439079408</v>
      </c>
      <c r="IX160" s="563">
        <v>0</v>
      </c>
      <c r="IY160" s="563">
        <v>0</v>
      </c>
      <c r="IZ160" s="563">
        <v>0</v>
      </c>
      <c r="JA160" s="650">
        <v>1576.2446145620779</v>
      </c>
      <c r="JB160" s="564">
        <v>1576.2446145620779</v>
      </c>
      <c r="JC160" s="565">
        <v>101.9269891531724</v>
      </c>
      <c r="JD160" s="649">
        <v>0</v>
      </c>
      <c r="JE160" s="646">
        <v>112.84301967693364</v>
      </c>
      <c r="JF160" s="646">
        <v>0</v>
      </c>
      <c r="JG160" s="646">
        <v>0</v>
      </c>
      <c r="JH160" s="646">
        <v>111.5</v>
      </c>
      <c r="JI160" s="646">
        <v>21.513874335843891</v>
      </c>
      <c r="JJ160" s="646">
        <v>1200</v>
      </c>
      <c r="JK160" s="563" t="s">
        <v>67</v>
      </c>
      <c r="JL160" s="563">
        <v>4</v>
      </c>
      <c r="JM160" s="563">
        <v>0</v>
      </c>
      <c r="JN160" s="563">
        <v>0</v>
      </c>
      <c r="JO160" s="563">
        <v>0</v>
      </c>
      <c r="JP160" s="650">
        <v>2163.5242204269202</v>
      </c>
      <c r="JQ160" s="563">
        <v>0</v>
      </c>
      <c r="JR160" s="563">
        <v>0</v>
      </c>
      <c r="JS160" s="563">
        <v>0</v>
      </c>
      <c r="JT160" s="650">
        <v>2148.0593269329815</v>
      </c>
      <c r="JU160" s="564">
        <v>2148.0593269329815</v>
      </c>
      <c r="JV160" s="565">
        <v>138.90307233658498</v>
      </c>
      <c r="JW160" s="649">
        <v>0</v>
      </c>
      <c r="JX160" s="646">
        <v>112.84301967693364</v>
      </c>
      <c r="JY160" s="646">
        <v>0</v>
      </c>
      <c r="JZ160" s="646">
        <v>0</v>
      </c>
      <c r="KA160" s="646">
        <v>111.5</v>
      </c>
      <c r="KB160" s="646">
        <v>21.513874335843891</v>
      </c>
      <c r="KC160" s="646">
        <v>1500</v>
      </c>
      <c r="KD160" s="563" t="s">
        <v>67</v>
      </c>
      <c r="KE160" s="563">
        <v>4</v>
      </c>
      <c r="KF160" s="563">
        <v>0</v>
      </c>
      <c r="KG160" s="563">
        <v>0</v>
      </c>
      <c r="KH160" s="563">
        <v>0</v>
      </c>
      <c r="KI160" s="650">
        <v>2163.5242204269202</v>
      </c>
      <c r="KJ160" s="563">
        <v>0</v>
      </c>
      <c r="KK160" s="563">
        <v>0</v>
      </c>
      <c r="KL160" s="563">
        <v>0</v>
      </c>
      <c r="KM160" s="650">
        <v>2148.0593269329815</v>
      </c>
      <c r="KN160" s="564">
        <v>2148.0593269329815</v>
      </c>
      <c r="KO160" s="566">
        <v>138.90307233658498</v>
      </c>
    </row>
    <row r="161" spans="1:301" ht="15" customHeight="1">
      <c r="A161" s="663" t="s">
        <v>910</v>
      </c>
      <c r="B161" s="629" t="s">
        <v>382</v>
      </c>
      <c r="C161" s="629">
        <v>150</v>
      </c>
      <c r="D161" s="629">
        <v>467</v>
      </c>
      <c r="E161" s="629">
        <v>106</v>
      </c>
      <c r="F161" s="629">
        <v>150</v>
      </c>
      <c r="G161" s="629">
        <v>34</v>
      </c>
      <c r="H161" s="629">
        <v>20</v>
      </c>
      <c r="I161" s="629">
        <v>20</v>
      </c>
      <c r="J161" s="629">
        <v>41.7</v>
      </c>
      <c r="K161" s="629">
        <v>75.3</v>
      </c>
      <c r="L161" s="629">
        <v>16</v>
      </c>
      <c r="M161" s="629">
        <v>175</v>
      </c>
      <c r="N161" s="629">
        <v>2</v>
      </c>
      <c r="O161" s="623">
        <v>2.5506528708040621</v>
      </c>
      <c r="P161" s="629">
        <v>2</v>
      </c>
      <c r="Q161" s="623">
        <v>1.5710253588295613</v>
      </c>
      <c r="R161" s="629">
        <v>13.000000000000002</v>
      </c>
      <c r="S161" s="629">
        <v>301.13434031080516</v>
      </c>
      <c r="T161" s="645">
        <v>7.2681429084436955</v>
      </c>
      <c r="U161" s="645">
        <v>45.170151046620774</v>
      </c>
      <c r="V161" s="645">
        <v>47.5</v>
      </c>
      <c r="W161" s="793">
        <v>0.44814390769610757</v>
      </c>
      <c r="X161" s="646">
        <v>0</v>
      </c>
      <c r="Y161" s="646">
        <v>0</v>
      </c>
      <c r="Z161" s="646">
        <v>0</v>
      </c>
      <c r="AA161" s="646">
        <v>0</v>
      </c>
      <c r="AB161" s="647">
        <v>0.45718399733941789</v>
      </c>
      <c r="AC161" s="784">
        <v>4000</v>
      </c>
      <c r="AD161" s="631">
        <v>3.3922636772047023</v>
      </c>
      <c r="AE161" s="631">
        <v>0.89096749997187596</v>
      </c>
      <c r="AF161" s="631">
        <v>-0.10202187672522246</v>
      </c>
      <c r="AG161" s="631">
        <v>0.79382766686075013</v>
      </c>
      <c r="AH161" s="629"/>
      <c r="AI161" s="648">
        <v>0.76180388287585932</v>
      </c>
      <c r="AJ161" s="649">
        <v>1.3188000000000002</v>
      </c>
      <c r="AK161" s="646">
        <v>13.156765045773426</v>
      </c>
      <c r="AL161" s="646">
        <v>0</v>
      </c>
      <c r="AM161" s="646">
        <v>0</v>
      </c>
      <c r="AN161" s="646">
        <v>9.3988475934137252</v>
      </c>
      <c r="AO161" s="646">
        <v>0.25579913560825396</v>
      </c>
      <c r="AP161" s="801">
        <v>3600</v>
      </c>
      <c r="AQ161" s="563" t="s">
        <v>71</v>
      </c>
      <c r="AR161" s="563">
        <v>3</v>
      </c>
      <c r="AS161" s="563">
        <v>0</v>
      </c>
      <c r="AT161" s="563">
        <v>0</v>
      </c>
      <c r="AU161" s="563">
        <v>0</v>
      </c>
      <c r="AV161" s="650">
        <v>51869.023163732847</v>
      </c>
      <c r="AW161" s="563">
        <v>0</v>
      </c>
      <c r="AX161" s="563">
        <v>0</v>
      </c>
      <c r="AY161" s="563">
        <v>0</v>
      </c>
      <c r="AZ161" s="650">
        <v>84599.280019926751</v>
      </c>
      <c r="BA161" s="564">
        <v>4000</v>
      </c>
      <c r="BB161" s="565">
        <v>97.808251281762224</v>
      </c>
      <c r="BC161" s="649">
        <v>1.3188000000000002</v>
      </c>
      <c r="BD161" s="646">
        <v>13.156765045773426</v>
      </c>
      <c r="BE161" s="646">
        <v>0</v>
      </c>
      <c r="BF161" s="646">
        <v>0</v>
      </c>
      <c r="BG161" s="646">
        <v>9.3988475934137252</v>
      </c>
      <c r="BH161" s="646">
        <v>0.25579913560825396</v>
      </c>
      <c r="BI161" s="646">
        <v>3600</v>
      </c>
      <c r="BJ161" s="563" t="s">
        <v>71</v>
      </c>
      <c r="BK161" s="563">
        <v>3</v>
      </c>
      <c r="BL161" s="563">
        <v>0</v>
      </c>
      <c r="BM161" s="563">
        <v>0</v>
      </c>
      <c r="BN161" s="563">
        <v>0</v>
      </c>
      <c r="BO161" s="650">
        <v>51869.023163732847</v>
      </c>
      <c r="BP161" s="563">
        <v>0</v>
      </c>
      <c r="BQ161" s="563">
        <v>0</v>
      </c>
      <c r="BR161" s="563">
        <v>0</v>
      </c>
      <c r="BS161" s="650">
        <v>84599.280019926751</v>
      </c>
      <c r="BT161" s="564">
        <v>4000</v>
      </c>
      <c r="BU161" s="565">
        <v>97.808251281762224</v>
      </c>
      <c r="BV161" s="649">
        <v>0.87920000000000009</v>
      </c>
      <c r="BW161" s="646">
        <v>12.717165045773427</v>
      </c>
      <c r="BX161" s="646">
        <v>0</v>
      </c>
      <c r="BY161" s="646">
        <v>0</v>
      </c>
      <c r="BZ161" s="646">
        <v>9.3780672860901859</v>
      </c>
      <c r="CA161" s="646">
        <v>0.24257877005825398</v>
      </c>
      <c r="CB161" s="646">
        <v>3600</v>
      </c>
      <c r="CC161" s="563" t="s">
        <v>1584</v>
      </c>
      <c r="CD161" s="563">
        <v>2</v>
      </c>
      <c r="CE161" s="563">
        <v>0</v>
      </c>
      <c r="CF161" s="563">
        <v>0</v>
      </c>
      <c r="CG161" s="563">
        <v>0</v>
      </c>
      <c r="CH161" s="650">
        <v>30057.835962121917</v>
      </c>
      <c r="CI161" s="563">
        <v>0</v>
      </c>
      <c r="CJ161" s="563">
        <v>0</v>
      </c>
      <c r="CK161" s="563">
        <v>0</v>
      </c>
      <c r="CL161" s="650">
        <v>29283.442955244875</v>
      </c>
      <c r="CM161" s="564">
        <v>4000</v>
      </c>
      <c r="CN161" s="565">
        <v>97.808251281762224</v>
      </c>
      <c r="CO161" s="649">
        <v>0.87920000000000009</v>
      </c>
      <c r="CP161" s="646">
        <v>12.717165045773427</v>
      </c>
      <c r="CQ161" s="646">
        <v>0</v>
      </c>
      <c r="CR161" s="646">
        <v>0</v>
      </c>
      <c r="CS161" s="646">
        <v>9.3780672860901859</v>
      </c>
      <c r="CT161" s="646">
        <v>0.24257877005825398</v>
      </c>
      <c r="CU161" s="646">
        <v>3600</v>
      </c>
      <c r="CV161" s="563" t="s">
        <v>1584</v>
      </c>
      <c r="CW161" s="563">
        <v>2</v>
      </c>
      <c r="CX161" s="563">
        <v>0</v>
      </c>
      <c r="CY161" s="563">
        <v>0</v>
      </c>
      <c r="CZ161" s="563">
        <v>0</v>
      </c>
      <c r="DA161" s="650">
        <v>30057.835962121917</v>
      </c>
      <c r="DB161" s="563">
        <v>0</v>
      </c>
      <c r="DC161" s="563">
        <v>0</v>
      </c>
      <c r="DD161" s="563">
        <v>0</v>
      </c>
      <c r="DE161" s="650">
        <v>29283.442955244875</v>
      </c>
      <c r="DF161" s="564">
        <v>4000</v>
      </c>
      <c r="DG161" s="565">
        <v>97.808251281762224</v>
      </c>
      <c r="DH161" s="649">
        <v>0.87920000000000009</v>
      </c>
      <c r="DI161" s="646">
        <v>12.717165045773427</v>
      </c>
      <c r="DJ161" s="646">
        <v>0</v>
      </c>
      <c r="DK161" s="646">
        <v>0</v>
      </c>
      <c r="DL161" s="646">
        <v>9.3780672860901859</v>
      </c>
      <c r="DM161" s="646">
        <v>0.24257877005825398</v>
      </c>
      <c r="DN161" s="646">
        <v>3600</v>
      </c>
      <c r="DO161" s="563" t="s">
        <v>1585</v>
      </c>
      <c r="DP161" s="563">
        <v>2</v>
      </c>
      <c r="DQ161" s="563">
        <v>0</v>
      </c>
      <c r="DR161" s="563">
        <v>0</v>
      </c>
      <c r="DS161" s="563">
        <v>0</v>
      </c>
      <c r="DT161" s="650">
        <v>32133.17827374654</v>
      </c>
      <c r="DU161" s="563">
        <v>0</v>
      </c>
      <c r="DV161" s="563">
        <v>0</v>
      </c>
      <c r="DW161" s="563">
        <v>0</v>
      </c>
      <c r="DX161" s="650">
        <v>31305.317326777327</v>
      </c>
      <c r="DY161" s="564">
        <v>4000</v>
      </c>
      <c r="DZ161" s="565">
        <v>97.808251281762224</v>
      </c>
      <c r="EA161" s="649">
        <v>0.87920000000000009</v>
      </c>
      <c r="EB161" s="646">
        <v>12.717165045773427</v>
      </c>
      <c r="EC161" s="646">
        <v>0</v>
      </c>
      <c r="ED161" s="646">
        <v>0</v>
      </c>
      <c r="EE161" s="646">
        <v>9.3780672860901859</v>
      </c>
      <c r="EF161" s="646">
        <v>0.24257877005825398</v>
      </c>
      <c r="EG161" s="646">
        <v>3600</v>
      </c>
      <c r="EH161" s="563" t="s">
        <v>1585</v>
      </c>
      <c r="EI161" s="563">
        <v>2</v>
      </c>
      <c r="EJ161" s="563">
        <v>0</v>
      </c>
      <c r="EK161" s="563">
        <v>0</v>
      </c>
      <c r="EL161" s="563">
        <v>0</v>
      </c>
      <c r="EM161" s="650">
        <v>32133.17827374654</v>
      </c>
      <c r="EN161" s="563">
        <v>0</v>
      </c>
      <c r="EO161" s="563">
        <v>0</v>
      </c>
      <c r="EP161" s="563">
        <v>0</v>
      </c>
      <c r="EQ161" s="650">
        <v>31305.317326777327</v>
      </c>
      <c r="ER161" s="564">
        <v>4000</v>
      </c>
      <c r="ES161" s="565">
        <v>97.808251281762224</v>
      </c>
      <c r="ET161" s="649">
        <v>0.87920000000000009</v>
      </c>
      <c r="EU161" s="646">
        <v>12.717165045773427</v>
      </c>
      <c r="EV161" s="646">
        <v>0</v>
      </c>
      <c r="EW161" s="646">
        <v>0</v>
      </c>
      <c r="EX161" s="646">
        <v>9.3780672860901859</v>
      </c>
      <c r="EY161" s="646">
        <v>0.24257877005825398</v>
      </c>
      <c r="EZ161" s="646">
        <v>3600</v>
      </c>
      <c r="FA161" s="563" t="s">
        <v>1586</v>
      </c>
      <c r="FB161" s="563">
        <v>2</v>
      </c>
      <c r="FC161" s="563">
        <v>0</v>
      </c>
      <c r="FD161" s="563">
        <v>0</v>
      </c>
      <c r="FE161" s="563">
        <v>0</v>
      </c>
      <c r="FF161" s="650">
        <v>32795.787743568901</v>
      </c>
      <c r="FG161" s="563">
        <v>0</v>
      </c>
      <c r="FH161" s="563">
        <v>0</v>
      </c>
      <c r="FI161" s="563">
        <v>0</v>
      </c>
      <c r="FJ161" s="650">
        <v>31950.855702713998</v>
      </c>
      <c r="FK161" s="564">
        <v>4000</v>
      </c>
      <c r="FL161" s="565">
        <v>97.808251281762224</v>
      </c>
      <c r="FM161" s="649">
        <v>0.87920000000000009</v>
      </c>
      <c r="FN161" s="646">
        <v>12.717165045773427</v>
      </c>
      <c r="FO161" s="646">
        <v>0</v>
      </c>
      <c r="FP161" s="646">
        <v>0</v>
      </c>
      <c r="FQ161" s="646">
        <v>9.3780672860901859</v>
      </c>
      <c r="FR161" s="646">
        <v>0.24257877005825398</v>
      </c>
      <c r="FS161" s="646">
        <v>3600</v>
      </c>
      <c r="FT161" s="563" t="s">
        <v>1586</v>
      </c>
      <c r="FU161" s="563">
        <v>2</v>
      </c>
      <c r="FV161" s="563">
        <v>0</v>
      </c>
      <c r="FW161" s="563">
        <v>0</v>
      </c>
      <c r="FX161" s="563">
        <v>0</v>
      </c>
      <c r="FY161" s="650">
        <v>32795.787743568901</v>
      </c>
      <c r="FZ161" s="563">
        <v>0</v>
      </c>
      <c r="GA161" s="563">
        <v>0</v>
      </c>
      <c r="GB161" s="563">
        <v>0</v>
      </c>
      <c r="GC161" s="650">
        <v>31950.855702713998</v>
      </c>
      <c r="GD161" s="564">
        <v>4000</v>
      </c>
      <c r="GE161" s="565">
        <v>97.808251281762224</v>
      </c>
      <c r="GF161" s="649">
        <v>0.87920000000000009</v>
      </c>
      <c r="GG161" s="646">
        <v>12.717165045773427</v>
      </c>
      <c r="GH161" s="646">
        <v>0</v>
      </c>
      <c r="GI161" s="646">
        <v>0</v>
      </c>
      <c r="GJ161" s="646">
        <v>9.3780672860901859</v>
      </c>
      <c r="GK161" s="646">
        <v>0.24257877005825398</v>
      </c>
      <c r="GL161" s="646">
        <v>3600</v>
      </c>
      <c r="GM161" s="563" t="s">
        <v>1587</v>
      </c>
      <c r="GN161" s="563">
        <v>2</v>
      </c>
      <c r="GO161" s="563">
        <v>0</v>
      </c>
      <c r="GP161" s="563">
        <v>0</v>
      </c>
      <c r="GQ161" s="563">
        <v>0</v>
      </c>
      <c r="GR161" s="650">
        <v>44000.166462154339</v>
      </c>
      <c r="GS161" s="563">
        <v>0</v>
      </c>
      <c r="GT161" s="563">
        <v>0</v>
      </c>
      <c r="GU161" s="563">
        <v>0</v>
      </c>
      <c r="GV161" s="650">
        <v>42866.571174292803</v>
      </c>
      <c r="GW161" s="564">
        <v>4000</v>
      </c>
      <c r="GX161" s="565">
        <v>97.808251281762224</v>
      </c>
      <c r="GY161" s="649">
        <v>0.87920000000000009</v>
      </c>
      <c r="GZ161" s="646">
        <v>12.717165045773427</v>
      </c>
      <c r="HA161" s="646">
        <v>0</v>
      </c>
      <c r="HB161" s="646">
        <v>0</v>
      </c>
      <c r="HC161" s="646">
        <v>9.3780672860901859</v>
      </c>
      <c r="HD161" s="646">
        <v>0.24257877005825398</v>
      </c>
      <c r="HE161" s="646">
        <v>3600</v>
      </c>
      <c r="HF161" s="563" t="s">
        <v>1587</v>
      </c>
      <c r="HG161" s="563">
        <v>2</v>
      </c>
      <c r="HH161" s="563">
        <v>0</v>
      </c>
      <c r="HI161" s="563">
        <v>0</v>
      </c>
      <c r="HJ161" s="563">
        <v>0</v>
      </c>
      <c r="HK161" s="650">
        <v>44000.166462154339</v>
      </c>
      <c r="HL161" s="563">
        <v>0</v>
      </c>
      <c r="HM161" s="563">
        <v>0</v>
      </c>
      <c r="HN161" s="563">
        <v>0</v>
      </c>
      <c r="HO161" s="650">
        <v>42866.571174292803</v>
      </c>
      <c r="HP161" s="564">
        <v>4000</v>
      </c>
      <c r="HQ161" s="565">
        <v>97.808251281762224</v>
      </c>
      <c r="HR161" s="649">
        <v>0.87920000000000009</v>
      </c>
      <c r="HS161" s="646">
        <v>12.717165045773427</v>
      </c>
      <c r="HT161" s="646">
        <v>0</v>
      </c>
      <c r="HU161" s="646">
        <v>0</v>
      </c>
      <c r="HV161" s="646">
        <v>9.3780672860901859</v>
      </c>
      <c r="HW161" s="646">
        <v>0.24257877005825398</v>
      </c>
      <c r="HX161" s="646">
        <v>3600</v>
      </c>
      <c r="HY161" s="563" t="s">
        <v>68</v>
      </c>
      <c r="HZ161" s="563">
        <v>2</v>
      </c>
      <c r="IA161" s="563">
        <v>0</v>
      </c>
      <c r="IB161" s="563">
        <v>0</v>
      </c>
      <c r="IC161" s="563">
        <v>0</v>
      </c>
      <c r="ID161" s="650">
        <v>38804.499368051191</v>
      </c>
      <c r="IE161" s="563">
        <v>0</v>
      </c>
      <c r="IF161" s="563">
        <v>0</v>
      </c>
      <c r="IG161" s="563">
        <v>0</v>
      </c>
      <c r="IH161" s="650">
        <v>37804.76229509199</v>
      </c>
      <c r="II161" s="564">
        <v>4000</v>
      </c>
      <c r="IJ161" s="565">
        <v>97.808251281762224</v>
      </c>
      <c r="IK161" s="649">
        <v>0.87920000000000009</v>
      </c>
      <c r="IL161" s="646">
        <v>12.717165045773427</v>
      </c>
      <c r="IM161" s="646">
        <v>0</v>
      </c>
      <c r="IN161" s="646">
        <v>0</v>
      </c>
      <c r="IO161" s="646">
        <v>9.3780672860901859</v>
      </c>
      <c r="IP161" s="646">
        <v>0.24257877005825398</v>
      </c>
      <c r="IQ161" s="646">
        <v>3600</v>
      </c>
      <c r="IR161" s="563" t="s">
        <v>68</v>
      </c>
      <c r="IS161" s="563">
        <v>2</v>
      </c>
      <c r="IT161" s="563">
        <v>0</v>
      </c>
      <c r="IU161" s="563">
        <v>0</v>
      </c>
      <c r="IV161" s="563">
        <v>0</v>
      </c>
      <c r="IW161" s="650">
        <v>38804.499368051191</v>
      </c>
      <c r="IX161" s="563">
        <v>0</v>
      </c>
      <c r="IY161" s="563">
        <v>0</v>
      </c>
      <c r="IZ161" s="563">
        <v>0</v>
      </c>
      <c r="JA161" s="650">
        <v>37804.76229509199</v>
      </c>
      <c r="JB161" s="564">
        <v>4000</v>
      </c>
      <c r="JC161" s="565">
        <v>97.808251281762224</v>
      </c>
      <c r="JD161" s="649">
        <v>0.87920000000000009</v>
      </c>
      <c r="JE161" s="646">
        <v>12.717165045773427</v>
      </c>
      <c r="JF161" s="646">
        <v>0</v>
      </c>
      <c r="JG161" s="646">
        <v>0</v>
      </c>
      <c r="JH161" s="646">
        <v>9.3780672860901859</v>
      </c>
      <c r="JI161" s="646">
        <v>0.24257877005825398</v>
      </c>
      <c r="JJ161" s="646">
        <v>3600</v>
      </c>
      <c r="JK161" s="563" t="s">
        <v>67</v>
      </c>
      <c r="JL161" s="563">
        <v>2</v>
      </c>
      <c r="JM161" s="563">
        <v>0</v>
      </c>
      <c r="JN161" s="563">
        <v>0</v>
      </c>
      <c r="JO161" s="563">
        <v>0</v>
      </c>
      <c r="JP161" s="650">
        <v>52881.618769427725</v>
      </c>
      <c r="JQ161" s="563">
        <v>0</v>
      </c>
      <c r="JR161" s="563">
        <v>0</v>
      </c>
      <c r="JS161" s="563">
        <v>0</v>
      </c>
      <c r="JT161" s="650">
        <v>51519.206790794917</v>
      </c>
      <c r="JU161" s="564">
        <v>4000</v>
      </c>
      <c r="JV161" s="565">
        <v>97.808251281762224</v>
      </c>
      <c r="JW161" s="649">
        <v>0.87920000000000009</v>
      </c>
      <c r="JX161" s="646">
        <v>12.717165045773427</v>
      </c>
      <c r="JY161" s="646">
        <v>0</v>
      </c>
      <c r="JZ161" s="646">
        <v>0</v>
      </c>
      <c r="KA161" s="646">
        <v>9.3780672860901859</v>
      </c>
      <c r="KB161" s="646">
        <v>0.24257877005825398</v>
      </c>
      <c r="KC161" s="646">
        <v>3600</v>
      </c>
      <c r="KD161" s="563" t="s">
        <v>67</v>
      </c>
      <c r="KE161" s="563">
        <v>2</v>
      </c>
      <c r="KF161" s="563">
        <v>0</v>
      </c>
      <c r="KG161" s="563">
        <v>0</v>
      </c>
      <c r="KH161" s="563">
        <v>0</v>
      </c>
      <c r="KI161" s="650">
        <v>52881.618769427725</v>
      </c>
      <c r="KJ161" s="563">
        <v>0</v>
      </c>
      <c r="KK161" s="563">
        <v>0</v>
      </c>
      <c r="KL161" s="563">
        <v>0</v>
      </c>
      <c r="KM161" s="650">
        <v>51519.206790794917</v>
      </c>
      <c r="KN161" s="564">
        <v>4000</v>
      </c>
      <c r="KO161" s="566">
        <v>97.808251281762224</v>
      </c>
    </row>
    <row r="162" spans="1:301" ht="15" customHeight="1">
      <c r="A162" s="663" t="s">
        <v>911</v>
      </c>
      <c r="B162" s="629" t="s">
        <v>382</v>
      </c>
      <c r="C162" s="629">
        <v>150</v>
      </c>
      <c r="D162" s="629">
        <v>467</v>
      </c>
      <c r="E162" s="629">
        <v>106</v>
      </c>
      <c r="F162" s="629">
        <v>150</v>
      </c>
      <c r="G162" s="629">
        <v>34</v>
      </c>
      <c r="H162" s="629">
        <v>20</v>
      </c>
      <c r="I162" s="629">
        <v>20</v>
      </c>
      <c r="J162" s="629">
        <v>41.7</v>
      </c>
      <c r="K162" s="629">
        <v>75.3</v>
      </c>
      <c r="L162" s="629">
        <v>16</v>
      </c>
      <c r="M162" s="629">
        <v>175</v>
      </c>
      <c r="N162" s="629">
        <v>2</v>
      </c>
      <c r="O162" s="623">
        <v>2.5506528708040621</v>
      </c>
      <c r="P162" s="629">
        <v>2</v>
      </c>
      <c r="Q162" s="623">
        <v>1.5710253588295613</v>
      </c>
      <c r="R162" s="629">
        <v>13.000000000000002</v>
      </c>
      <c r="S162" s="629">
        <v>301.13434031080516</v>
      </c>
      <c r="T162" s="645">
        <v>7.2681429084436955</v>
      </c>
      <c r="U162" s="645">
        <v>45.170151046620774</v>
      </c>
      <c r="V162" s="645">
        <v>47.5</v>
      </c>
      <c r="W162" s="793">
        <v>0.44814390769610757</v>
      </c>
      <c r="X162" s="646">
        <v>0</v>
      </c>
      <c r="Y162" s="646">
        <v>0</v>
      </c>
      <c r="Z162" s="646">
        <v>0</v>
      </c>
      <c r="AA162" s="646">
        <v>0</v>
      </c>
      <c r="AB162" s="647">
        <v>0.45718399733941789</v>
      </c>
      <c r="AC162" s="784">
        <v>4000</v>
      </c>
      <c r="AD162" s="631">
        <v>3.3922636772047023</v>
      </c>
      <c r="AE162" s="631">
        <v>0.89096749997187596</v>
      </c>
      <c r="AF162" s="631">
        <v>-0.10202187672522246</v>
      </c>
      <c r="AG162" s="631">
        <v>0.79382766686075013</v>
      </c>
      <c r="AH162" s="629"/>
      <c r="AI162" s="648">
        <v>0.76180388287585932</v>
      </c>
      <c r="AJ162" s="649">
        <v>1.3188000000000002</v>
      </c>
      <c r="AK162" s="646">
        <v>13.156765045773426</v>
      </c>
      <c r="AL162" s="646">
        <v>0</v>
      </c>
      <c r="AM162" s="646">
        <v>0</v>
      </c>
      <c r="AN162" s="646">
        <v>9.3988475934137252</v>
      </c>
      <c r="AO162" s="646">
        <v>0.25579913560825396</v>
      </c>
      <c r="AP162" s="801">
        <v>3600</v>
      </c>
      <c r="AQ162" s="563" t="s">
        <v>71</v>
      </c>
      <c r="AR162" s="563">
        <v>3</v>
      </c>
      <c r="AS162" s="563">
        <v>0</v>
      </c>
      <c r="AT162" s="563">
        <v>0</v>
      </c>
      <c r="AU162" s="563">
        <v>0</v>
      </c>
      <c r="AV162" s="650">
        <v>51869.023163732847</v>
      </c>
      <c r="AW162" s="563">
        <v>0</v>
      </c>
      <c r="AX162" s="563">
        <v>0</v>
      </c>
      <c r="AY162" s="563">
        <v>0</v>
      </c>
      <c r="AZ162" s="650">
        <v>84599.280019926751</v>
      </c>
      <c r="BA162" s="564">
        <v>4000</v>
      </c>
      <c r="BB162" s="565">
        <v>97.808251281762224</v>
      </c>
      <c r="BC162" s="649">
        <v>1.3188000000000002</v>
      </c>
      <c r="BD162" s="646">
        <v>13.156765045773426</v>
      </c>
      <c r="BE162" s="646">
        <v>0</v>
      </c>
      <c r="BF162" s="646">
        <v>0</v>
      </c>
      <c r="BG162" s="646">
        <v>9.3988475934137252</v>
      </c>
      <c r="BH162" s="646">
        <v>0.25579913560825396</v>
      </c>
      <c r="BI162" s="646">
        <v>3600</v>
      </c>
      <c r="BJ162" s="563" t="s">
        <v>71</v>
      </c>
      <c r="BK162" s="563">
        <v>3</v>
      </c>
      <c r="BL162" s="563">
        <v>0</v>
      </c>
      <c r="BM162" s="563">
        <v>0</v>
      </c>
      <c r="BN162" s="563">
        <v>0</v>
      </c>
      <c r="BO162" s="650">
        <v>51869.023163732847</v>
      </c>
      <c r="BP162" s="563">
        <v>0</v>
      </c>
      <c r="BQ162" s="563">
        <v>0</v>
      </c>
      <c r="BR162" s="563">
        <v>0</v>
      </c>
      <c r="BS162" s="650">
        <v>84599.280019926751</v>
      </c>
      <c r="BT162" s="564">
        <v>4000</v>
      </c>
      <c r="BU162" s="565">
        <v>97.808251281762224</v>
      </c>
      <c r="BV162" s="649">
        <v>0.87920000000000009</v>
      </c>
      <c r="BW162" s="646">
        <v>12.717165045773427</v>
      </c>
      <c r="BX162" s="646">
        <v>0</v>
      </c>
      <c r="BY162" s="646">
        <v>0</v>
      </c>
      <c r="BZ162" s="646">
        <v>9.3780672860901859</v>
      </c>
      <c r="CA162" s="646">
        <v>0.24257877005825398</v>
      </c>
      <c r="CB162" s="646">
        <v>3600</v>
      </c>
      <c r="CC162" s="563" t="s">
        <v>1584</v>
      </c>
      <c r="CD162" s="563">
        <v>2</v>
      </c>
      <c r="CE162" s="563">
        <v>0</v>
      </c>
      <c r="CF162" s="563">
        <v>0</v>
      </c>
      <c r="CG162" s="563">
        <v>0</v>
      </c>
      <c r="CH162" s="650">
        <v>30057.835962121917</v>
      </c>
      <c r="CI162" s="563">
        <v>0</v>
      </c>
      <c r="CJ162" s="563">
        <v>0</v>
      </c>
      <c r="CK162" s="563">
        <v>0</v>
      </c>
      <c r="CL162" s="650">
        <v>29283.442955244875</v>
      </c>
      <c r="CM162" s="564">
        <v>4000</v>
      </c>
      <c r="CN162" s="565">
        <v>97.808251281762224</v>
      </c>
      <c r="CO162" s="649">
        <v>0.87920000000000009</v>
      </c>
      <c r="CP162" s="646">
        <v>12.717165045773427</v>
      </c>
      <c r="CQ162" s="646">
        <v>0</v>
      </c>
      <c r="CR162" s="646">
        <v>0</v>
      </c>
      <c r="CS162" s="646">
        <v>9.3780672860901859</v>
      </c>
      <c r="CT162" s="646">
        <v>0.24257877005825398</v>
      </c>
      <c r="CU162" s="646">
        <v>3600</v>
      </c>
      <c r="CV162" s="563" t="s">
        <v>1584</v>
      </c>
      <c r="CW162" s="563">
        <v>2</v>
      </c>
      <c r="CX162" s="563">
        <v>0</v>
      </c>
      <c r="CY162" s="563">
        <v>0</v>
      </c>
      <c r="CZ162" s="563">
        <v>0</v>
      </c>
      <c r="DA162" s="650">
        <v>30057.835962121917</v>
      </c>
      <c r="DB162" s="563">
        <v>0</v>
      </c>
      <c r="DC162" s="563">
        <v>0</v>
      </c>
      <c r="DD162" s="563">
        <v>0</v>
      </c>
      <c r="DE162" s="650">
        <v>29283.442955244875</v>
      </c>
      <c r="DF162" s="564">
        <v>4000</v>
      </c>
      <c r="DG162" s="565">
        <v>97.808251281762224</v>
      </c>
      <c r="DH162" s="649">
        <v>0.87920000000000009</v>
      </c>
      <c r="DI162" s="646">
        <v>12.717165045773427</v>
      </c>
      <c r="DJ162" s="646">
        <v>0</v>
      </c>
      <c r="DK162" s="646">
        <v>0</v>
      </c>
      <c r="DL162" s="646">
        <v>9.3780672860901859</v>
      </c>
      <c r="DM162" s="646">
        <v>0.24257877005825398</v>
      </c>
      <c r="DN162" s="646">
        <v>3600</v>
      </c>
      <c r="DO162" s="563" t="s">
        <v>1585</v>
      </c>
      <c r="DP162" s="563">
        <v>2</v>
      </c>
      <c r="DQ162" s="563">
        <v>0</v>
      </c>
      <c r="DR162" s="563">
        <v>0</v>
      </c>
      <c r="DS162" s="563">
        <v>0</v>
      </c>
      <c r="DT162" s="650">
        <v>32133.17827374654</v>
      </c>
      <c r="DU162" s="563">
        <v>0</v>
      </c>
      <c r="DV162" s="563">
        <v>0</v>
      </c>
      <c r="DW162" s="563">
        <v>0</v>
      </c>
      <c r="DX162" s="650">
        <v>31305.317326777327</v>
      </c>
      <c r="DY162" s="564">
        <v>4000</v>
      </c>
      <c r="DZ162" s="565">
        <v>97.808251281762224</v>
      </c>
      <c r="EA162" s="649">
        <v>0.87920000000000009</v>
      </c>
      <c r="EB162" s="646">
        <v>12.717165045773427</v>
      </c>
      <c r="EC162" s="646">
        <v>0</v>
      </c>
      <c r="ED162" s="646">
        <v>0</v>
      </c>
      <c r="EE162" s="646">
        <v>9.3780672860901859</v>
      </c>
      <c r="EF162" s="646">
        <v>0.24257877005825398</v>
      </c>
      <c r="EG162" s="646">
        <v>3600</v>
      </c>
      <c r="EH162" s="563" t="s">
        <v>1585</v>
      </c>
      <c r="EI162" s="563">
        <v>2</v>
      </c>
      <c r="EJ162" s="563">
        <v>0</v>
      </c>
      <c r="EK162" s="563">
        <v>0</v>
      </c>
      <c r="EL162" s="563">
        <v>0</v>
      </c>
      <c r="EM162" s="650">
        <v>32133.17827374654</v>
      </c>
      <c r="EN162" s="563">
        <v>0</v>
      </c>
      <c r="EO162" s="563">
        <v>0</v>
      </c>
      <c r="EP162" s="563">
        <v>0</v>
      </c>
      <c r="EQ162" s="650">
        <v>31305.317326777327</v>
      </c>
      <c r="ER162" s="564">
        <v>4000</v>
      </c>
      <c r="ES162" s="565">
        <v>97.808251281762224</v>
      </c>
      <c r="ET162" s="649">
        <v>0.87920000000000009</v>
      </c>
      <c r="EU162" s="646">
        <v>12.717165045773427</v>
      </c>
      <c r="EV162" s="646">
        <v>0</v>
      </c>
      <c r="EW162" s="646">
        <v>0</v>
      </c>
      <c r="EX162" s="646">
        <v>9.3780672860901859</v>
      </c>
      <c r="EY162" s="646">
        <v>0.24257877005825398</v>
      </c>
      <c r="EZ162" s="646">
        <v>3600</v>
      </c>
      <c r="FA162" s="563" t="s">
        <v>1586</v>
      </c>
      <c r="FB162" s="563">
        <v>2</v>
      </c>
      <c r="FC162" s="563">
        <v>0</v>
      </c>
      <c r="FD162" s="563">
        <v>0</v>
      </c>
      <c r="FE162" s="563">
        <v>0</v>
      </c>
      <c r="FF162" s="650">
        <v>32795.787743568901</v>
      </c>
      <c r="FG162" s="563">
        <v>0</v>
      </c>
      <c r="FH162" s="563">
        <v>0</v>
      </c>
      <c r="FI162" s="563">
        <v>0</v>
      </c>
      <c r="FJ162" s="650">
        <v>31950.855702713998</v>
      </c>
      <c r="FK162" s="564">
        <v>4000</v>
      </c>
      <c r="FL162" s="565">
        <v>97.808251281762224</v>
      </c>
      <c r="FM162" s="649">
        <v>0.87920000000000009</v>
      </c>
      <c r="FN162" s="646">
        <v>12.717165045773427</v>
      </c>
      <c r="FO162" s="646">
        <v>0</v>
      </c>
      <c r="FP162" s="646">
        <v>0</v>
      </c>
      <c r="FQ162" s="646">
        <v>9.3780672860901859</v>
      </c>
      <c r="FR162" s="646">
        <v>0.24257877005825398</v>
      </c>
      <c r="FS162" s="646">
        <v>3600</v>
      </c>
      <c r="FT162" s="563" t="s">
        <v>1586</v>
      </c>
      <c r="FU162" s="563">
        <v>2</v>
      </c>
      <c r="FV162" s="563">
        <v>0</v>
      </c>
      <c r="FW162" s="563">
        <v>0</v>
      </c>
      <c r="FX162" s="563">
        <v>0</v>
      </c>
      <c r="FY162" s="650">
        <v>32795.787743568901</v>
      </c>
      <c r="FZ162" s="563">
        <v>0</v>
      </c>
      <c r="GA162" s="563">
        <v>0</v>
      </c>
      <c r="GB162" s="563">
        <v>0</v>
      </c>
      <c r="GC162" s="650">
        <v>31950.855702713998</v>
      </c>
      <c r="GD162" s="564">
        <v>4000</v>
      </c>
      <c r="GE162" s="565">
        <v>97.808251281762224</v>
      </c>
      <c r="GF162" s="649">
        <v>0.87920000000000009</v>
      </c>
      <c r="GG162" s="646">
        <v>12.717165045773427</v>
      </c>
      <c r="GH162" s="646">
        <v>0</v>
      </c>
      <c r="GI162" s="646">
        <v>0</v>
      </c>
      <c r="GJ162" s="646">
        <v>9.3780672860901859</v>
      </c>
      <c r="GK162" s="646">
        <v>0.24257877005825398</v>
      </c>
      <c r="GL162" s="646">
        <v>3600</v>
      </c>
      <c r="GM162" s="563" t="s">
        <v>1587</v>
      </c>
      <c r="GN162" s="563">
        <v>2</v>
      </c>
      <c r="GO162" s="563">
        <v>0</v>
      </c>
      <c r="GP162" s="563">
        <v>0</v>
      </c>
      <c r="GQ162" s="563">
        <v>0</v>
      </c>
      <c r="GR162" s="650">
        <v>44000.166462154339</v>
      </c>
      <c r="GS162" s="563">
        <v>0</v>
      </c>
      <c r="GT162" s="563">
        <v>0</v>
      </c>
      <c r="GU162" s="563">
        <v>0</v>
      </c>
      <c r="GV162" s="650">
        <v>42866.571174292803</v>
      </c>
      <c r="GW162" s="564">
        <v>4000</v>
      </c>
      <c r="GX162" s="565">
        <v>97.808251281762224</v>
      </c>
      <c r="GY162" s="649">
        <v>0.87920000000000009</v>
      </c>
      <c r="GZ162" s="646">
        <v>12.717165045773427</v>
      </c>
      <c r="HA162" s="646">
        <v>0</v>
      </c>
      <c r="HB162" s="646">
        <v>0</v>
      </c>
      <c r="HC162" s="646">
        <v>9.3780672860901859</v>
      </c>
      <c r="HD162" s="646">
        <v>0.24257877005825398</v>
      </c>
      <c r="HE162" s="646">
        <v>3600</v>
      </c>
      <c r="HF162" s="563" t="s">
        <v>1587</v>
      </c>
      <c r="HG162" s="563">
        <v>2</v>
      </c>
      <c r="HH162" s="563">
        <v>0</v>
      </c>
      <c r="HI162" s="563">
        <v>0</v>
      </c>
      <c r="HJ162" s="563">
        <v>0</v>
      </c>
      <c r="HK162" s="650">
        <v>44000.166462154339</v>
      </c>
      <c r="HL162" s="563">
        <v>0</v>
      </c>
      <c r="HM162" s="563">
        <v>0</v>
      </c>
      <c r="HN162" s="563">
        <v>0</v>
      </c>
      <c r="HO162" s="650">
        <v>42866.571174292803</v>
      </c>
      <c r="HP162" s="564">
        <v>4000</v>
      </c>
      <c r="HQ162" s="565">
        <v>97.808251281762224</v>
      </c>
      <c r="HR162" s="649">
        <v>0.87920000000000009</v>
      </c>
      <c r="HS162" s="646">
        <v>12.717165045773427</v>
      </c>
      <c r="HT162" s="646">
        <v>0</v>
      </c>
      <c r="HU162" s="646">
        <v>0</v>
      </c>
      <c r="HV162" s="646">
        <v>9.3780672860901859</v>
      </c>
      <c r="HW162" s="646">
        <v>0.24257877005825398</v>
      </c>
      <c r="HX162" s="646">
        <v>3600</v>
      </c>
      <c r="HY162" s="563" t="s">
        <v>68</v>
      </c>
      <c r="HZ162" s="563">
        <v>2</v>
      </c>
      <c r="IA162" s="563">
        <v>0</v>
      </c>
      <c r="IB162" s="563">
        <v>0</v>
      </c>
      <c r="IC162" s="563">
        <v>0</v>
      </c>
      <c r="ID162" s="650">
        <v>38804.499368051191</v>
      </c>
      <c r="IE162" s="563">
        <v>0</v>
      </c>
      <c r="IF162" s="563">
        <v>0</v>
      </c>
      <c r="IG162" s="563">
        <v>0</v>
      </c>
      <c r="IH162" s="650">
        <v>37804.76229509199</v>
      </c>
      <c r="II162" s="564">
        <v>4000</v>
      </c>
      <c r="IJ162" s="565">
        <v>97.808251281762224</v>
      </c>
      <c r="IK162" s="649">
        <v>0.87920000000000009</v>
      </c>
      <c r="IL162" s="646">
        <v>12.717165045773427</v>
      </c>
      <c r="IM162" s="646">
        <v>0</v>
      </c>
      <c r="IN162" s="646">
        <v>0</v>
      </c>
      <c r="IO162" s="646">
        <v>9.3780672860901859</v>
      </c>
      <c r="IP162" s="646">
        <v>0.24257877005825398</v>
      </c>
      <c r="IQ162" s="646">
        <v>3600</v>
      </c>
      <c r="IR162" s="563" t="s">
        <v>68</v>
      </c>
      <c r="IS162" s="563">
        <v>2</v>
      </c>
      <c r="IT162" s="563">
        <v>0</v>
      </c>
      <c r="IU162" s="563">
        <v>0</v>
      </c>
      <c r="IV162" s="563">
        <v>0</v>
      </c>
      <c r="IW162" s="650">
        <v>38804.499368051191</v>
      </c>
      <c r="IX162" s="563">
        <v>0</v>
      </c>
      <c r="IY162" s="563">
        <v>0</v>
      </c>
      <c r="IZ162" s="563">
        <v>0</v>
      </c>
      <c r="JA162" s="650">
        <v>37804.76229509199</v>
      </c>
      <c r="JB162" s="564">
        <v>4000</v>
      </c>
      <c r="JC162" s="565">
        <v>97.808251281762224</v>
      </c>
      <c r="JD162" s="649">
        <v>0.87920000000000009</v>
      </c>
      <c r="JE162" s="646">
        <v>12.717165045773427</v>
      </c>
      <c r="JF162" s="646">
        <v>0</v>
      </c>
      <c r="JG162" s="646">
        <v>0</v>
      </c>
      <c r="JH162" s="646">
        <v>9.3780672860901859</v>
      </c>
      <c r="JI162" s="646">
        <v>0.24257877005825398</v>
      </c>
      <c r="JJ162" s="646">
        <v>3600</v>
      </c>
      <c r="JK162" s="563" t="s">
        <v>67</v>
      </c>
      <c r="JL162" s="563">
        <v>2</v>
      </c>
      <c r="JM162" s="563">
        <v>0</v>
      </c>
      <c r="JN162" s="563">
        <v>0</v>
      </c>
      <c r="JO162" s="563">
        <v>0</v>
      </c>
      <c r="JP162" s="650">
        <v>52881.618769427725</v>
      </c>
      <c r="JQ162" s="563">
        <v>0</v>
      </c>
      <c r="JR162" s="563">
        <v>0</v>
      </c>
      <c r="JS162" s="563">
        <v>0</v>
      </c>
      <c r="JT162" s="650">
        <v>51519.206790794917</v>
      </c>
      <c r="JU162" s="564">
        <v>4000</v>
      </c>
      <c r="JV162" s="565">
        <v>97.808251281762224</v>
      </c>
      <c r="JW162" s="649">
        <v>0.87920000000000009</v>
      </c>
      <c r="JX162" s="646">
        <v>12.717165045773427</v>
      </c>
      <c r="JY162" s="646">
        <v>0</v>
      </c>
      <c r="JZ162" s="646">
        <v>0</v>
      </c>
      <c r="KA162" s="646">
        <v>9.3780672860901859</v>
      </c>
      <c r="KB162" s="646">
        <v>0.24257877005825398</v>
      </c>
      <c r="KC162" s="646">
        <v>3600</v>
      </c>
      <c r="KD162" s="563" t="s">
        <v>67</v>
      </c>
      <c r="KE162" s="563">
        <v>2</v>
      </c>
      <c r="KF162" s="563">
        <v>0</v>
      </c>
      <c r="KG162" s="563">
        <v>0</v>
      </c>
      <c r="KH162" s="563">
        <v>0</v>
      </c>
      <c r="KI162" s="650">
        <v>52881.618769427725</v>
      </c>
      <c r="KJ162" s="563">
        <v>0</v>
      </c>
      <c r="KK162" s="563">
        <v>0</v>
      </c>
      <c r="KL162" s="563">
        <v>0</v>
      </c>
      <c r="KM162" s="650">
        <v>51519.206790794917</v>
      </c>
      <c r="KN162" s="564">
        <v>4000</v>
      </c>
      <c r="KO162" s="566">
        <v>97.808251281762224</v>
      </c>
    </row>
    <row r="163" spans="1:301" ht="15" customHeight="1">
      <c r="A163" s="663" t="s">
        <v>912</v>
      </c>
      <c r="B163" s="629" t="s">
        <v>382</v>
      </c>
      <c r="C163" s="629">
        <v>150</v>
      </c>
      <c r="D163" s="629">
        <v>467</v>
      </c>
      <c r="E163" s="629">
        <v>106</v>
      </c>
      <c r="F163" s="629">
        <v>150</v>
      </c>
      <c r="G163" s="629">
        <v>39</v>
      </c>
      <c r="H163" s="629">
        <v>25</v>
      </c>
      <c r="I163" s="629">
        <v>25</v>
      </c>
      <c r="J163" s="629">
        <v>41.7</v>
      </c>
      <c r="K163" s="629">
        <v>75.3</v>
      </c>
      <c r="L163" s="629">
        <v>16</v>
      </c>
      <c r="M163" s="629">
        <v>175</v>
      </c>
      <c r="N163" s="629">
        <v>2</v>
      </c>
      <c r="O163" s="623">
        <v>2.5506528708040621</v>
      </c>
      <c r="P163" s="629">
        <v>2</v>
      </c>
      <c r="Q163" s="623">
        <v>1.5784217140585468</v>
      </c>
      <c r="R163" s="629">
        <v>13.000000000000002</v>
      </c>
      <c r="S163" s="629">
        <v>300.1367369266776</v>
      </c>
      <c r="T163" s="645">
        <v>7.2200665994552882</v>
      </c>
      <c r="U163" s="645">
        <v>45.020510539001641</v>
      </c>
      <c r="V163" s="645">
        <v>47.5</v>
      </c>
      <c r="W163" s="793">
        <v>0.44517958720199069</v>
      </c>
      <c r="X163" s="646">
        <v>0</v>
      </c>
      <c r="Y163" s="646">
        <v>0</v>
      </c>
      <c r="Z163" s="646">
        <v>0</v>
      </c>
      <c r="AA163" s="646">
        <v>0</v>
      </c>
      <c r="AB163" s="647">
        <v>0.53037286101634595</v>
      </c>
      <c r="AC163" s="784">
        <v>4000</v>
      </c>
      <c r="AD163" s="631">
        <v>3.3922636772047023</v>
      </c>
      <c r="AE163" s="631">
        <v>0.89096749997187596</v>
      </c>
      <c r="AF163" s="631">
        <v>-0.11932806106772492</v>
      </c>
      <c r="AG163" s="631">
        <v>0.79382766686075013</v>
      </c>
      <c r="AH163" s="629"/>
      <c r="AI163" s="648">
        <v>0.78980388287585934</v>
      </c>
      <c r="AJ163" s="649">
        <v>1.6485000000000003</v>
      </c>
      <c r="AK163" s="646">
        <v>13.442820771519889</v>
      </c>
      <c r="AL163" s="646">
        <v>0</v>
      </c>
      <c r="AM163" s="646">
        <v>0</v>
      </c>
      <c r="AN163" s="646">
        <v>10.671453857406993</v>
      </c>
      <c r="AO163" s="646">
        <v>0.26479522612084538</v>
      </c>
      <c r="AP163" s="801">
        <v>3600</v>
      </c>
      <c r="AQ163" s="563" t="s">
        <v>71</v>
      </c>
      <c r="AR163" s="563">
        <v>3</v>
      </c>
      <c r="AS163" s="563">
        <v>0</v>
      </c>
      <c r="AT163" s="563">
        <v>0</v>
      </c>
      <c r="AU163" s="563">
        <v>0</v>
      </c>
      <c r="AV163" s="650">
        <v>34805.963794802345</v>
      </c>
      <c r="AW163" s="563">
        <v>0</v>
      </c>
      <c r="AX163" s="563">
        <v>0</v>
      </c>
      <c r="AY163" s="563">
        <v>0</v>
      </c>
      <c r="AZ163" s="650">
        <v>42555.70841917846</v>
      </c>
      <c r="BA163" s="564">
        <v>4000</v>
      </c>
      <c r="BB163" s="565">
        <v>97.808251281762224</v>
      </c>
      <c r="BC163" s="649">
        <v>1.6485000000000003</v>
      </c>
      <c r="BD163" s="646">
        <v>13.442820771519889</v>
      </c>
      <c r="BE163" s="646">
        <v>0</v>
      </c>
      <c r="BF163" s="646">
        <v>0</v>
      </c>
      <c r="BG163" s="646">
        <v>10.671453857406993</v>
      </c>
      <c r="BH163" s="646">
        <v>0.26479522612084538</v>
      </c>
      <c r="BI163" s="646">
        <v>3600</v>
      </c>
      <c r="BJ163" s="563" t="s">
        <v>71</v>
      </c>
      <c r="BK163" s="563">
        <v>3</v>
      </c>
      <c r="BL163" s="563">
        <v>0</v>
      </c>
      <c r="BM163" s="563">
        <v>0</v>
      </c>
      <c r="BN163" s="563">
        <v>0</v>
      </c>
      <c r="BO163" s="650">
        <v>34805.963794802345</v>
      </c>
      <c r="BP163" s="563">
        <v>0</v>
      </c>
      <c r="BQ163" s="563">
        <v>0</v>
      </c>
      <c r="BR163" s="563">
        <v>0</v>
      </c>
      <c r="BS163" s="650">
        <v>42555.70841917846</v>
      </c>
      <c r="BT163" s="564">
        <v>4000</v>
      </c>
      <c r="BU163" s="565">
        <v>97.808251281762224</v>
      </c>
      <c r="BV163" s="649">
        <v>1.0990000000000002</v>
      </c>
      <c r="BW163" s="646">
        <v>12.893320771519889</v>
      </c>
      <c r="BX163" s="646">
        <v>0</v>
      </c>
      <c r="BY163" s="646">
        <v>0</v>
      </c>
      <c r="BZ163" s="646">
        <v>10.593523111468031</v>
      </c>
      <c r="CA163" s="646">
        <v>0.24826976918334537</v>
      </c>
      <c r="CB163" s="646">
        <v>3600</v>
      </c>
      <c r="CC163" s="563" t="s">
        <v>1584</v>
      </c>
      <c r="CD163" s="563">
        <v>2</v>
      </c>
      <c r="CE163" s="563">
        <v>0</v>
      </c>
      <c r="CF163" s="563">
        <v>0</v>
      </c>
      <c r="CG163" s="563">
        <v>0</v>
      </c>
      <c r="CH163" s="650">
        <v>21605.063528178598</v>
      </c>
      <c r="CI163" s="563">
        <v>0</v>
      </c>
      <c r="CJ163" s="563">
        <v>0</v>
      </c>
      <c r="CK163" s="563">
        <v>0</v>
      </c>
      <c r="CL163" s="650">
        <v>21048.442947446012</v>
      </c>
      <c r="CM163" s="564">
        <v>4000</v>
      </c>
      <c r="CN163" s="565">
        <v>97.808251281762224</v>
      </c>
      <c r="CO163" s="649">
        <v>1.0990000000000002</v>
      </c>
      <c r="CP163" s="646">
        <v>12.893320771519889</v>
      </c>
      <c r="CQ163" s="646">
        <v>0</v>
      </c>
      <c r="CR163" s="646">
        <v>0</v>
      </c>
      <c r="CS163" s="646">
        <v>10.593523111468031</v>
      </c>
      <c r="CT163" s="646">
        <v>0.24826976918334537</v>
      </c>
      <c r="CU163" s="646">
        <v>3600</v>
      </c>
      <c r="CV163" s="563" t="s">
        <v>1584</v>
      </c>
      <c r="CW163" s="563">
        <v>2</v>
      </c>
      <c r="CX163" s="563">
        <v>0</v>
      </c>
      <c r="CY163" s="563">
        <v>0</v>
      </c>
      <c r="CZ163" s="563">
        <v>0</v>
      </c>
      <c r="DA163" s="650">
        <v>21605.063528178598</v>
      </c>
      <c r="DB163" s="563">
        <v>0</v>
      </c>
      <c r="DC163" s="563">
        <v>0</v>
      </c>
      <c r="DD163" s="563">
        <v>0</v>
      </c>
      <c r="DE163" s="650">
        <v>21048.442947446012</v>
      </c>
      <c r="DF163" s="564">
        <v>4000</v>
      </c>
      <c r="DG163" s="565">
        <v>97.808251281762224</v>
      </c>
      <c r="DH163" s="649">
        <v>1.0990000000000002</v>
      </c>
      <c r="DI163" s="646">
        <v>12.893320771519889</v>
      </c>
      <c r="DJ163" s="646">
        <v>0</v>
      </c>
      <c r="DK163" s="646">
        <v>0</v>
      </c>
      <c r="DL163" s="646">
        <v>10.593523111468031</v>
      </c>
      <c r="DM163" s="646">
        <v>0.24826976918334537</v>
      </c>
      <c r="DN163" s="646">
        <v>3600</v>
      </c>
      <c r="DO163" s="563" t="s">
        <v>1585</v>
      </c>
      <c r="DP163" s="563">
        <v>2</v>
      </c>
      <c r="DQ163" s="563">
        <v>0</v>
      </c>
      <c r="DR163" s="563">
        <v>0</v>
      </c>
      <c r="DS163" s="563">
        <v>0</v>
      </c>
      <c r="DT163" s="650">
        <v>23096.784440556505</v>
      </c>
      <c r="DU163" s="563">
        <v>0</v>
      </c>
      <c r="DV163" s="563">
        <v>0</v>
      </c>
      <c r="DW163" s="563">
        <v>0</v>
      </c>
      <c r="DX163" s="650">
        <v>22501.732009809435</v>
      </c>
      <c r="DY163" s="564">
        <v>4000</v>
      </c>
      <c r="DZ163" s="565">
        <v>97.808251281762224</v>
      </c>
      <c r="EA163" s="649">
        <v>1.0990000000000002</v>
      </c>
      <c r="EB163" s="646">
        <v>12.893320771519889</v>
      </c>
      <c r="EC163" s="646">
        <v>0</v>
      </c>
      <c r="ED163" s="646">
        <v>0</v>
      </c>
      <c r="EE163" s="646">
        <v>10.593523111468031</v>
      </c>
      <c r="EF163" s="646">
        <v>0.24826976918334537</v>
      </c>
      <c r="EG163" s="646">
        <v>3600</v>
      </c>
      <c r="EH163" s="563" t="s">
        <v>1585</v>
      </c>
      <c r="EI163" s="563">
        <v>2</v>
      </c>
      <c r="EJ163" s="563">
        <v>0</v>
      </c>
      <c r="EK163" s="563">
        <v>0</v>
      </c>
      <c r="EL163" s="563">
        <v>0</v>
      </c>
      <c r="EM163" s="650">
        <v>23096.784440556505</v>
      </c>
      <c r="EN163" s="563">
        <v>0</v>
      </c>
      <c r="EO163" s="563">
        <v>0</v>
      </c>
      <c r="EP163" s="563">
        <v>0</v>
      </c>
      <c r="EQ163" s="650">
        <v>22501.732009809435</v>
      </c>
      <c r="ER163" s="564">
        <v>4000</v>
      </c>
      <c r="ES163" s="565">
        <v>97.808251281762224</v>
      </c>
      <c r="ET163" s="649">
        <v>1.0990000000000002</v>
      </c>
      <c r="EU163" s="646">
        <v>12.893320771519889</v>
      </c>
      <c r="EV163" s="646">
        <v>0</v>
      </c>
      <c r="EW163" s="646">
        <v>0</v>
      </c>
      <c r="EX163" s="646">
        <v>10.593523111468031</v>
      </c>
      <c r="EY163" s="646">
        <v>0.24826976918334537</v>
      </c>
      <c r="EZ163" s="646">
        <v>3600</v>
      </c>
      <c r="FA163" s="563" t="s">
        <v>1586</v>
      </c>
      <c r="FB163" s="563">
        <v>2</v>
      </c>
      <c r="FC163" s="563">
        <v>0</v>
      </c>
      <c r="FD163" s="563">
        <v>0</v>
      </c>
      <c r="FE163" s="563">
        <v>0</v>
      </c>
      <c r="FF163" s="650">
        <v>23573.056907679111</v>
      </c>
      <c r="FG163" s="563">
        <v>0</v>
      </c>
      <c r="FH163" s="563">
        <v>0</v>
      </c>
      <c r="FI163" s="563">
        <v>0</v>
      </c>
      <c r="FJ163" s="650">
        <v>22965.734063715787</v>
      </c>
      <c r="FK163" s="564">
        <v>4000</v>
      </c>
      <c r="FL163" s="565">
        <v>97.808251281762224</v>
      </c>
      <c r="FM163" s="649">
        <v>1.0990000000000002</v>
      </c>
      <c r="FN163" s="646">
        <v>12.893320771519889</v>
      </c>
      <c r="FO163" s="646">
        <v>0</v>
      </c>
      <c r="FP163" s="646">
        <v>0</v>
      </c>
      <c r="FQ163" s="646">
        <v>10.593523111468031</v>
      </c>
      <c r="FR163" s="646">
        <v>0.24826976918334537</v>
      </c>
      <c r="FS163" s="646">
        <v>3600</v>
      </c>
      <c r="FT163" s="563" t="s">
        <v>1586</v>
      </c>
      <c r="FU163" s="563">
        <v>2</v>
      </c>
      <c r="FV163" s="563">
        <v>0</v>
      </c>
      <c r="FW163" s="563">
        <v>0</v>
      </c>
      <c r="FX163" s="563">
        <v>0</v>
      </c>
      <c r="FY163" s="650">
        <v>23573.056907679111</v>
      </c>
      <c r="FZ163" s="563">
        <v>0</v>
      </c>
      <c r="GA163" s="563">
        <v>0</v>
      </c>
      <c r="GB163" s="563">
        <v>0</v>
      </c>
      <c r="GC163" s="650">
        <v>22965.734063715787</v>
      </c>
      <c r="GD163" s="564">
        <v>4000</v>
      </c>
      <c r="GE163" s="565">
        <v>97.808251281762224</v>
      </c>
      <c r="GF163" s="649">
        <v>1.0990000000000002</v>
      </c>
      <c r="GG163" s="646">
        <v>12.893320771519889</v>
      </c>
      <c r="GH163" s="646">
        <v>0</v>
      </c>
      <c r="GI163" s="646">
        <v>0</v>
      </c>
      <c r="GJ163" s="646">
        <v>10.593523111468031</v>
      </c>
      <c r="GK163" s="646">
        <v>0.24826976918334537</v>
      </c>
      <c r="GL163" s="646">
        <v>3600</v>
      </c>
      <c r="GM163" s="563" t="s">
        <v>1587</v>
      </c>
      <c r="GN163" s="563">
        <v>2</v>
      </c>
      <c r="GO163" s="563">
        <v>0</v>
      </c>
      <c r="GP163" s="563">
        <v>0</v>
      </c>
      <c r="GQ163" s="563">
        <v>0</v>
      </c>
      <c r="GR163" s="650">
        <v>31626.574609828192</v>
      </c>
      <c r="GS163" s="563">
        <v>0</v>
      </c>
      <c r="GT163" s="563">
        <v>0</v>
      </c>
      <c r="GU163" s="563">
        <v>0</v>
      </c>
      <c r="GV163" s="650">
        <v>30811.765511803918</v>
      </c>
      <c r="GW163" s="564">
        <v>4000</v>
      </c>
      <c r="GX163" s="565">
        <v>97.808251281762224</v>
      </c>
      <c r="GY163" s="649">
        <v>1.0990000000000002</v>
      </c>
      <c r="GZ163" s="646">
        <v>12.893320771519889</v>
      </c>
      <c r="HA163" s="646">
        <v>0</v>
      </c>
      <c r="HB163" s="646">
        <v>0</v>
      </c>
      <c r="HC163" s="646">
        <v>10.593523111468031</v>
      </c>
      <c r="HD163" s="646">
        <v>0.24826976918334537</v>
      </c>
      <c r="HE163" s="646">
        <v>3600</v>
      </c>
      <c r="HF163" s="563" t="s">
        <v>1587</v>
      </c>
      <c r="HG163" s="563">
        <v>2</v>
      </c>
      <c r="HH163" s="563">
        <v>0</v>
      </c>
      <c r="HI163" s="563">
        <v>0</v>
      </c>
      <c r="HJ163" s="563">
        <v>0</v>
      </c>
      <c r="HK163" s="650">
        <v>31626.574609828192</v>
      </c>
      <c r="HL163" s="563">
        <v>0</v>
      </c>
      <c r="HM163" s="563">
        <v>0</v>
      </c>
      <c r="HN163" s="563">
        <v>0</v>
      </c>
      <c r="HO163" s="650">
        <v>30811.765511803918</v>
      </c>
      <c r="HP163" s="564">
        <v>4000</v>
      </c>
      <c r="HQ163" s="565">
        <v>97.808251281762224</v>
      </c>
      <c r="HR163" s="649">
        <v>1.0990000000000002</v>
      </c>
      <c r="HS163" s="646">
        <v>12.893320771519889</v>
      </c>
      <c r="HT163" s="646">
        <v>0</v>
      </c>
      <c r="HU163" s="646">
        <v>0</v>
      </c>
      <c r="HV163" s="646">
        <v>10.593523111468031</v>
      </c>
      <c r="HW163" s="646">
        <v>0.24826976918334537</v>
      </c>
      <c r="HX163" s="646">
        <v>3600</v>
      </c>
      <c r="HY163" s="563" t="s">
        <v>68</v>
      </c>
      <c r="HZ163" s="563">
        <v>2</v>
      </c>
      <c r="IA163" s="563">
        <v>0</v>
      </c>
      <c r="IB163" s="563">
        <v>0</v>
      </c>
      <c r="IC163" s="563">
        <v>0</v>
      </c>
      <c r="ID163" s="650">
        <v>27892.017079478264</v>
      </c>
      <c r="IE163" s="563">
        <v>0</v>
      </c>
      <c r="IF163" s="563">
        <v>0</v>
      </c>
      <c r="IG163" s="563">
        <v>0</v>
      </c>
      <c r="IH163" s="650">
        <v>27173.422999689985</v>
      </c>
      <c r="II163" s="564">
        <v>4000</v>
      </c>
      <c r="IJ163" s="565">
        <v>97.808251281762224</v>
      </c>
      <c r="IK163" s="649">
        <v>1.0990000000000002</v>
      </c>
      <c r="IL163" s="646">
        <v>12.893320771519889</v>
      </c>
      <c r="IM163" s="646">
        <v>0</v>
      </c>
      <c r="IN163" s="646">
        <v>0</v>
      </c>
      <c r="IO163" s="646">
        <v>10.593523111468031</v>
      </c>
      <c r="IP163" s="646">
        <v>0.24826976918334537</v>
      </c>
      <c r="IQ163" s="646">
        <v>3600</v>
      </c>
      <c r="IR163" s="563" t="s">
        <v>68</v>
      </c>
      <c r="IS163" s="563">
        <v>2</v>
      </c>
      <c r="IT163" s="563">
        <v>0</v>
      </c>
      <c r="IU163" s="563">
        <v>0</v>
      </c>
      <c r="IV163" s="563">
        <v>0</v>
      </c>
      <c r="IW163" s="650">
        <v>27892.017079478264</v>
      </c>
      <c r="IX163" s="563">
        <v>0</v>
      </c>
      <c r="IY163" s="563">
        <v>0</v>
      </c>
      <c r="IZ163" s="563">
        <v>0</v>
      </c>
      <c r="JA163" s="650">
        <v>27173.422999689985</v>
      </c>
      <c r="JB163" s="564">
        <v>4000</v>
      </c>
      <c r="JC163" s="565">
        <v>97.808251281762224</v>
      </c>
      <c r="JD163" s="649">
        <v>1.0990000000000002</v>
      </c>
      <c r="JE163" s="646">
        <v>12.893320771519889</v>
      </c>
      <c r="JF163" s="646">
        <v>0</v>
      </c>
      <c r="JG163" s="646">
        <v>0</v>
      </c>
      <c r="JH163" s="646">
        <v>10.593523111468031</v>
      </c>
      <c r="JI163" s="646">
        <v>0.24826976918334537</v>
      </c>
      <c r="JJ163" s="646">
        <v>3600</v>
      </c>
      <c r="JK163" s="563" t="s">
        <v>67</v>
      </c>
      <c r="JL163" s="563">
        <v>2</v>
      </c>
      <c r="JM163" s="563">
        <v>0</v>
      </c>
      <c r="JN163" s="563">
        <v>0</v>
      </c>
      <c r="JO163" s="563">
        <v>0</v>
      </c>
      <c r="JP163" s="650">
        <v>38010.412140982568</v>
      </c>
      <c r="JQ163" s="563">
        <v>0</v>
      </c>
      <c r="JR163" s="563">
        <v>0</v>
      </c>
      <c r="JS163" s="563">
        <v>0</v>
      </c>
      <c r="JT163" s="650">
        <v>37031.133480119439</v>
      </c>
      <c r="JU163" s="564">
        <v>4000</v>
      </c>
      <c r="JV163" s="565">
        <v>97.808251281762224</v>
      </c>
      <c r="JW163" s="649">
        <v>1.0990000000000002</v>
      </c>
      <c r="JX163" s="646">
        <v>12.893320771519889</v>
      </c>
      <c r="JY163" s="646">
        <v>0</v>
      </c>
      <c r="JZ163" s="646">
        <v>0</v>
      </c>
      <c r="KA163" s="646">
        <v>10.593523111468031</v>
      </c>
      <c r="KB163" s="646">
        <v>0.24826976918334537</v>
      </c>
      <c r="KC163" s="646">
        <v>3600</v>
      </c>
      <c r="KD163" s="563" t="s">
        <v>67</v>
      </c>
      <c r="KE163" s="563">
        <v>2</v>
      </c>
      <c r="KF163" s="563">
        <v>0</v>
      </c>
      <c r="KG163" s="563">
        <v>0</v>
      </c>
      <c r="KH163" s="563">
        <v>0</v>
      </c>
      <c r="KI163" s="650">
        <v>38010.412140982568</v>
      </c>
      <c r="KJ163" s="563">
        <v>0</v>
      </c>
      <c r="KK163" s="563">
        <v>0</v>
      </c>
      <c r="KL163" s="563">
        <v>0</v>
      </c>
      <c r="KM163" s="650">
        <v>37031.133480119439</v>
      </c>
      <c r="KN163" s="564">
        <v>4000</v>
      </c>
      <c r="KO163" s="566">
        <v>97.808251281762224</v>
      </c>
    </row>
    <row r="164" spans="1:301" ht="15" customHeight="1">
      <c r="A164" s="663" t="s">
        <v>913</v>
      </c>
      <c r="B164" s="629" t="s">
        <v>382</v>
      </c>
      <c r="C164" s="629">
        <v>150</v>
      </c>
      <c r="D164" s="629">
        <v>467</v>
      </c>
      <c r="E164" s="629">
        <v>106</v>
      </c>
      <c r="F164" s="629">
        <v>150</v>
      </c>
      <c r="G164" s="629">
        <v>39</v>
      </c>
      <c r="H164" s="629">
        <v>25</v>
      </c>
      <c r="I164" s="629">
        <v>25</v>
      </c>
      <c r="J164" s="629">
        <v>41.7</v>
      </c>
      <c r="K164" s="629">
        <v>75.3</v>
      </c>
      <c r="L164" s="629">
        <v>16</v>
      </c>
      <c r="M164" s="629">
        <v>175</v>
      </c>
      <c r="N164" s="629">
        <v>2</v>
      </c>
      <c r="O164" s="623">
        <v>2.5506528708040621</v>
      </c>
      <c r="P164" s="629">
        <v>2</v>
      </c>
      <c r="Q164" s="623">
        <v>1.5784217140585468</v>
      </c>
      <c r="R164" s="629">
        <v>13.000000000000002</v>
      </c>
      <c r="S164" s="629">
        <v>300.1367369266776</v>
      </c>
      <c r="T164" s="645">
        <v>7.2200665994552882</v>
      </c>
      <c r="U164" s="645">
        <v>45.020510539001641</v>
      </c>
      <c r="V164" s="645">
        <v>47.5</v>
      </c>
      <c r="W164" s="793">
        <v>0.44517958720199069</v>
      </c>
      <c r="X164" s="646">
        <v>0</v>
      </c>
      <c r="Y164" s="646">
        <v>0</v>
      </c>
      <c r="Z164" s="646">
        <v>0</v>
      </c>
      <c r="AA164" s="646">
        <v>0</v>
      </c>
      <c r="AB164" s="647">
        <v>0.53037286101634595</v>
      </c>
      <c r="AC164" s="784">
        <v>4000</v>
      </c>
      <c r="AD164" s="631">
        <v>3.3922636772047023</v>
      </c>
      <c r="AE164" s="631">
        <v>0.89096749997187596</v>
      </c>
      <c r="AF164" s="631">
        <v>-0.11932806106772492</v>
      </c>
      <c r="AG164" s="631">
        <v>0.79382766686075013</v>
      </c>
      <c r="AH164" s="629"/>
      <c r="AI164" s="648">
        <v>0.78980388287585934</v>
      </c>
      <c r="AJ164" s="649">
        <v>1.6485000000000003</v>
      </c>
      <c r="AK164" s="646">
        <v>13.442820771519889</v>
      </c>
      <c r="AL164" s="646">
        <v>0</v>
      </c>
      <c r="AM164" s="646">
        <v>0</v>
      </c>
      <c r="AN164" s="646">
        <v>10.671453857406993</v>
      </c>
      <c r="AO164" s="646">
        <v>0.26479522612084538</v>
      </c>
      <c r="AP164" s="801">
        <v>3600</v>
      </c>
      <c r="AQ164" s="563" t="s">
        <v>71</v>
      </c>
      <c r="AR164" s="563">
        <v>3</v>
      </c>
      <c r="AS164" s="563">
        <v>0</v>
      </c>
      <c r="AT164" s="563">
        <v>0</v>
      </c>
      <c r="AU164" s="563">
        <v>0</v>
      </c>
      <c r="AV164" s="650">
        <v>34805.963794802345</v>
      </c>
      <c r="AW164" s="563">
        <v>0</v>
      </c>
      <c r="AX164" s="563">
        <v>0</v>
      </c>
      <c r="AY164" s="563">
        <v>0</v>
      </c>
      <c r="AZ164" s="650">
        <v>42555.70841917846</v>
      </c>
      <c r="BA164" s="564">
        <v>4000</v>
      </c>
      <c r="BB164" s="565">
        <v>97.808251281762224</v>
      </c>
      <c r="BC164" s="649">
        <v>1.6485000000000003</v>
      </c>
      <c r="BD164" s="646">
        <v>13.442820771519889</v>
      </c>
      <c r="BE164" s="646">
        <v>0</v>
      </c>
      <c r="BF164" s="646">
        <v>0</v>
      </c>
      <c r="BG164" s="646">
        <v>10.671453857406993</v>
      </c>
      <c r="BH164" s="646">
        <v>0.26479522612084538</v>
      </c>
      <c r="BI164" s="646">
        <v>3600</v>
      </c>
      <c r="BJ164" s="563" t="s">
        <v>71</v>
      </c>
      <c r="BK164" s="563">
        <v>3</v>
      </c>
      <c r="BL164" s="563">
        <v>0</v>
      </c>
      <c r="BM164" s="563">
        <v>0</v>
      </c>
      <c r="BN164" s="563">
        <v>0</v>
      </c>
      <c r="BO164" s="650">
        <v>34805.963794802345</v>
      </c>
      <c r="BP164" s="563">
        <v>0</v>
      </c>
      <c r="BQ164" s="563">
        <v>0</v>
      </c>
      <c r="BR164" s="563">
        <v>0</v>
      </c>
      <c r="BS164" s="650">
        <v>42555.70841917846</v>
      </c>
      <c r="BT164" s="564">
        <v>4000</v>
      </c>
      <c r="BU164" s="565">
        <v>97.808251281762224</v>
      </c>
      <c r="BV164" s="649">
        <v>1.0990000000000002</v>
      </c>
      <c r="BW164" s="646">
        <v>12.893320771519889</v>
      </c>
      <c r="BX164" s="646">
        <v>0</v>
      </c>
      <c r="BY164" s="646">
        <v>0</v>
      </c>
      <c r="BZ164" s="646">
        <v>10.593523111468031</v>
      </c>
      <c r="CA164" s="646">
        <v>0.24826976918334537</v>
      </c>
      <c r="CB164" s="646">
        <v>3600</v>
      </c>
      <c r="CC164" s="563" t="s">
        <v>1584</v>
      </c>
      <c r="CD164" s="563">
        <v>2</v>
      </c>
      <c r="CE164" s="563">
        <v>0</v>
      </c>
      <c r="CF164" s="563">
        <v>0</v>
      </c>
      <c r="CG164" s="563">
        <v>0</v>
      </c>
      <c r="CH164" s="650">
        <v>21605.063528178598</v>
      </c>
      <c r="CI164" s="563">
        <v>0</v>
      </c>
      <c r="CJ164" s="563">
        <v>0</v>
      </c>
      <c r="CK164" s="563">
        <v>0</v>
      </c>
      <c r="CL164" s="650">
        <v>21048.442947446012</v>
      </c>
      <c r="CM164" s="564">
        <v>4000</v>
      </c>
      <c r="CN164" s="565">
        <v>97.808251281762224</v>
      </c>
      <c r="CO164" s="649">
        <v>1.0990000000000002</v>
      </c>
      <c r="CP164" s="646">
        <v>12.893320771519889</v>
      </c>
      <c r="CQ164" s="646">
        <v>0</v>
      </c>
      <c r="CR164" s="646">
        <v>0</v>
      </c>
      <c r="CS164" s="646">
        <v>10.593523111468031</v>
      </c>
      <c r="CT164" s="646">
        <v>0.24826976918334537</v>
      </c>
      <c r="CU164" s="646">
        <v>3600</v>
      </c>
      <c r="CV164" s="563" t="s">
        <v>1584</v>
      </c>
      <c r="CW164" s="563">
        <v>2</v>
      </c>
      <c r="CX164" s="563">
        <v>0</v>
      </c>
      <c r="CY164" s="563">
        <v>0</v>
      </c>
      <c r="CZ164" s="563">
        <v>0</v>
      </c>
      <c r="DA164" s="650">
        <v>21605.063528178598</v>
      </c>
      <c r="DB164" s="563">
        <v>0</v>
      </c>
      <c r="DC164" s="563">
        <v>0</v>
      </c>
      <c r="DD164" s="563">
        <v>0</v>
      </c>
      <c r="DE164" s="650">
        <v>21048.442947446012</v>
      </c>
      <c r="DF164" s="564">
        <v>4000</v>
      </c>
      <c r="DG164" s="565">
        <v>97.808251281762224</v>
      </c>
      <c r="DH164" s="649">
        <v>1.0990000000000002</v>
      </c>
      <c r="DI164" s="646">
        <v>12.893320771519889</v>
      </c>
      <c r="DJ164" s="646">
        <v>0</v>
      </c>
      <c r="DK164" s="646">
        <v>0</v>
      </c>
      <c r="DL164" s="646">
        <v>10.593523111468031</v>
      </c>
      <c r="DM164" s="646">
        <v>0.24826976918334537</v>
      </c>
      <c r="DN164" s="646">
        <v>3600</v>
      </c>
      <c r="DO164" s="563" t="s">
        <v>1585</v>
      </c>
      <c r="DP164" s="563">
        <v>2</v>
      </c>
      <c r="DQ164" s="563">
        <v>0</v>
      </c>
      <c r="DR164" s="563">
        <v>0</v>
      </c>
      <c r="DS164" s="563">
        <v>0</v>
      </c>
      <c r="DT164" s="650">
        <v>23096.784440556505</v>
      </c>
      <c r="DU164" s="563">
        <v>0</v>
      </c>
      <c r="DV164" s="563">
        <v>0</v>
      </c>
      <c r="DW164" s="563">
        <v>0</v>
      </c>
      <c r="DX164" s="650">
        <v>22501.732009809435</v>
      </c>
      <c r="DY164" s="564">
        <v>4000</v>
      </c>
      <c r="DZ164" s="565">
        <v>97.808251281762224</v>
      </c>
      <c r="EA164" s="649">
        <v>1.0990000000000002</v>
      </c>
      <c r="EB164" s="646">
        <v>12.893320771519889</v>
      </c>
      <c r="EC164" s="646">
        <v>0</v>
      </c>
      <c r="ED164" s="646">
        <v>0</v>
      </c>
      <c r="EE164" s="646">
        <v>10.593523111468031</v>
      </c>
      <c r="EF164" s="646">
        <v>0.24826976918334537</v>
      </c>
      <c r="EG164" s="646">
        <v>3600</v>
      </c>
      <c r="EH164" s="563" t="s">
        <v>1585</v>
      </c>
      <c r="EI164" s="563">
        <v>2</v>
      </c>
      <c r="EJ164" s="563">
        <v>0</v>
      </c>
      <c r="EK164" s="563">
        <v>0</v>
      </c>
      <c r="EL164" s="563">
        <v>0</v>
      </c>
      <c r="EM164" s="650">
        <v>23096.784440556505</v>
      </c>
      <c r="EN164" s="563">
        <v>0</v>
      </c>
      <c r="EO164" s="563">
        <v>0</v>
      </c>
      <c r="EP164" s="563">
        <v>0</v>
      </c>
      <c r="EQ164" s="650">
        <v>22501.732009809435</v>
      </c>
      <c r="ER164" s="564">
        <v>4000</v>
      </c>
      <c r="ES164" s="565">
        <v>97.808251281762224</v>
      </c>
      <c r="ET164" s="649">
        <v>1.0990000000000002</v>
      </c>
      <c r="EU164" s="646">
        <v>12.893320771519889</v>
      </c>
      <c r="EV164" s="646">
        <v>0</v>
      </c>
      <c r="EW164" s="646">
        <v>0</v>
      </c>
      <c r="EX164" s="646">
        <v>10.593523111468031</v>
      </c>
      <c r="EY164" s="646">
        <v>0.24826976918334537</v>
      </c>
      <c r="EZ164" s="646">
        <v>3600</v>
      </c>
      <c r="FA164" s="563" t="s">
        <v>1586</v>
      </c>
      <c r="FB164" s="563">
        <v>2</v>
      </c>
      <c r="FC164" s="563">
        <v>0</v>
      </c>
      <c r="FD164" s="563">
        <v>0</v>
      </c>
      <c r="FE164" s="563">
        <v>0</v>
      </c>
      <c r="FF164" s="650">
        <v>23573.056907679111</v>
      </c>
      <c r="FG164" s="563">
        <v>0</v>
      </c>
      <c r="FH164" s="563">
        <v>0</v>
      </c>
      <c r="FI164" s="563">
        <v>0</v>
      </c>
      <c r="FJ164" s="650">
        <v>22965.734063715787</v>
      </c>
      <c r="FK164" s="564">
        <v>4000</v>
      </c>
      <c r="FL164" s="565">
        <v>97.808251281762224</v>
      </c>
      <c r="FM164" s="649">
        <v>1.0990000000000002</v>
      </c>
      <c r="FN164" s="646">
        <v>12.893320771519889</v>
      </c>
      <c r="FO164" s="646">
        <v>0</v>
      </c>
      <c r="FP164" s="646">
        <v>0</v>
      </c>
      <c r="FQ164" s="646">
        <v>10.593523111468031</v>
      </c>
      <c r="FR164" s="646">
        <v>0.24826976918334537</v>
      </c>
      <c r="FS164" s="646">
        <v>3600</v>
      </c>
      <c r="FT164" s="563" t="s">
        <v>1586</v>
      </c>
      <c r="FU164" s="563">
        <v>2</v>
      </c>
      <c r="FV164" s="563">
        <v>0</v>
      </c>
      <c r="FW164" s="563">
        <v>0</v>
      </c>
      <c r="FX164" s="563">
        <v>0</v>
      </c>
      <c r="FY164" s="650">
        <v>23573.056907679111</v>
      </c>
      <c r="FZ164" s="563">
        <v>0</v>
      </c>
      <c r="GA164" s="563">
        <v>0</v>
      </c>
      <c r="GB164" s="563">
        <v>0</v>
      </c>
      <c r="GC164" s="650">
        <v>22965.734063715787</v>
      </c>
      <c r="GD164" s="564">
        <v>4000</v>
      </c>
      <c r="GE164" s="565">
        <v>97.808251281762224</v>
      </c>
      <c r="GF164" s="649">
        <v>1.0990000000000002</v>
      </c>
      <c r="GG164" s="646">
        <v>12.893320771519889</v>
      </c>
      <c r="GH164" s="646">
        <v>0</v>
      </c>
      <c r="GI164" s="646">
        <v>0</v>
      </c>
      <c r="GJ164" s="646">
        <v>10.593523111468031</v>
      </c>
      <c r="GK164" s="646">
        <v>0.24826976918334537</v>
      </c>
      <c r="GL164" s="646">
        <v>3600</v>
      </c>
      <c r="GM164" s="563" t="s">
        <v>1587</v>
      </c>
      <c r="GN164" s="563">
        <v>2</v>
      </c>
      <c r="GO164" s="563">
        <v>0</v>
      </c>
      <c r="GP164" s="563">
        <v>0</v>
      </c>
      <c r="GQ164" s="563">
        <v>0</v>
      </c>
      <c r="GR164" s="650">
        <v>31626.574609828192</v>
      </c>
      <c r="GS164" s="563">
        <v>0</v>
      </c>
      <c r="GT164" s="563">
        <v>0</v>
      </c>
      <c r="GU164" s="563">
        <v>0</v>
      </c>
      <c r="GV164" s="650">
        <v>30811.765511803918</v>
      </c>
      <c r="GW164" s="564">
        <v>4000</v>
      </c>
      <c r="GX164" s="565">
        <v>97.808251281762224</v>
      </c>
      <c r="GY164" s="649">
        <v>1.0990000000000002</v>
      </c>
      <c r="GZ164" s="646">
        <v>12.893320771519889</v>
      </c>
      <c r="HA164" s="646">
        <v>0</v>
      </c>
      <c r="HB164" s="646">
        <v>0</v>
      </c>
      <c r="HC164" s="646">
        <v>10.593523111468031</v>
      </c>
      <c r="HD164" s="646">
        <v>0.24826976918334537</v>
      </c>
      <c r="HE164" s="646">
        <v>3600</v>
      </c>
      <c r="HF164" s="563" t="s">
        <v>1587</v>
      </c>
      <c r="HG164" s="563">
        <v>2</v>
      </c>
      <c r="HH164" s="563">
        <v>0</v>
      </c>
      <c r="HI164" s="563">
        <v>0</v>
      </c>
      <c r="HJ164" s="563">
        <v>0</v>
      </c>
      <c r="HK164" s="650">
        <v>31626.574609828192</v>
      </c>
      <c r="HL164" s="563">
        <v>0</v>
      </c>
      <c r="HM164" s="563">
        <v>0</v>
      </c>
      <c r="HN164" s="563">
        <v>0</v>
      </c>
      <c r="HO164" s="650">
        <v>30811.765511803918</v>
      </c>
      <c r="HP164" s="564">
        <v>4000</v>
      </c>
      <c r="HQ164" s="565">
        <v>97.808251281762224</v>
      </c>
      <c r="HR164" s="649">
        <v>1.0990000000000002</v>
      </c>
      <c r="HS164" s="646">
        <v>12.893320771519889</v>
      </c>
      <c r="HT164" s="646">
        <v>0</v>
      </c>
      <c r="HU164" s="646">
        <v>0</v>
      </c>
      <c r="HV164" s="646">
        <v>10.593523111468031</v>
      </c>
      <c r="HW164" s="646">
        <v>0.24826976918334537</v>
      </c>
      <c r="HX164" s="646">
        <v>3600</v>
      </c>
      <c r="HY164" s="563" t="s">
        <v>68</v>
      </c>
      <c r="HZ164" s="563">
        <v>2</v>
      </c>
      <c r="IA164" s="563">
        <v>0</v>
      </c>
      <c r="IB164" s="563">
        <v>0</v>
      </c>
      <c r="IC164" s="563">
        <v>0</v>
      </c>
      <c r="ID164" s="650">
        <v>27892.017079478264</v>
      </c>
      <c r="IE164" s="563">
        <v>0</v>
      </c>
      <c r="IF164" s="563">
        <v>0</v>
      </c>
      <c r="IG164" s="563">
        <v>0</v>
      </c>
      <c r="IH164" s="650">
        <v>27173.422999689985</v>
      </c>
      <c r="II164" s="564">
        <v>4000</v>
      </c>
      <c r="IJ164" s="565">
        <v>97.808251281762224</v>
      </c>
      <c r="IK164" s="649">
        <v>1.0990000000000002</v>
      </c>
      <c r="IL164" s="646">
        <v>12.893320771519889</v>
      </c>
      <c r="IM164" s="646">
        <v>0</v>
      </c>
      <c r="IN164" s="646">
        <v>0</v>
      </c>
      <c r="IO164" s="646">
        <v>10.593523111468031</v>
      </c>
      <c r="IP164" s="646">
        <v>0.24826976918334537</v>
      </c>
      <c r="IQ164" s="646">
        <v>3600</v>
      </c>
      <c r="IR164" s="563" t="s">
        <v>68</v>
      </c>
      <c r="IS164" s="563">
        <v>2</v>
      </c>
      <c r="IT164" s="563">
        <v>0</v>
      </c>
      <c r="IU164" s="563">
        <v>0</v>
      </c>
      <c r="IV164" s="563">
        <v>0</v>
      </c>
      <c r="IW164" s="650">
        <v>27892.017079478264</v>
      </c>
      <c r="IX164" s="563">
        <v>0</v>
      </c>
      <c r="IY164" s="563">
        <v>0</v>
      </c>
      <c r="IZ164" s="563">
        <v>0</v>
      </c>
      <c r="JA164" s="650">
        <v>27173.422999689985</v>
      </c>
      <c r="JB164" s="564">
        <v>4000</v>
      </c>
      <c r="JC164" s="565">
        <v>97.808251281762224</v>
      </c>
      <c r="JD164" s="649">
        <v>1.0990000000000002</v>
      </c>
      <c r="JE164" s="646">
        <v>12.893320771519889</v>
      </c>
      <c r="JF164" s="646">
        <v>0</v>
      </c>
      <c r="JG164" s="646">
        <v>0</v>
      </c>
      <c r="JH164" s="646">
        <v>10.593523111468031</v>
      </c>
      <c r="JI164" s="646">
        <v>0.24826976918334537</v>
      </c>
      <c r="JJ164" s="646">
        <v>3600</v>
      </c>
      <c r="JK164" s="563" t="s">
        <v>67</v>
      </c>
      <c r="JL164" s="563">
        <v>2</v>
      </c>
      <c r="JM164" s="563">
        <v>0</v>
      </c>
      <c r="JN164" s="563">
        <v>0</v>
      </c>
      <c r="JO164" s="563">
        <v>0</v>
      </c>
      <c r="JP164" s="650">
        <v>38010.412140982568</v>
      </c>
      <c r="JQ164" s="563">
        <v>0</v>
      </c>
      <c r="JR164" s="563">
        <v>0</v>
      </c>
      <c r="JS164" s="563">
        <v>0</v>
      </c>
      <c r="JT164" s="650">
        <v>37031.133480119439</v>
      </c>
      <c r="JU164" s="564">
        <v>4000</v>
      </c>
      <c r="JV164" s="565">
        <v>97.808251281762224</v>
      </c>
      <c r="JW164" s="649">
        <v>1.0990000000000002</v>
      </c>
      <c r="JX164" s="646">
        <v>12.893320771519889</v>
      </c>
      <c r="JY164" s="646">
        <v>0</v>
      </c>
      <c r="JZ164" s="646">
        <v>0</v>
      </c>
      <c r="KA164" s="646">
        <v>10.593523111468031</v>
      </c>
      <c r="KB164" s="646">
        <v>0.24826976918334537</v>
      </c>
      <c r="KC164" s="646">
        <v>3600</v>
      </c>
      <c r="KD164" s="563" t="s">
        <v>67</v>
      </c>
      <c r="KE164" s="563">
        <v>2</v>
      </c>
      <c r="KF164" s="563">
        <v>0</v>
      </c>
      <c r="KG164" s="563">
        <v>0</v>
      </c>
      <c r="KH164" s="563">
        <v>0</v>
      </c>
      <c r="KI164" s="650">
        <v>38010.412140982568</v>
      </c>
      <c r="KJ164" s="563">
        <v>0</v>
      </c>
      <c r="KK164" s="563">
        <v>0</v>
      </c>
      <c r="KL164" s="563">
        <v>0</v>
      </c>
      <c r="KM164" s="650">
        <v>37031.133480119439</v>
      </c>
      <c r="KN164" s="564">
        <v>4000</v>
      </c>
      <c r="KO164" s="566">
        <v>97.808251281762224</v>
      </c>
    </row>
    <row r="165" spans="1:301" ht="15" customHeight="1">
      <c r="A165" s="663" t="s">
        <v>914</v>
      </c>
      <c r="B165" s="629" t="s">
        <v>382</v>
      </c>
      <c r="C165" s="629">
        <v>150</v>
      </c>
      <c r="D165" s="629">
        <v>467</v>
      </c>
      <c r="E165" s="629">
        <v>156</v>
      </c>
      <c r="F165" s="629">
        <v>150</v>
      </c>
      <c r="G165" s="629">
        <v>44</v>
      </c>
      <c r="H165" s="629">
        <v>30</v>
      </c>
      <c r="I165" s="629">
        <v>30</v>
      </c>
      <c r="J165" s="629">
        <v>41.7</v>
      </c>
      <c r="K165" s="629">
        <v>75.3</v>
      </c>
      <c r="L165" s="629">
        <v>16</v>
      </c>
      <c r="M165" s="629">
        <v>175</v>
      </c>
      <c r="N165" s="629">
        <v>2</v>
      </c>
      <c r="O165" s="623">
        <v>2.3891200305381091</v>
      </c>
      <c r="P165" s="629">
        <v>2</v>
      </c>
      <c r="Q165" s="623">
        <v>1.584771130785082</v>
      </c>
      <c r="R165" s="629">
        <v>13.000000000000002</v>
      </c>
      <c r="S165" s="629">
        <v>299.27768956812326</v>
      </c>
      <c r="T165" s="645">
        <v>7.1787953907328088</v>
      </c>
      <c r="U165" s="645">
        <v>44.891653435218487</v>
      </c>
      <c r="V165" s="645">
        <v>47.5</v>
      </c>
      <c r="W165" s="793">
        <v>0.44263486002955887</v>
      </c>
      <c r="X165" s="646">
        <v>0</v>
      </c>
      <c r="Y165" s="646">
        <v>0</v>
      </c>
      <c r="Z165" s="646">
        <v>0</v>
      </c>
      <c r="AA165" s="646">
        <v>0</v>
      </c>
      <c r="AB165" s="647">
        <v>0.59193664555738279</v>
      </c>
      <c r="AC165" s="784">
        <v>4000</v>
      </c>
      <c r="AD165" s="631">
        <v>3.3922636772047023</v>
      </c>
      <c r="AE165" s="631">
        <v>0.89096749997187596</v>
      </c>
      <c r="AF165" s="631">
        <v>-0.13454108041600168</v>
      </c>
      <c r="AG165" s="631">
        <v>0.79382766686075013</v>
      </c>
      <c r="AH165" s="629"/>
      <c r="AI165" s="648">
        <v>0.81780388287585937</v>
      </c>
      <c r="AJ165" s="649">
        <v>1.9782000000000002</v>
      </c>
      <c r="AK165" s="646">
        <v>13.573521412085558</v>
      </c>
      <c r="AL165" s="646">
        <v>0</v>
      </c>
      <c r="AM165" s="646">
        <v>0</v>
      </c>
      <c r="AN165" s="646">
        <v>11.795474081607059</v>
      </c>
      <c r="AO165" s="646">
        <v>0.27320803552580991</v>
      </c>
      <c r="AP165" s="801">
        <v>3600</v>
      </c>
      <c r="AQ165" s="563" t="s">
        <v>71</v>
      </c>
      <c r="AR165" s="563">
        <v>3</v>
      </c>
      <c r="AS165" s="563">
        <v>0</v>
      </c>
      <c r="AT165" s="563">
        <v>0</v>
      </c>
      <c r="AU165" s="563">
        <v>0</v>
      </c>
      <c r="AV165" s="650">
        <v>26492.791922289573</v>
      </c>
      <c r="AW165" s="563">
        <v>0</v>
      </c>
      <c r="AX165" s="563">
        <v>0</v>
      </c>
      <c r="AY165" s="563">
        <v>0</v>
      </c>
      <c r="AZ165" s="650">
        <v>29696.435255365683</v>
      </c>
      <c r="BA165" s="564">
        <v>4000</v>
      </c>
      <c r="BB165" s="565">
        <v>97.808251281762224</v>
      </c>
      <c r="BC165" s="649">
        <v>1.9782000000000002</v>
      </c>
      <c r="BD165" s="646">
        <v>13.573521412085558</v>
      </c>
      <c r="BE165" s="646">
        <v>0</v>
      </c>
      <c r="BF165" s="646">
        <v>0</v>
      </c>
      <c r="BG165" s="646">
        <v>11.795474081607059</v>
      </c>
      <c r="BH165" s="646">
        <v>0.27320803552580991</v>
      </c>
      <c r="BI165" s="646">
        <v>3600</v>
      </c>
      <c r="BJ165" s="563" t="s">
        <v>71</v>
      </c>
      <c r="BK165" s="563">
        <v>3</v>
      </c>
      <c r="BL165" s="563">
        <v>0</v>
      </c>
      <c r="BM165" s="563">
        <v>0</v>
      </c>
      <c r="BN165" s="563">
        <v>0</v>
      </c>
      <c r="BO165" s="650">
        <v>26492.791922289573</v>
      </c>
      <c r="BP165" s="563">
        <v>0</v>
      </c>
      <c r="BQ165" s="563">
        <v>0</v>
      </c>
      <c r="BR165" s="563">
        <v>0</v>
      </c>
      <c r="BS165" s="650">
        <v>29696.435255365683</v>
      </c>
      <c r="BT165" s="564">
        <v>4000</v>
      </c>
      <c r="BU165" s="565">
        <v>97.808251281762224</v>
      </c>
      <c r="BV165" s="649">
        <v>1.3188000000000002</v>
      </c>
      <c r="BW165" s="646">
        <v>12.914121412085558</v>
      </c>
      <c r="BX165" s="646">
        <v>0</v>
      </c>
      <c r="BY165" s="646">
        <v>0</v>
      </c>
      <c r="BZ165" s="646">
        <v>11.631849757260008</v>
      </c>
      <c r="CA165" s="646">
        <v>0.25337748720080994</v>
      </c>
      <c r="CB165" s="646">
        <v>3600</v>
      </c>
      <c r="CC165" s="563" t="s">
        <v>1584</v>
      </c>
      <c r="CD165" s="563">
        <v>2</v>
      </c>
      <c r="CE165" s="563">
        <v>0</v>
      </c>
      <c r="CF165" s="563">
        <v>0</v>
      </c>
      <c r="CG165" s="563">
        <v>0</v>
      </c>
      <c r="CH165" s="650">
        <v>16911.140519873177</v>
      </c>
      <c r="CI165" s="563">
        <v>0</v>
      </c>
      <c r="CJ165" s="563">
        <v>0</v>
      </c>
      <c r="CK165" s="563">
        <v>0</v>
      </c>
      <c r="CL165" s="650">
        <v>16475.451504459626</v>
      </c>
      <c r="CM165" s="564">
        <v>4000</v>
      </c>
      <c r="CN165" s="565">
        <v>97.808251281762224</v>
      </c>
      <c r="CO165" s="649">
        <v>1.3188000000000002</v>
      </c>
      <c r="CP165" s="646">
        <v>12.914121412085558</v>
      </c>
      <c r="CQ165" s="646">
        <v>0</v>
      </c>
      <c r="CR165" s="646">
        <v>0</v>
      </c>
      <c r="CS165" s="646">
        <v>11.631849757260008</v>
      </c>
      <c r="CT165" s="646">
        <v>0.25337748720080994</v>
      </c>
      <c r="CU165" s="646">
        <v>3600</v>
      </c>
      <c r="CV165" s="563" t="s">
        <v>1584</v>
      </c>
      <c r="CW165" s="563">
        <v>2</v>
      </c>
      <c r="CX165" s="563">
        <v>0</v>
      </c>
      <c r="CY165" s="563">
        <v>0</v>
      </c>
      <c r="CZ165" s="563">
        <v>0</v>
      </c>
      <c r="DA165" s="650">
        <v>16911.140519873177</v>
      </c>
      <c r="DB165" s="563">
        <v>0</v>
      </c>
      <c r="DC165" s="563">
        <v>0</v>
      </c>
      <c r="DD165" s="563">
        <v>0</v>
      </c>
      <c r="DE165" s="650">
        <v>16475.451504459626</v>
      </c>
      <c r="DF165" s="564">
        <v>4000</v>
      </c>
      <c r="DG165" s="565">
        <v>97.808251281762224</v>
      </c>
      <c r="DH165" s="649">
        <v>1.3188000000000002</v>
      </c>
      <c r="DI165" s="646">
        <v>12.914121412085558</v>
      </c>
      <c r="DJ165" s="646">
        <v>0</v>
      </c>
      <c r="DK165" s="646">
        <v>0</v>
      </c>
      <c r="DL165" s="646">
        <v>11.631849757260008</v>
      </c>
      <c r="DM165" s="646">
        <v>0.25337748720080994</v>
      </c>
      <c r="DN165" s="646">
        <v>3600</v>
      </c>
      <c r="DO165" s="563" t="s">
        <v>1585</v>
      </c>
      <c r="DP165" s="563">
        <v>2</v>
      </c>
      <c r="DQ165" s="563">
        <v>0</v>
      </c>
      <c r="DR165" s="563">
        <v>0</v>
      </c>
      <c r="DS165" s="563">
        <v>0</v>
      </c>
      <c r="DT165" s="650">
        <v>18078.769670023827</v>
      </c>
      <c r="DU165" s="563">
        <v>0</v>
      </c>
      <c r="DV165" s="563">
        <v>0</v>
      </c>
      <c r="DW165" s="563">
        <v>0</v>
      </c>
      <c r="DX165" s="650">
        <v>17612.998520604346</v>
      </c>
      <c r="DY165" s="564">
        <v>4000</v>
      </c>
      <c r="DZ165" s="565">
        <v>97.808251281762224</v>
      </c>
      <c r="EA165" s="649">
        <v>1.3188000000000002</v>
      </c>
      <c r="EB165" s="646">
        <v>12.914121412085558</v>
      </c>
      <c r="EC165" s="646">
        <v>0</v>
      </c>
      <c r="ED165" s="646">
        <v>0</v>
      </c>
      <c r="EE165" s="646">
        <v>11.631849757260008</v>
      </c>
      <c r="EF165" s="646">
        <v>0.25337748720080994</v>
      </c>
      <c r="EG165" s="646">
        <v>3600</v>
      </c>
      <c r="EH165" s="563" t="s">
        <v>1585</v>
      </c>
      <c r="EI165" s="563">
        <v>2</v>
      </c>
      <c r="EJ165" s="563">
        <v>0</v>
      </c>
      <c r="EK165" s="563">
        <v>0</v>
      </c>
      <c r="EL165" s="563">
        <v>0</v>
      </c>
      <c r="EM165" s="650">
        <v>18078.769670023827</v>
      </c>
      <c r="EN165" s="563">
        <v>0</v>
      </c>
      <c r="EO165" s="563">
        <v>0</v>
      </c>
      <c r="EP165" s="563">
        <v>0</v>
      </c>
      <c r="EQ165" s="650">
        <v>17612.998520604346</v>
      </c>
      <c r="ER165" s="564">
        <v>4000</v>
      </c>
      <c r="ES165" s="565">
        <v>97.808251281762224</v>
      </c>
      <c r="ET165" s="649">
        <v>1.3188000000000002</v>
      </c>
      <c r="EU165" s="646">
        <v>12.914121412085558</v>
      </c>
      <c r="EV165" s="646">
        <v>0</v>
      </c>
      <c r="EW165" s="646">
        <v>0</v>
      </c>
      <c r="EX165" s="646">
        <v>11.631849757260008</v>
      </c>
      <c r="EY165" s="646">
        <v>0.25337748720080994</v>
      </c>
      <c r="EZ165" s="646">
        <v>3600</v>
      </c>
      <c r="FA165" s="563" t="s">
        <v>1586</v>
      </c>
      <c r="FB165" s="563">
        <v>2</v>
      </c>
      <c r="FC165" s="563">
        <v>0</v>
      </c>
      <c r="FD165" s="563">
        <v>0</v>
      </c>
      <c r="FE165" s="563">
        <v>0</v>
      </c>
      <c r="FF165" s="650">
        <v>18451.567028692913</v>
      </c>
      <c r="FG165" s="563">
        <v>0</v>
      </c>
      <c r="FH165" s="563">
        <v>0</v>
      </c>
      <c r="FI165" s="563">
        <v>0</v>
      </c>
      <c r="FJ165" s="650">
        <v>17976.191339948178</v>
      </c>
      <c r="FK165" s="564">
        <v>4000</v>
      </c>
      <c r="FL165" s="565">
        <v>97.808251281762224</v>
      </c>
      <c r="FM165" s="649">
        <v>1.3188000000000002</v>
      </c>
      <c r="FN165" s="646">
        <v>12.914121412085558</v>
      </c>
      <c r="FO165" s="646">
        <v>0</v>
      </c>
      <c r="FP165" s="646">
        <v>0</v>
      </c>
      <c r="FQ165" s="646">
        <v>11.631849757260008</v>
      </c>
      <c r="FR165" s="646">
        <v>0.25337748720080994</v>
      </c>
      <c r="FS165" s="646">
        <v>3600</v>
      </c>
      <c r="FT165" s="563" t="s">
        <v>1586</v>
      </c>
      <c r="FU165" s="563">
        <v>2</v>
      </c>
      <c r="FV165" s="563">
        <v>0</v>
      </c>
      <c r="FW165" s="563">
        <v>0</v>
      </c>
      <c r="FX165" s="563">
        <v>0</v>
      </c>
      <c r="FY165" s="650">
        <v>18451.567028692913</v>
      </c>
      <c r="FZ165" s="563">
        <v>0</v>
      </c>
      <c r="GA165" s="563">
        <v>0</v>
      </c>
      <c r="GB165" s="563">
        <v>0</v>
      </c>
      <c r="GC165" s="650">
        <v>17976.191339948178</v>
      </c>
      <c r="GD165" s="564">
        <v>4000</v>
      </c>
      <c r="GE165" s="565">
        <v>97.808251281762224</v>
      </c>
      <c r="GF165" s="649">
        <v>1.3188000000000002</v>
      </c>
      <c r="GG165" s="646">
        <v>12.914121412085558</v>
      </c>
      <c r="GH165" s="646">
        <v>0</v>
      </c>
      <c r="GI165" s="646">
        <v>0</v>
      </c>
      <c r="GJ165" s="646">
        <v>11.631849757260008</v>
      </c>
      <c r="GK165" s="646">
        <v>0.25337748720080994</v>
      </c>
      <c r="GL165" s="646">
        <v>3600</v>
      </c>
      <c r="GM165" s="563" t="s">
        <v>1587</v>
      </c>
      <c r="GN165" s="563">
        <v>2</v>
      </c>
      <c r="GO165" s="563">
        <v>0</v>
      </c>
      <c r="GP165" s="563">
        <v>0</v>
      </c>
      <c r="GQ165" s="563">
        <v>0</v>
      </c>
      <c r="GR165" s="650">
        <v>24755.374900530664</v>
      </c>
      <c r="GS165" s="563">
        <v>0</v>
      </c>
      <c r="GT165" s="563">
        <v>0</v>
      </c>
      <c r="GU165" s="563">
        <v>0</v>
      </c>
      <c r="GV165" s="650">
        <v>24117.591487599802</v>
      </c>
      <c r="GW165" s="564">
        <v>4000</v>
      </c>
      <c r="GX165" s="565">
        <v>97.808251281762224</v>
      </c>
      <c r="GY165" s="649">
        <v>1.3188000000000002</v>
      </c>
      <c r="GZ165" s="646">
        <v>12.914121412085558</v>
      </c>
      <c r="HA165" s="646">
        <v>0</v>
      </c>
      <c r="HB165" s="646">
        <v>0</v>
      </c>
      <c r="HC165" s="646">
        <v>11.631849757260008</v>
      </c>
      <c r="HD165" s="646">
        <v>0.25337748720080994</v>
      </c>
      <c r="HE165" s="646">
        <v>3600</v>
      </c>
      <c r="HF165" s="563" t="s">
        <v>1587</v>
      </c>
      <c r="HG165" s="563">
        <v>2</v>
      </c>
      <c r="HH165" s="563">
        <v>0</v>
      </c>
      <c r="HI165" s="563">
        <v>0</v>
      </c>
      <c r="HJ165" s="563">
        <v>0</v>
      </c>
      <c r="HK165" s="650">
        <v>24755.374900530664</v>
      </c>
      <c r="HL165" s="563">
        <v>0</v>
      </c>
      <c r="HM165" s="563">
        <v>0</v>
      </c>
      <c r="HN165" s="563">
        <v>0</v>
      </c>
      <c r="HO165" s="650">
        <v>24117.591487599802</v>
      </c>
      <c r="HP165" s="564">
        <v>4000</v>
      </c>
      <c r="HQ165" s="565">
        <v>97.808251281762224</v>
      </c>
      <c r="HR165" s="649">
        <v>1.3188000000000002</v>
      </c>
      <c r="HS165" s="646">
        <v>12.914121412085558</v>
      </c>
      <c r="HT165" s="646">
        <v>0</v>
      </c>
      <c r="HU165" s="646">
        <v>0</v>
      </c>
      <c r="HV165" s="646">
        <v>11.631849757260008</v>
      </c>
      <c r="HW165" s="646">
        <v>0.25337748720080994</v>
      </c>
      <c r="HX165" s="646">
        <v>3600</v>
      </c>
      <c r="HY165" s="563" t="s">
        <v>68</v>
      </c>
      <c r="HZ165" s="563">
        <v>2</v>
      </c>
      <c r="IA165" s="563">
        <v>0</v>
      </c>
      <c r="IB165" s="563">
        <v>0</v>
      </c>
      <c r="IC165" s="563">
        <v>0</v>
      </c>
      <c r="ID165" s="650">
        <v>21832.188532973043</v>
      </c>
      <c r="IE165" s="563">
        <v>0</v>
      </c>
      <c r="IF165" s="563">
        <v>0</v>
      </c>
      <c r="IG165" s="563">
        <v>0</v>
      </c>
      <c r="IH165" s="650">
        <v>21269.716432673547</v>
      </c>
      <c r="II165" s="564">
        <v>4000</v>
      </c>
      <c r="IJ165" s="565">
        <v>97.808251281762224</v>
      </c>
      <c r="IK165" s="649">
        <v>1.3188000000000002</v>
      </c>
      <c r="IL165" s="646">
        <v>12.914121412085558</v>
      </c>
      <c r="IM165" s="646">
        <v>0</v>
      </c>
      <c r="IN165" s="646">
        <v>0</v>
      </c>
      <c r="IO165" s="646">
        <v>11.631849757260008</v>
      </c>
      <c r="IP165" s="646">
        <v>0.25337748720080994</v>
      </c>
      <c r="IQ165" s="646">
        <v>3600</v>
      </c>
      <c r="IR165" s="563" t="s">
        <v>68</v>
      </c>
      <c r="IS165" s="563">
        <v>2</v>
      </c>
      <c r="IT165" s="563">
        <v>0</v>
      </c>
      <c r="IU165" s="563">
        <v>0</v>
      </c>
      <c r="IV165" s="563">
        <v>0</v>
      </c>
      <c r="IW165" s="650">
        <v>21832.188532973043</v>
      </c>
      <c r="IX165" s="563">
        <v>0</v>
      </c>
      <c r="IY165" s="563">
        <v>0</v>
      </c>
      <c r="IZ165" s="563">
        <v>0</v>
      </c>
      <c r="JA165" s="650">
        <v>21269.716432673547</v>
      </c>
      <c r="JB165" s="564">
        <v>4000</v>
      </c>
      <c r="JC165" s="565">
        <v>97.808251281762224</v>
      </c>
      <c r="JD165" s="649">
        <v>1.3188000000000002</v>
      </c>
      <c r="JE165" s="646">
        <v>12.914121412085558</v>
      </c>
      <c r="JF165" s="646">
        <v>0</v>
      </c>
      <c r="JG165" s="646">
        <v>0</v>
      </c>
      <c r="JH165" s="646">
        <v>11.631849757260008</v>
      </c>
      <c r="JI165" s="646">
        <v>0.25337748720080994</v>
      </c>
      <c r="JJ165" s="646">
        <v>3600</v>
      </c>
      <c r="JK165" s="563" t="s">
        <v>67</v>
      </c>
      <c r="JL165" s="563">
        <v>2</v>
      </c>
      <c r="JM165" s="563">
        <v>0</v>
      </c>
      <c r="JN165" s="563">
        <v>0</v>
      </c>
      <c r="JO165" s="563">
        <v>0</v>
      </c>
      <c r="JP165" s="650">
        <v>29752.2578490659</v>
      </c>
      <c r="JQ165" s="563">
        <v>0</v>
      </c>
      <c r="JR165" s="563">
        <v>0</v>
      </c>
      <c r="JS165" s="563">
        <v>0</v>
      </c>
      <c r="JT165" s="650">
        <v>28985.737583072783</v>
      </c>
      <c r="JU165" s="564">
        <v>4000</v>
      </c>
      <c r="JV165" s="565">
        <v>97.808251281762224</v>
      </c>
      <c r="JW165" s="649">
        <v>1.3188000000000002</v>
      </c>
      <c r="JX165" s="646">
        <v>12.914121412085558</v>
      </c>
      <c r="JY165" s="646">
        <v>0</v>
      </c>
      <c r="JZ165" s="646">
        <v>0</v>
      </c>
      <c r="KA165" s="646">
        <v>11.631849757260008</v>
      </c>
      <c r="KB165" s="646">
        <v>0.25337748720080994</v>
      </c>
      <c r="KC165" s="646">
        <v>3600</v>
      </c>
      <c r="KD165" s="563" t="s">
        <v>67</v>
      </c>
      <c r="KE165" s="563">
        <v>2</v>
      </c>
      <c r="KF165" s="563">
        <v>0</v>
      </c>
      <c r="KG165" s="563">
        <v>0</v>
      </c>
      <c r="KH165" s="563">
        <v>0</v>
      </c>
      <c r="KI165" s="650">
        <v>29752.2578490659</v>
      </c>
      <c r="KJ165" s="563">
        <v>0</v>
      </c>
      <c r="KK165" s="563">
        <v>0</v>
      </c>
      <c r="KL165" s="563">
        <v>0</v>
      </c>
      <c r="KM165" s="650">
        <v>28985.737583072783</v>
      </c>
      <c r="KN165" s="564">
        <v>4000</v>
      </c>
      <c r="KO165" s="566">
        <v>97.808251281762224</v>
      </c>
    </row>
    <row r="166" spans="1:301" ht="15" customHeight="1">
      <c r="A166" s="663" t="s">
        <v>915</v>
      </c>
      <c r="B166" s="629" t="s">
        <v>382</v>
      </c>
      <c r="C166" s="629">
        <v>150</v>
      </c>
      <c r="D166" s="629">
        <v>467</v>
      </c>
      <c r="E166" s="629">
        <v>156</v>
      </c>
      <c r="F166" s="629">
        <v>150</v>
      </c>
      <c r="G166" s="629">
        <v>44</v>
      </c>
      <c r="H166" s="629">
        <v>30</v>
      </c>
      <c r="I166" s="629">
        <v>30</v>
      </c>
      <c r="J166" s="629">
        <v>38.630000000000003</v>
      </c>
      <c r="K166" s="629">
        <v>70.599999999999994</v>
      </c>
      <c r="L166" s="629">
        <v>16</v>
      </c>
      <c r="M166" s="629">
        <v>175</v>
      </c>
      <c r="N166" s="629">
        <v>2</v>
      </c>
      <c r="O166" s="623">
        <v>2.3891200305381091</v>
      </c>
      <c r="P166" s="629">
        <v>2</v>
      </c>
      <c r="Q166" s="623">
        <v>1.4384435070531458</v>
      </c>
      <c r="R166" s="629">
        <v>13.000000000000002</v>
      </c>
      <c r="S166" s="629">
        <v>318.48708279582752</v>
      </c>
      <c r="T166" s="645">
        <v>8.1299249449903961</v>
      </c>
      <c r="U166" s="645">
        <v>47.773062419374128</v>
      </c>
      <c r="V166" s="645">
        <v>47.5</v>
      </c>
      <c r="W166" s="793">
        <v>0.50128022797837413</v>
      </c>
      <c r="X166" s="646">
        <v>0</v>
      </c>
      <c r="Y166" s="646">
        <v>0</v>
      </c>
      <c r="Z166" s="646">
        <v>0</v>
      </c>
      <c r="AA166" s="646">
        <v>0</v>
      </c>
      <c r="AB166" s="647">
        <v>0.61940220274165336</v>
      </c>
      <c r="AC166" s="784">
        <v>4000</v>
      </c>
      <c r="AD166" s="631">
        <v>3.3696584722232341</v>
      </c>
      <c r="AE166" s="631">
        <v>0.79914714131217168</v>
      </c>
      <c r="AF166" s="631">
        <v>-0.12966028779014854</v>
      </c>
      <c r="AG166" s="631">
        <v>0.7089353887699863</v>
      </c>
      <c r="AH166" s="629"/>
      <c r="AI166" s="648">
        <v>0.81780388287585937</v>
      </c>
      <c r="AJ166" s="649">
        <v>1.9782000000000002</v>
      </c>
      <c r="AK166" s="646">
        <v>14.436968710560024</v>
      </c>
      <c r="AL166" s="646">
        <v>0</v>
      </c>
      <c r="AM166" s="646">
        <v>0</v>
      </c>
      <c r="AN166" s="646">
        <v>11.604580250809558</v>
      </c>
      <c r="AO166" s="646">
        <v>0.29242279804992077</v>
      </c>
      <c r="AP166" s="801">
        <v>3600</v>
      </c>
      <c r="AQ166" s="563" t="s">
        <v>71</v>
      </c>
      <c r="AR166" s="563">
        <v>3</v>
      </c>
      <c r="AS166" s="563">
        <v>0</v>
      </c>
      <c r="AT166" s="563">
        <v>0</v>
      </c>
      <c r="AU166" s="563">
        <v>0</v>
      </c>
      <c r="AV166" s="650">
        <v>21693.978958669322</v>
      </c>
      <c r="AW166" s="563">
        <v>0</v>
      </c>
      <c r="AX166" s="563">
        <v>0</v>
      </c>
      <c r="AY166" s="563">
        <v>0</v>
      </c>
      <c r="AZ166" s="650">
        <v>25956.117891710666</v>
      </c>
      <c r="BA166" s="564">
        <v>4000</v>
      </c>
      <c r="BB166" s="565">
        <v>97.808251281762224</v>
      </c>
      <c r="BC166" s="649">
        <v>1.9782000000000002</v>
      </c>
      <c r="BD166" s="646">
        <v>14.436968710560024</v>
      </c>
      <c r="BE166" s="646">
        <v>0</v>
      </c>
      <c r="BF166" s="646">
        <v>0</v>
      </c>
      <c r="BG166" s="646">
        <v>11.604580250809558</v>
      </c>
      <c r="BH166" s="646">
        <v>0.29242279804992077</v>
      </c>
      <c r="BI166" s="646">
        <v>3600</v>
      </c>
      <c r="BJ166" s="563" t="s">
        <v>71</v>
      </c>
      <c r="BK166" s="563">
        <v>3</v>
      </c>
      <c r="BL166" s="563">
        <v>0</v>
      </c>
      <c r="BM166" s="563">
        <v>0</v>
      </c>
      <c r="BN166" s="563">
        <v>0</v>
      </c>
      <c r="BO166" s="650">
        <v>21693.978958669322</v>
      </c>
      <c r="BP166" s="563">
        <v>0</v>
      </c>
      <c r="BQ166" s="563">
        <v>0</v>
      </c>
      <c r="BR166" s="563">
        <v>0</v>
      </c>
      <c r="BS166" s="650">
        <v>25956.117891710666</v>
      </c>
      <c r="BT166" s="564">
        <v>4000</v>
      </c>
      <c r="BU166" s="565">
        <v>97.808251281762224</v>
      </c>
      <c r="BV166" s="649">
        <v>1.3188000000000002</v>
      </c>
      <c r="BW166" s="646">
        <v>13.777568710560024</v>
      </c>
      <c r="BX166" s="646">
        <v>0</v>
      </c>
      <c r="BY166" s="646">
        <v>0</v>
      </c>
      <c r="BZ166" s="646">
        <v>11.442074091003576</v>
      </c>
      <c r="CA166" s="646">
        <v>0.2725922497249208</v>
      </c>
      <c r="CB166" s="646">
        <v>3600</v>
      </c>
      <c r="CC166" s="563" t="s">
        <v>1584</v>
      </c>
      <c r="CD166" s="563">
        <v>2</v>
      </c>
      <c r="CE166" s="563">
        <v>0</v>
      </c>
      <c r="CF166" s="563">
        <v>0</v>
      </c>
      <c r="CG166" s="563">
        <v>0</v>
      </c>
      <c r="CH166" s="650">
        <v>14689.853281356789</v>
      </c>
      <c r="CI166" s="563">
        <v>0</v>
      </c>
      <c r="CJ166" s="563">
        <v>0</v>
      </c>
      <c r="CK166" s="563">
        <v>0</v>
      </c>
      <c r="CL166" s="650">
        <v>14400.339902472748</v>
      </c>
      <c r="CM166" s="564">
        <v>4000</v>
      </c>
      <c r="CN166" s="565">
        <v>97.808251281762224</v>
      </c>
      <c r="CO166" s="649">
        <v>1.3188000000000002</v>
      </c>
      <c r="CP166" s="646">
        <v>13.777568710560024</v>
      </c>
      <c r="CQ166" s="646">
        <v>0</v>
      </c>
      <c r="CR166" s="646">
        <v>0</v>
      </c>
      <c r="CS166" s="646">
        <v>11.442074091003576</v>
      </c>
      <c r="CT166" s="646">
        <v>0.2725922497249208</v>
      </c>
      <c r="CU166" s="646">
        <v>3600</v>
      </c>
      <c r="CV166" s="563" t="s">
        <v>1584</v>
      </c>
      <c r="CW166" s="563">
        <v>2</v>
      </c>
      <c r="CX166" s="563">
        <v>0</v>
      </c>
      <c r="CY166" s="563">
        <v>0</v>
      </c>
      <c r="CZ166" s="563">
        <v>0</v>
      </c>
      <c r="DA166" s="650">
        <v>14689.853281356789</v>
      </c>
      <c r="DB166" s="563">
        <v>0</v>
      </c>
      <c r="DC166" s="563">
        <v>0</v>
      </c>
      <c r="DD166" s="563">
        <v>0</v>
      </c>
      <c r="DE166" s="650">
        <v>14400.339902472748</v>
      </c>
      <c r="DF166" s="564">
        <v>4000</v>
      </c>
      <c r="DG166" s="565">
        <v>97.808251281762224</v>
      </c>
      <c r="DH166" s="649">
        <v>1.3188000000000002</v>
      </c>
      <c r="DI166" s="646">
        <v>13.777568710560024</v>
      </c>
      <c r="DJ166" s="646">
        <v>0</v>
      </c>
      <c r="DK166" s="646">
        <v>0</v>
      </c>
      <c r="DL166" s="646">
        <v>11.442074091003576</v>
      </c>
      <c r="DM166" s="646">
        <v>0.2725922497249208</v>
      </c>
      <c r="DN166" s="646">
        <v>3600</v>
      </c>
      <c r="DO166" s="563" t="s">
        <v>1585</v>
      </c>
      <c r="DP166" s="563">
        <v>2</v>
      </c>
      <c r="DQ166" s="563">
        <v>0</v>
      </c>
      <c r="DR166" s="563">
        <v>0</v>
      </c>
      <c r="DS166" s="563">
        <v>0</v>
      </c>
      <c r="DT166" s="650">
        <v>15704.113725947102</v>
      </c>
      <c r="DU166" s="563">
        <v>0</v>
      </c>
      <c r="DV166" s="563">
        <v>0</v>
      </c>
      <c r="DW166" s="563">
        <v>0</v>
      </c>
      <c r="DX166" s="650">
        <v>15394.610905183623</v>
      </c>
      <c r="DY166" s="564">
        <v>4000</v>
      </c>
      <c r="DZ166" s="565">
        <v>97.808251281762224</v>
      </c>
      <c r="EA166" s="649">
        <v>1.3188000000000002</v>
      </c>
      <c r="EB166" s="646">
        <v>13.777568710560024</v>
      </c>
      <c r="EC166" s="646">
        <v>0</v>
      </c>
      <c r="ED166" s="646">
        <v>0</v>
      </c>
      <c r="EE166" s="646">
        <v>11.442074091003576</v>
      </c>
      <c r="EF166" s="646">
        <v>0.2725922497249208</v>
      </c>
      <c r="EG166" s="646">
        <v>3600</v>
      </c>
      <c r="EH166" s="563" t="s">
        <v>1585</v>
      </c>
      <c r="EI166" s="563">
        <v>2</v>
      </c>
      <c r="EJ166" s="563">
        <v>0</v>
      </c>
      <c r="EK166" s="563">
        <v>0</v>
      </c>
      <c r="EL166" s="563">
        <v>0</v>
      </c>
      <c r="EM166" s="650">
        <v>15704.113725947102</v>
      </c>
      <c r="EN166" s="563">
        <v>0</v>
      </c>
      <c r="EO166" s="563">
        <v>0</v>
      </c>
      <c r="EP166" s="563">
        <v>0</v>
      </c>
      <c r="EQ166" s="650">
        <v>15394.610905183623</v>
      </c>
      <c r="ER166" s="564">
        <v>4000</v>
      </c>
      <c r="ES166" s="565">
        <v>97.808251281762224</v>
      </c>
      <c r="ET166" s="649">
        <v>1.3188000000000002</v>
      </c>
      <c r="EU166" s="646">
        <v>13.777568710560024</v>
      </c>
      <c r="EV166" s="646">
        <v>0</v>
      </c>
      <c r="EW166" s="646">
        <v>0</v>
      </c>
      <c r="EX166" s="646">
        <v>11.442074091003576</v>
      </c>
      <c r="EY166" s="646">
        <v>0.2725922497249208</v>
      </c>
      <c r="EZ166" s="646">
        <v>3600</v>
      </c>
      <c r="FA166" s="563" t="s">
        <v>1586</v>
      </c>
      <c r="FB166" s="563">
        <v>2</v>
      </c>
      <c r="FC166" s="563">
        <v>0</v>
      </c>
      <c r="FD166" s="563">
        <v>0</v>
      </c>
      <c r="FE166" s="563">
        <v>0</v>
      </c>
      <c r="FF166" s="650">
        <v>16027.943954669647</v>
      </c>
      <c r="FG166" s="563">
        <v>0</v>
      </c>
      <c r="FH166" s="563">
        <v>0</v>
      </c>
      <c r="FI166" s="563">
        <v>0</v>
      </c>
      <c r="FJ166" s="650">
        <v>15712.058960993869</v>
      </c>
      <c r="FK166" s="564">
        <v>4000</v>
      </c>
      <c r="FL166" s="565">
        <v>97.808251281762224</v>
      </c>
      <c r="FM166" s="649">
        <v>1.3188000000000002</v>
      </c>
      <c r="FN166" s="646">
        <v>13.777568710560024</v>
      </c>
      <c r="FO166" s="646">
        <v>0</v>
      </c>
      <c r="FP166" s="646">
        <v>0</v>
      </c>
      <c r="FQ166" s="646">
        <v>11.442074091003576</v>
      </c>
      <c r="FR166" s="646">
        <v>0.2725922497249208</v>
      </c>
      <c r="FS166" s="646">
        <v>3600</v>
      </c>
      <c r="FT166" s="563" t="s">
        <v>1586</v>
      </c>
      <c r="FU166" s="563">
        <v>2</v>
      </c>
      <c r="FV166" s="563">
        <v>0</v>
      </c>
      <c r="FW166" s="563">
        <v>0</v>
      </c>
      <c r="FX166" s="563">
        <v>0</v>
      </c>
      <c r="FY166" s="650">
        <v>16027.943954669647</v>
      </c>
      <c r="FZ166" s="563">
        <v>0</v>
      </c>
      <c r="GA166" s="563">
        <v>0</v>
      </c>
      <c r="GB166" s="563">
        <v>0</v>
      </c>
      <c r="GC166" s="650">
        <v>15712.058960993869</v>
      </c>
      <c r="GD166" s="564">
        <v>4000</v>
      </c>
      <c r="GE166" s="565">
        <v>97.808251281762224</v>
      </c>
      <c r="GF166" s="649">
        <v>1.3188000000000002</v>
      </c>
      <c r="GG166" s="646">
        <v>13.777568710560024</v>
      </c>
      <c r="GH166" s="646">
        <v>0</v>
      </c>
      <c r="GI166" s="646">
        <v>0</v>
      </c>
      <c r="GJ166" s="646">
        <v>11.442074091003576</v>
      </c>
      <c r="GK166" s="646">
        <v>0.2725922497249208</v>
      </c>
      <c r="GL166" s="646">
        <v>3600</v>
      </c>
      <c r="GM166" s="563" t="s">
        <v>1587</v>
      </c>
      <c r="GN166" s="563">
        <v>2</v>
      </c>
      <c r="GO166" s="563">
        <v>0</v>
      </c>
      <c r="GP166" s="563">
        <v>0</v>
      </c>
      <c r="GQ166" s="563">
        <v>0</v>
      </c>
      <c r="GR166" s="650">
        <v>21503.743333309638</v>
      </c>
      <c r="GS166" s="563">
        <v>0</v>
      </c>
      <c r="GT166" s="563">
        <v>0</v>
      </c>
      <c r="GU166" s="563">
        <v>0</v>
      </c>
      <c r="GV166" s="650">
        <v>21079.939141956205</v>
      </c>
      <c r="GW166" s="564">
        <v>4000</v>
      </c>
      <c r="GX166" s="565">
        <v>97.808251281762224</v>
      </c>
      <c r="GY166" s="649">
        <v>1.3188000000000002</v>
      </c>
      <c r="GZ166" s="646">
        <v>13.777568710560024</v>
      </c>
      <c r="HA166" s="646">
        <v>0</v>
      </c>
      <c r="HB166" s="646">
        <v>0</v>
      </c>
      <c r="HC166" s="646">
        <v>11.442074091003576</v>
      </c>
      <c r="HD166" s="646">
        <v>0.2725922497249208</v>
      </c>
      <c r="HE166" s="646">
        <v>3600</v>
      </c>
      <c r="HF166" s="563" t="s">
        <v>1587</v>
      </c>
      <c r="HG166" s="563">
        <v>2</v>
      </c>
      <c r="HH166" s="563">
        <v>0</v>
      </c>
      <c r="HI166" s="563">
        <v>0</v>
      </c>
      <c r="HJ166" s="563">
        <v>0</v>
      </c>
      <c r="HK166" s="650">
        <v>21503.743333309638</v>
      </c>
      <c r="HL166" s="563">
        <v>0</v>
      </c>
      <c r="HM166" s="563">
        <v>0</v>
      </c>
      <c r="HN166" s="563">
        <v>0</v>
      </c>
      <c r="HO166" s="650">
        <v>21079.939141956205</v>
      </c>
      <c r="HP166" s="564">
        <v>4000</v>
      </c>
      <c r="HQ166" s="565">
        <v>97.808251281762224</v>
      </c>
      <c r="HR166" s="649">
        <v>1.3188000000000002</v>
      </c>
      <c r="HS166" s="646">
        <v>13.777568710560024</v>
      </c>
      <c r="HT166" s="646">
        <v>0</v>
      </c>
      <c r="HU166" s="646">
        <v>0</v>
      </c>
      <c r="HV166" s="646">
        <v>11.442074091003576</v>
      </c>
      <c r="HW166" s="646">
        <v>0.2725922497249208</v>
      </c>
      <c r="HX166" s="646">
        <v>3600</v>
      </c>
      <c r="HY166" s="563" t="s">
        <v>68</v>
      </c>
      <c r="HZ166" s="563">
        <v>2</v>
      </c>
      <c r="IA166" s="563">
        <v>0</v>
      </c>
      <c r="IB166" s="563">
        <v>0</v>
      </c>
      <c r="IC166" s="563">
        <v>0</v>
      </c>
      <c r="ID166" s="650">
        <v>18964.51903897537</v>
      </c>
      <c r="IE166" s="563">
        <v>0</v>
      </c>
      <c r="IF166" s="563">
        <v>0</v>
      </c>
      <c r="IG166" s="563">
        <v>0</v>
      </c>
      <c r="IH166" s="650">
        <v>18590.758874001021</v>
      </c>
      <c r="II166" s="564">
        <v>4000</v>
      </c>
      <c r="IJ166" s="565">
        <v>97.808251281762224</v>
      </c>
      <c r="IK166" s="649">
        <v>1.3188000000000002</v>
      </c>
      <c r="IL166" s="646">
        <v>13.777568710560024</v>
      </c>
      <c r="IM166" s="646">
        <v>0</v>
      </c>
      <c r="IN166" s="646">
        <v>0</v>
      </c>
      <c r="IO166" s="646">
        <v>11.442074091003576</v>
      </c>
      <c r="IP166" s="646">
        <v>0.2725922497249208</v>
      </c>
      <c r="IQ166" s="646">
        <v>3600</v>
      </c>
      <c r="IR166" s="563" t="s">
        <v>68</v>
      </c>
      <c r="IS166" s="563">
        <v>2</v>
      </c>
      <c r="IT166" s="563">
        <v>0</v>
      </c>
      <c r="IU166" s="563">
        <v>0</v>
      </c>
      <c r="IV166" s="563">
        <v>0</v>
      </c>
      <c r="IW166" s="650">
        <v>18964.51903897537</v>
      </c>
      <c r="IX166" s="563">
        <v>0</v>
      </c>
      <c r="IY166" s="563">
        <v>0</v>
      </c>
      <c r="IZ166" s="563">
        <v>0</v>
      </c>
      <c r="JA166" s="650">
        <v>18590.758874001021</v>
      </c>
      <c r="JB166" s="564">
        <v>4000</v>
      </c>
      <c r="JC166" s="565">
        <v>97.808251281762224</v>
      </c>
      <c r="JD166" s="649">
        <v>1.3188000000000002</v>
      </c>
      <c r="JE166" s="646">
        <v>13.777568710560024</v>
      </c>
      <c r="JF166" s="646">
        <v>0</v>
      </c>
      <c r="JG166" s="646">
        <v>0</v>
      </c>
      <c r="JH166" s="646">
        <v>11.442074091003576</v>
      </c>
      <c r="JI166" s="646">
        <v>0.2725922497249208</v>
      </c>
      <c r="JJ166" s="646">
        <v>3600</v>
      </c>
      <c r="JK166" s="563" t="s">
        <v>67</v>
      </c>
      <c r="JL166" s="563">
        <v>2</v>
      </c>
      <c r="JM166" s="563">
        <v>0</v>
      </c>
      <c r="JN166" s="563">
        <v>0</v>
      </c>
      <c r="JO166" s="563">
        <v>0</v>
      </c>
      <c r="JP166" s="650">
        <v>25844.283067566626</v>
      </c>
      <c r="JQ166" s="563">
        <v>0</v>
      </c>
      <c r="JR166" s="563">
        <v>0</v>
      </c>
      <c r="JS166" s="563">
        <v>0</v>
      </c>
      <c r="JT166" s="650">
        <v>25334.93381999934</v>
      </c>
      <c r="JU166" s="564">
        <v>4000</v>
      </c>
      <c r="JV166" s="565">
        <v>97.808251281762224</v>
      </c>
      <c r="JW166" s="649">
        <v>1.3188000000000002</v>
      </c>
      <c r="JX166" s="646">
        <v>13.777568710560024</v>
      </c>
      <c r="JY166" s="646">
        <v>0</v>
      </c>
      <c r="JZ166" s="646">
        <v>0</v>
      </c>
      <c r="KA166" s="646">
        <v>11.442074091003576</v>
      </c>
      <c r="KB166" s="646">
        <v>0.2725922497249208</v>
      </c>
      <c r="KC166" s="646">
        <v>3600</v>
      </c>
      <c r="KD166" s="563" t="s">
        <v>67</v>
      </c>
      <c r="KE166" s="563">
        <v>2</v>
      </c>
      <c r="KF166" s="563">
        <v>0</v>
      </c>
      <c r="KG166" s="563">
        <v>0</v>
      </c>
      <c r="KH166" s="563">
        <v>0</v>
      </c>
      <c r="KI166" s="650">
        <v>25844.283067566626</v>
      </c>
      <c r="KJ166" s="563">
        <v>0</v>
      </c>
      <c r="KK166" s="563">
        <v>0</v>
      </c>
      <c r="KL166" s="563">
        <v>0</v>
      </c>
      <c r="KM166" s="650">
        <v>25334.93381999934</v>
      </c>
      <c r="KN166" s="564">
        <v>4000</v>
      </c>
      <c r="KO166" s="566">
        <v>97.808251281762224</v>
      </c>
    </row>
    <row r="167" spans="1:301" ht="15" customHeight="1">
      <c r="A167" s="663" t="s">
        <v>916</v>
      </c>
      <c r="B167" s="629" t="s">
        <v>382</v>
      </c>
      <c r="C167" s="629">
        <v>190</v>
      </c>
      <c r="D167" s="629">
        <v>467</v>
      </c>
      <c r="E167" s="629">
        <v>166</v>
      </c>
      <c r="F167" s="629">
        <v>190</v>
      </c>
      <c r="G167" s="629">
        <v>49</v>
      </c>
      <c r="H167" s="629">
        <v>35</v>
      </c>
      <c r="I167" s="629">
        <v>35</v>
      </c>
      <c r="J167" s="629">
        <v>32.479999999999997</v>
      </c>
      <c r="K167" s="629">
        <v>64.98</v>
      </c>
      <c r="L167" s="629">
        <v>16</v>
      </c>
      <c r="M167" s="629">
        <v>160</v>
      </c>
      <c r="N167" s="629">
        <v>2</v>
      </c>
      <c r="O167" s="623">
        <v>2.3494150117857147</v>
      </c>
      <c r="P167" s="629">
        <v>2</v>
      </c>
      <c r="Q167" s="623">
        <v>1.445549918211253</v>
      </c>
      <c r="R167" s="629">
        <v>13.000000000000002</v>
      </c>
      <c r="S167" s="629">
        <v>317.58102233614875</v>
      </c>
      <c r="T167" s="645">
        <v>8.0837332724626982</v>
      </c>
      <c r="U167" s="645">
        <v>47.637153350422309</v>
      </c>
      <c r="V167" s="645">
        <v>47.5</v>
      </c>
      <c r="W167" s="793">
        <v>0.49843211163141388</v>
      </c>
      <c r="X167" s="646">
        <v>0</v>
      </c>
      <c r="Y167" s="646">
        <v>0</v>
      </c>
      <c r="Z167" s="646">
        <v>0</v>
      </c>
      <c r="AA167" s="646">
        <v>0</v>
      </c>
      <c r="AB167" s="647">
        <v>0.68391211393089602</v>
      </c>
      <c r="AC167" s="784">
        <v>4000</v>
      </c>
      <c r="AD167" s="631">
        <v>2.5586561916480339</v>
      </c>
      <c r="AE167" s="631">
        <v>0.63657963269433804</v>
      </c>
      <c r="AF167" s="631">
        <v>-0.18042018450960334</v>
      </c>
      <c r="AG167" s="631">
        <v>0.90552204438901085</v>
      </c>
      <c r="AH167" s="629"/>
      <c r="AI167" s="648">
        <v>0.80764105283144871</v>
      </c>
      <c r="AJ167" s="649">
        <v>2.1100800000000004</v>
      </c>
      <c r="AK167" s="646">
        <v>14.487210314091081</v>
      </c>
      <c r="AL167" s="646">
        <v>0</v>
      </c>
      <c r="AM167" s="646">
        <v>0</v>
      </c>
      <c r="AN167" s="646">
        <v>12.768745689640431</v>
      </c>
      <c r="AO167" s="646">
        <v>0.29873016897974142</v>
      </c>
      <c r="AP167" s="801">
        <v>3600</v>
      </c>
      <c r="AQ167" s="563" t="s">
        <v>71</v>
      </c>
      <c r="AR167" s="563">
        <v>3</v>
      </c>
      <c r="AS167" s="563">
        <v>0</v>
      </c>
      <c r="AT167" s="563">
        <v>0</v>
      </c>
      <c r="AU167" s="563">
        <v>0</v>
      </c>
      <c r="AV167" s="650">
        <v>17148.038237069162</v>
      </c>
      <c r="AW167" s="563">
        <v>0</v>
      </c>
      <c r="AX167" s="563">
        <v>0</v>
      </c>
      <c r="AY167" s="563">
        <v>0</v>
      </c>
      <c r="AZ167" s="650">
        <v>17840.938556990488</v>
      </c>
      <c r="BA167" s="564">
        <v>4000</v>
      </c>
      <c r="BB167" s="565">
        <v>97.808251281762224</v>
      </c>
      <c r="BC167" s="649">
        <v>2.1100800000000004</v>
      </c>
      <c r="BD167" s="646">
        <v>14.487210314091081</v>
      </c>
      <c r="BE167" s="646">
        <v>0</v>
      </c>
      <c r="BF167" s="646">
        <v>0</v>
      </c>
      <c r="BG167" s="646">
        <v>12.768745689640431</v>
      </c>
      <c r="BH167" s="646">
        <v>0.29873016897974142</v>
      </c>
      <c r="BI167" s="646">
        <v>3600</v>
      </c>
      <c r="BJ167" s="563" t="s">
        <v>71</v>
      </c>
      <c r="BK167" s="563">
        <v>3</v>
      </c>
      <c r="BL167" s="563">
        <v>0</v>
      </c>
      <c r="BM167" s="563">
        <v>0</v>
      </c>
      <c r="BN167" s="563">
        <v>0</v>
      </c>
      <c r="BO167" s="650">
        <v>17148.038237069162</v>
      </c>
      <c r="BP167" s="563">
        <v>0</v>
      </c>
      <c r="BQ167" s="563">
        <v>0</v>
      </c>
      <c r="BR167" s="563">
        <v>0</v>
      </c>
      <c r="BS167" s="650">
        <v>17840.938556990488</v>
      </c>
      <c r="BT167" s="564">
        <v>4000</v>
      </c>
      <c r="BU167" s="565">
        <v>97.808251281762224</v>
      </c>
      <c r="BV167" s="649">
        <v>1.4067200000000002</v>
      </c>
      <c r="BW167" s="646">
        <v>13.783850314091081</v>
      </c>
      <c r="BX167" s="646">
        <v>0</v>
      </c>
      <c r="BY167" s="646">
        <v>0</v>
      </c>
      <c r="BZ167" s="646">
        <v>12.527320038903891</v>
      </c>
      <c r="CA167" s="646">
        <v>0.27638187209974141</v>
      </c>
      <c r="CB167" s="646">
        <v>3600</v>
      </c>
      <c r="CC167" s="563" t="s">
        <v>1584</v>
      </c>
      <c r="CD167" s="563">
        <v>2</v>
      </c>
      <c r="CE167" s="563">
        <v>0</v>
      </c>
      <c r="CF167" s="563">
        <v>0</v>
      </c>
      <c r="CG167" s="563">
        <v>0</v>
      </c>
      <c r="CH167" s="650">
        <v>11625.823460495594</v>
      </c>
      <c r="CI167" s="563">
        <v>0</v>
      </c>
      <c r="CJ167" s="563">
        <v>0</v>
      </c>
      <c r="CK167" s="563">
        <v>0</v>
      </c>
      <c r="CL167" s="650">
        <v>10495.431725409035</v>
      </c>
      <c r="CM167" s="564">
        <v>4000</v>
      </c>
      <c r="CN167" s="565">
        <v>97.808251281762224</v>
      </c>
      <c r="CO167" s="649">
        <v>1.4067200000000002</v>
      </c>
      <c r="CP167" s="646">
        <v>13.783850314091081</v>
      </c>
      <c r="CQ167" s="646">
        <v>0</v>
      </c>
      <c r="CR167" s="646">
        <v>0</v>
      </c>
      <c r="CS167" s="646">
        <v>12.527320038903891</v>
      </c>
      <c r="CT167" s="646">
        <v>0.27638187209974141</v>
      </c>
      <c r="CU167" s="646">
        <v>3600</v>
      </c>
      <c r="CV167" s="563" t="s">
        <v>1584</v>
      </c>
      <c r="CW167" s="563">
        <v>2</v>
      </c>
      <c r="CX167" s="563">
        <v>0</v>
      </c>
      <c r="CY167" s="563">
        <v>0</v>
      </c>
      <c r="CZ167" s="563">
        <v>0</v>
      </c>
      <c r="DA167" s="650">
        <v>11625.823460495594</v>
      </c>
      <c r="DB167" s="563">
        <v>0</v>
      </c>
      <c r="DC167" s="563">
        <v>0</v>
      </c>
      <c r="DD167" s="563">
        <v>0</v>
      </c>
      <c r="DE167" s="650">
        <v>10495.431725409035</v>
      </c>
      <c r="DF167" s="564">
        <v>4000</v>
      </c>
      <c r="DG167" s="565">
        <v>97.808251281762224</v>
      </c>
      <c r="DH167" s="649">
        <v>1.4067200000000002</v>
      </c>
      <c r="DI167" s="646">
        <v>13.783850314091081</v>
      </c>
      <c r="DJ167" s="646">
        <v>0</v>
      </c>
      <c r="DK167" s="646">
        <v>0</v>
      </c>
      <c r="DL167" s="646">
        <v>12.527320038903891</v>
      </c>
      <c r="DM167" s="646">
        <v>0.27638187209974141</v>
      </c>
      <c r="DN167" s="646">
        <v>3600</v>
      </c>
      <c r="DO167" s="563" t="s">
        <v>1585</v>
      </c>
      <c r="DP167" s="563">
        <v>2</v>
      </c>
      <c r="DQ167" s="563">
        <v>0</v>
      </c>
      <c r="DR167" s="563">
        <v>0</v>
      </c>
      <c r="DS167" s="563">
        <v>0</v>
      </c>
      <c r="DT167" s="650">
        <v>12428.52806522645</v>
      </c>
      <c r="DU167" s="563">
        <v>0</v>
      </c>
      <c r="DV167" s="563">
        <v>0</v>
      </c>
      <c r="DW167" s="563">
        <v>0</v>
      </c>
      <c r="DX167" s="650">
        <v>11220.088469385724</v>
      </c>
      <c r="DY167" s="564">
        <v>4000</v>
      </c>
      <c r="DZ167" s="565">
        <v>97.808251281762224</v>
      </c>
      <c r="EA167" s="649">
        <v>1.4067200000000002</v>
      </c>
      <c r="EB167" s="646">
        <v>13.783850314091081</v>
      </c>
      <c r="EC167" s="646">
        <v>0</v>
      </c>
      <c r="ED167" s="646">
        <v>0</v>
      </c>
      <c r="EE167" s="646">
        <v>12.527320038903891</v>
      </c>
      <c r="EF167" s="646">
        <v>0.27638187209974141</v>
      </c>
      <c r="EG167" s="646">
        <v>3600</v>
      </c>
      <c r="EH167" s="563" t="s">
        <v>1585</v>
      </c>
      <c r="EI167" s="563">
        <v>2</v>
      </c>
      <c r="EJ167" s="563">
        <v>0</v>
      </c>
      <c r="EK167" s="563">
        <v>0</v>
      </c>
      <c r="EL167" s="563">
        <v>0</v>
      </c>
      <c r="EM167" s="650">
        <v>12428.52806522645</v>
      </c>
      <c r="EN167" s="563">
        <v>0</v>
      </c>
      <c r="EO167" s="563">
        <v>0</v>
      </c>
      <c r="EP167" s="563">
        <v>0</v>
      </c>
      <c r="EQ167" s="650">
        <v>11220.088469385724</v>
      </c>
      <c r="ER167" s="564">
        <v>4000</v>
      </c>
      <c r="ES167" s="565">
        <v>97.808251281762224</v>
      </c>
      <c r="ET167" s="649">
        <v>1.4067200000000002</v>
      </c>
      <c r="EU167" s="646">
        <v>13.783850314091081</v>
      </c>
      <c r="EV167" s="646">
        <v>0</v>
      </c>
      <c r="EW167" s="646">
        <v>0</v>
      </c>
      <c r="EX167" s="646">
        <v>12.527320038903891</v>
      </c>
      <c r="EY167" s="646">
        <v>0.27638187209974141</v>
      </c>
      <c r="EZ167" s="646">
        <v>3600</v>
      </c>
      <c r="FA167" s="563" t="s">
        <v>1586</v>
      </c>
      <c r="FB167" s="563">
        <v>2</v>
      </c>
      <c r="FC167" s="563">
        <v>0</v>
      </c>
      <c r="FD167" s="563">
        <v>0</v>
      </c>
      <c r="FE167" s="563">
        <v>0</v>
      </c>
      <c r="FF167" s="650">
        <v>12684.813339026818</v>
      </c>
      <c r="FG167" s="563">
        <v>0</v>
      </c>
      <c r="FH167" s="563">
        <v>0</v>
      </c>
      <c r="FI167" s="563">
        <v>0</v>
      </c>
      <c r="FJ167" s="650">
        <v>11451.454841200059</v>
      </c>
      <c r="FK167" s="564">
        <v>4000</v>
      </c>
      <c r="FL167" s="565">
        <v>97.808251281762224</v>
      </c>
      <c r="FM167" s="649">
        <v>1.4067200000000002</v>
      </c>
      <c r="FN167" s="646">
        <v>13.783850314091081</v>
      </c>
      <c r="FO167" s="646">
        <v>0</v>
      </c>
      <c r="FP167" s="646">
        <v>0</v>
      </c>
      <c r="FQ167" s="646">
        <v>12.527320038903891</v>
      </c>
      <c r="FR167" s="646">
        <v>0.27638187209974141</v>
      </c>
      <c r="FS167" s="646">
        <v>3600</v>
      </c>
      <c r="FT167" s="563" t="s">
        <v>1586</v>
      </c>
      <c r="FU167" s="563">
        <v>2</v>
      </c>
      <c r="FV167" s="563">
        <v>0</v>
      </c>
      <c r="FW167" s="563">
        <v>0</v>
      </c>
      <c r="FX167" s="563">
        <v>0</v>
      </c>
      <c r="FY167" s="650">
        <v>12684.813339026818</v>
      </c>
      <c r="FZ167" s="563">
        <v>0</v>
      </c>
      <c r="GA167" s="563">
        <v>0</v>
      </c>
      <c r="GB167" s="563">
        <v>0</v>
      </c>
      <c r="GC167" s="650">
        <v>11451.454841200059</v>
      </c>
      <c r="GD167" s="564">
        <v>4000</v>
      </c>
      <c r="GE167" s="565">
        <v>97.808251281762224</v>
      </c>
      <c r="GF167" s="649">
        <v>1.4067200000000002</v>
      </c>
      <c r="GG167" s="646">
        <v>13.783850314091081</v>
      </c>
      <c r="GH167" s="646">
        <v>0</v>
      </c>
      <c r="GI167" s="646">
        <v>0</v>
      </c>
      <c r="GJ167" s="646">
        <v>12.527320038903891</v>
      </c>
      <c r="GK167" s="646">
        <v>0.27638187209974141</v>
      </c>
      <c r="GL167" s="646">
        <v>3600</v>
      </c>
      <c r="GM167" s="563" t="s">
        <v>1587</v>
      </c>
      <c r="GN167" s="563">
        <v>2</v>
      </c>
      <c r="GO167" s="563">
        <v>0</v>
      </c>
      <c r="GP167" s="563">
        <v>0</v>
      </c>
      <c r="GQ167" s="563">
        <v>0</v>
      </c>
      <c r="GR167" s="650">
        <v>17018.462944776631</v>
      </c>
      <c r="GS167" s="563">
        <v>0</v>
      </c>
      <c r="GT167" s="563">
        <v>0</v>
      </c>
      <c r="GU167" s="563">
        <v>0</v>
      </c>
      <c r="GV167" s="650">
        <v>15363.738879715431</v>
      </c>
      <c r="GW167" s="564">
        <v>4000</v>
      </c>
      <c r="GX167" s="565">
        <v>97.808251281762224</v>
      </c>
      <c r="GY167" s="649">
        <v>1.4067200000000002</v>
      </c>
      <c r="GZ167" s="646">
        <v>13.783850314091081</v>
      </c>
      <c r="HA167" s="646">
        <v>0</v>
      </c>
      <c r="HB167" s="646">
        <v>0</v>
      </c>
      <c r="HC167" s="646">
        <v>12.527320038903891</v>
      </c>
      <c r="HD167" s="646">
        <v>0.27638187209974141</v>
      </c>
      <c r="HE167" s="646">
        <v>3600</v>
      </c>
      <c r="HF167" s="563" t="s">
        <v>1587</v>
      </c>
      <c r="HG167" s="563">
        <v>2</v>
      </c>
      <c r="HH167" s="563">
        <v>0</v>
      </c>
      <c r="HI167" s="563">
        <v>0</v>
      </c>
      <c r="HJ167" s="563">
        <v>0</v>
      </c>
      <c r="HK167" s="650">
        <v>17018.462944776631</v>
      </c>
      <c r="HL167" s="563">
        <v>0</v>
      </c>
      <c r="HM167" s="563">
        <v>0</v>
      </c>
      <c r="HN167" s="563">
        <v>0</v>
      </c>
      <c r="HO167" s="650">
        <v>15363.738879715431</v>
      </c>
      <c r="HP167" s="564">
        <v>4000</v>
      </c>
      <c r="HQ167" s="565">
        <v>97.808251281762224</v>
      </c>
      <c r="HR167" s="649">
        <v>1.4067200000000002</v>
      </c>
      <c r="HS167" s="646">
        <v>13.783850314091081</v>
      </c>
      <c r="HT167" s="646">
        <v>0</v>
      </c>
      <c r="HU167" s="646">
        <v>0</v>
      </c>
      <c r="HV167" s="646">
        <v>12.527320038903891</v>
      </c>
      <c r="HW167" s="646">
        <v>0.27638187209974141</v>
      </c>
      <c r="HX167" s="646">
        <v>3600</v>
      </c>
      <c r="HY167" s="563" t="s">
        <v>68</v>
      </c>
      <c r="HZ167" s="563">
        <v>2</v>
      </c>
      <c r="IA167" s="563">
        <v>0</v>
      </c>
      <c r="IB167" s="563">
        <v>0</v>
      </c>
      <c r="IC167" s="563">
        <v>0</v>
      </c>
      <c r="ID167" s="650">
        <v>15008.873549490861</v>
      </c>
      <c r="IE167" s="563">
        <v>0</v>
      </c>
      <c r="IF167" s="563">
        <v>0</v>
      </c>
      <c r="IG167" s="563">
        <v>0</v>
      </c>
      <c r="IH167" s="650">
        <v>13549.544094620254</v>
      </c>
      <c r="II167" s="564">
        <v>4000</v>
      </c>
      <c r="IJ167" s="565">
        <v>97.808251281762224</v>
      </c>
      <c r="IK167" s="649">
        <v>1.4067200000000002</v>
      </c>
      <c r="IL167" s="646">
        <v>13.783850314091081</v>
      </c>
      <c r="IM167" s="646">
        <v>0</v>
      </c>
      <c r="IN167" s="646">
        <v>0</v>
      </c>
      <c r="IO167" s="646">
        <v>12.527320038903891</v>
      </c>
      <c r="IP167" s="646">
        <v>0.27638187209974141</v>
      </c>
      <c r="IQ167" s="646">
        <v>3600</v>
      </c>
      <c r="IR167" s="563" t="s">
        <v>68</v>
      </c>
      <c r="IS167" s="563">
        <v>2</v>
      </c>
      <c r="IT167" s="563">
        <v>0</v>
      </c>
      <c r="IU167" s="563">
        <v>0</v>
      </c>
      <c r="IV167" s="563">
        <v>0</v>
      </c>
      <c r="IW167" s="650">
        <v>15008.873549490861</v>
      </c>
      <c r="IX167" s="563">
        <v>0</v>
      </c>
      <c r="IY167" s="563">
        <v>0</v>
      </c>
      <c r="IZ167" s="563">
        <v>0</v>
      </c>
      <c r="JA167" s="650">
        <v>13549.544094620254</v>
      </c>
      <c r="JB167" s="564">
        <v>4000</v>
      </c>
      <c r="JC167" s="565">
        <v>97.808251281762224</v>
      </c>
      <c r="JD167" s="649">
        <v>1.4067200000000002</v>
      </c>
      <c r="JE167" s="646">
        <v>13.783850314091081</v>
      </c>
      <c r="JF167" s="646">
        <v>0</v>
      </c>
      <c r="JG167" s="646">
        <v>0</v>
      </c>
      <c r="JH167" s="646">
        <v>12.527320038903891</v>
      </c>
      <c r="JI167" s="646">
        <v>0.27638187209974141</v>
      </c>
      <c r="JJ167" s="646">
        <v>3600</v>
      </c>
      <c r="JK167" s="563" t="s">
        <v>67</v>
      </c>
      <c r="JL167" s="563">
        <v>2</v>
      </c>
      <c r="JM167" s="563">
        <v>0</v>
      </c>
      <c r="JN167" s="563">
        <v>0</v>
      </c>
      <c r="JO167" s="563">
        <v>0</v>
      </c>
      <c r="JP167" s="650">
        <v>20453.646925657707</v>
      </c>
      <c r="JQ167" s="563">
        <v>0</v>
      </c>
      <c r="JR167" s="563">
        <v>0</v>
      </c>
      <c r="JS167" s="563">
        <v>0</v>
      </c>
      <c r="JT167" s="650">
        <v>18464.916104551219</v>
      </c>
      <c r="JU167" s="564">
        <v>4000</v>
      </c>
      <c r="JV167" s="565">
        <v>97.808251281762224</v>
      </c>
      <c r="JW167" s="649">
        <v>1.4067200000000002</v>
      </c>
      <c r="JX167" s="646">
        <v>13.783850314091081</v>
      </c>
      <c r="JY167" s="646">
        <v>0</v>
      </c>
      <c r="JZ167" s="646">
        <v>0</v>
      </c>
      <c r="KA167" s="646">
        <v>12.527320038903891</v>
      </c>
      <c r="KB167" s="646">
        <v>0.27638187209974141</v>
      </c>
      <c r="KC167" s="646">
        <v>3600</v>
      </c>
      <c r="KD167" s="563" t="s">
        <v>67</v>
      </c>
      <c r="KE167" s="563">
        <v>2</v>
      </c>
      <c r="KF167" s="563">
        <v>0</v>
      </c>
      <c r="KG167" s="563">
        <v>0</v>
      </c>
      <c r="KH167" s="563">
        <v>0</v>
      </c>
      <c r="KI167" s="650">
        <v>20453.646925657707</v>
      </c>
      <c r="KJ167" s="563">
        <v>0</v>
      </c>
      <c r="KK167" s="563">
        <v>0</v>
      </c>
      <c r="KL167" s="563">
        <v>0</v>
      </c>
      <c r="KM167" s="650">
        <v>18464.916104551219</v>
      </c>
      <c r="KN167" s="564">
        <v>4000</v>
      </c>
      <c r="KO167" s="566">
        <v>97.808251281762224</v>
      </c>
    </row>
    <row r="168" spans="1:301" ht="15" customHeight="1">
      <c r="A168" s="663" t="s">
        <v>917</v>
      </c>
      <c r="B168" s="629" t="s">
        <v>382</v>
      </c>
      <c r="C168" s="629">
        <v>226</v>
      </c>
      <c r="D168" s="629">
        <v>467</v>
      </c>
      <c r="E168" s="629">
        <v>206</v>
      </c>
      <c r="F168" s="629">
        <v>226</v>
      </c>
      <c r="G168" s="629">
        <v>59</v>
      </c>
      <c r="H168" s="629">
        <v>45</v>
      </c>
      <c r="I168" s="629">
        <v>45</v>
      </c>
      <c r="J168" s="629">
        <v>32.479999999999997</v>
      </c>
      <c r="K168" s="629">
        <v>64.98</v>
      </c>
      <c r="L168" s="629">
        <v>16</v>
      </c>
      <c r="M168" s="629">
        <v>150</v>
      </c>
      <c r="N168" s="629">
        <v>2</v>
      </c>
      <c r="O168" s="623">
        <v>2.1659334344454564</v>
      </c>
      <c r="P168" s="629">
        <v>2</v>
      </c>
      <c r="Q168" s="623">
        <v>1.3187762736360606</v>
      </c>
      <c r="R168" s="629">
        <v>13.000000000000002</v>
      </c>
      <c r="S168" s="629">
        <v>333.37486768551827</v>
      </c>
      <c r="T168" s="645">
        <v>8.9077619622014499</v>
      </c>
      <c r="U168" s="645">
        <v>50.00623015282774</v>
      </c>
      <c r="V168" s="645">
        <v>60</v>
      </c>
      <c r="W168" s="793">
        <v>0.69377761436376673</v>
      </c>
      <c r="X168" s="646">
        <v>0</v>
      </c>
      <c r="Y168" s="646">
        <v>0</v>
      </c>
      <c r="Z168" s="646">
        <v>0</v>
      </c>
      <c r="AA168" s="646">
        <v>0</v>
      </c>
      <c r="AB168" s="647">
        <v>0.86781790577205586</v>
      </c>
      <c r="AC168" s="784">
        <v>4000</v>
      </c>
      <c r="AD168" s="631">
        <v>3.1849469546265414</v>
      </c>
      <c r="AE168" s="631">
        <v>0.63657963269433804</v>
      </c>
      <c r="AF168" s="631">
        <v>-0.18982319135087089</v>
      </c>
      <c r="AG168" s="631">
        <v>0.70931579787245369</v>
      </c>
      <c r="AH168" s="629"/>
      <c r="AI168" s="648">
        <v>0.82091680704136827</v>
      </c>
      <c r="AJ168" s="649">
        <v>2.5434000000000001</v>
      </c>
      <c r="AK168" s="646">
        <v>15.629649284646733</v>
      </c>
      <c r="AL168" s="646">
        <v>0</v>
      </c>
      <c r="AM168" s="646">
        <v>0</v>
      </c>
      <c r="AN168" s="646">
        <v>15.017999299541504</v>
      </c>
      <c r="AO168" s="646">
        <v>0.33413123500288217</v>
      </c>
      <c r="AP168" s="801">
        <v>3600</v>
      </c>
      <c r="AQ168" s="563" t="s">
        <v>71</v>
      </c>
      <c r="AR168" s="563">
        <v>3</v>
      </c>
      <c r="AS168" s="563">
        <v>0</v>
      </c>
      <c r="AT168" s="563">
        <v>0</v>
      </c>
      <c r="AU168" s="563">
        <v>0</v>
      </c>
      <c r="AV168" s="650">
        <v>11321.633904925004</v>
      </c>
      <c r="AW168" s="563">
        <v>0</v>
      </c>
      <c r="AX168" s="563">
        <v>0</v>
      </c>
      <c r="AY168" s="563">
        <v>0</v>
      </c>
      <c r="AZ168" s="650">
        <v>12411.364838111997</v>
      </c>
      <c r="BA168" s="564">
        <v>4000</v>
      </c>
      <c r="BB168" s="565">
        <v>97.808251281762224</v>
      </c>
      <c r="BC168" s="649">
        <v>2.5434000000000001</v>
      </c>
      <c r="BD168" s="646">
        <v>15.629649284646733</v>
      </c>
      <c r="BE168" s="646">
        <v>0</v>
      </c>
      <c r="BF168" s="646">
        <v>0</v>
      </c>
      <c r="BG168" s="646">
        <v>15.017999299541504</v>
      </c>
      <c r="BH168" s="646">
        <v>0.33413123500288217</v>
      </c>
      <c r="BI168" s="646">
        <v>3600</v>
      </c>
      <c r="BJ168" s="563" t="s">
        <v>71</v>
      </c>
      <c r="BK168" s="563">
        <v>3</v>
      </c>
      <c r="BL168" s="563">
        <v>0</v>
      </c>
      <c r="BM168" s="563">
        <v>0</v>
      </c>
      <c r="BN168" s="563">
        <v>0</v>
      </c>
      <c r="BO168" s="650">
        <v>11321.633904925004</v>
      </c>
      <c r="BP168" s="563">
        <v>0</v>
      </c>
      <c r="BQ168" s="563">
        <v>0</v>
      </c>
      <c r="BR168" s="563">
        <v>0</v>
      </c>
      <c r="BS168" s="650">
        <v>12411.364838111997</v>
      </c>
      <c r="BT168" s="564">
        <v>4000</v>
      </c>
      <c r="BU168" s="565">
        <v>97.808251281762224</v>
      </c>
      <c r="BV168" s="649">
        <v>1.6956000000000002</v>
      </c>
      <c r="BW168" s="646">
        <v>14.781849284646734</v>
      </c>
      <c r="BX168" s="646">
        <v>0</v>
      </c>
      <c r="BY168" s="646">
        <v>0</v>
      </c>
      <c r="BZ168" s="646">
        <v>14.588875712113431</v>
      </c>
      <c r="CA168" s="646">
        <v>0.30560647412788217</v>
      </c>
      <c r="CB168" s="646">
        <v>3600</v>
      </c>
      <c r="CC168" s="563" t="s">
        <v>1584</v>
      </c>
      <c r="CD168" s="563">
        <v>2</v>
      </c>
      <c r="CE168" s="563">
        <v>0</v>
      </c>
      <c r="CF168" s="563">
        <v>0</v>
      </c>
      <c r="CG168" s="563">
        <v>0</v>
      </c>
      <c r="CH168" s="650">
        <v>7874.9879743034944</v>
      </c>
      <c r="CI168" s="563">
        <v>0</v>
      </c>
      <c r="CJ168" s="563">
        <v>0</v>
      </c>
      <c r="CK168" s="563">
        <v>0</v>
      </c>
      <c r="CL168" s="650">
        <v>7753.6091027380589</v>
      </c>
      <c r="CM168" s="564">
        <v>4000</v>
      </c>
      <c r="CN168" s="565">
        <v>97.808251281762224</v>
      </c>
      <c r="CO168" s="649">
        <v>1.6956000000000002</v>
      </c>
      <c r="CP168" s="646">
        <v>14.781849284646734</v>
      </c>
      <c r="CQ168" s="646">
        <v>0</v>
      </c>
      <c r="CR168" s="646">
        <v>0</v>
      </c>
      <c r="CS168" s="646">
        <v>14.588875712113431</v>
      </c>
      <c r="CT168" s="646">
        <v>0.30560647412788217</v>
      </c>
      <c r="CU168" s="646">
        <v>3600</v>
      </c>
      <c r="CV168" s="563" t="s">
        <v>1584</v>
      </c>
      <c r="CW168" s="563">
        <v>2</v>
      </c>
      <c r="CX168" s="563">
        <v>0</v>
      </c>
      <c r="CY168" s="563">
        <v>0</v>
      </c>
      <c r="CZ168" s="563">
        <v>0</v>
      </c>
      <c r="DA168" s="650">
        <v>7874.9879743034944</v>
      </c>
      <c r="DB168" s="563">
        <v>0</v>
      </c>
      <c r="DC168" s="563">
        <v>0</v>
      </c>
      <c r="DD168" s="563">
        <v>0</v>
      </c>
      <c r="DE168" s="650">
        <v>7753.6091027380589</v>
      </c>
      <c r="DF168" s="564">
        <v>4000</v>
      </c>
      <c r="DG168" s="565">
        <v>97.808251281762224</v>
      </c>
      <c r="DH168" s="649">
        <v>1.6956000000000002</v>
      </c>
      <c r="DI168" s="646">
        <v>14.781849284646734</v>
      </c>
      <c r="DJ168" s="646">
        <v>0</v>
      </c>
      <c r="DK168" s="646">
        <v>0</v>
      </c>
      <c r="DL168" s="646">
        <v>14.588875712113431</v>
      </c>
      <c r="DM168" s="646">
        <v>0.30560647412788217</v>
      </c>
      <c r="DN168" s="646">
        <v>3600</v>
      </c>
      <c r="DO168" s="563" t="s">
        <v>1585</v>
      </c>
      <c r="DP168" s="563">
        <v>2</v>
      </c>
      <c r="DQ168" s="563">
        <v>0</v>
      </c>
      <c r="DR168" s="563">
        <v>0</v>
      </c>
      <c r="DS168" s="563">
        <v>0</v>
      </c>
      <c r="DT168" s="650">
        <v>8418.7162642310341</v>
      </c>
      <c r="DU168" s="563">
        <v>0</v>
      </c>
      <c r="DV168" s="563">
        <v>0</v>
      </c>
      <c r="DW168" s="563">
        <v>0</v>
      </c>
      <c r="DX168" s="650">
        <v>8288.9567924049989</v>
      </c>
      <c r="DY168" s="564">
        <v>4000</v>
      </c>
      <c r="DZ168" s="565">
        <v>97.808251281762224</v>
      </c>
      <c r="EA168" s="649">
        <v>1.6956000000000002</v>
      </c>
      <c r="EB168" s="646">
        <v>14.781849284646734</v>
      </c>
      <c r="EC168" s="646">
        <v>0</v>
      </c>
      <c r="ED168" s="646">
        <v>0</v>
      </c>
      <c r="EE168" s="646">
        <v>14.588875712113431</v>
      </c>
      <c r="EF168" s="646">
        <v>0.30560647412788217</v>
      </c>
      <c r="EG168" s="646">
        <v>3600</v>
      </c>
      <c r="EH168" s="563" t="s">
        <v>1585</v>
      </c>
      <c r="EI168" s="563">
        <v>2</v>
      </c>
      <c r="EJ168" s="563">
        <v>0</v>
      </c>
      <c r="EK168" s="563">
        <v>0</v>
      </c>
      <c r="EL168" s="563">
        <v>0</v>
      </c>
      <c r="EM168" s="650">
        <v>8418.7162642310341</v>
      </c>
      <c r="EN168" s="563">
        <v>0</v>
      </c>
      <c r="EO168" s="563">
        <v>0</v>
      </c>
      <c r="EP168" s="563">
        <v>0</v>
      </c>
      <c r="EQ168" s="650">
        <v>8288.9567924049989</v>
      </c>
      <c r="ER168" s="564">
        <v>4000</v>
      </c>
      <c r="ES168" s="565">
        <v>97.808251281762224</v>
      </c>
      <c r="ET168" s="649">
        <v>1.6956000000000002</v>
      </c>
      <c r="EU168" s="646">
        <v>14.781849284646734</v>
      </c>
      <c r="EV168" s="646">
        <v>0</v>
      </c>
      <c r="EW168" s="646">
        <v>0</v>
      </c>
      <c r="EX168" s="646">
        <v>14.588875712113431</v>
      </c>
      <c r="EY168" s="646">
        <v>0.30560647412788217</v>
      </c>
      <c r="EZ168" s="646">
        <v>3600</v>
      </c>
      <c r="FA168" s="563" t="s">
        <v>1586</v>
      </c>
      <c r="FB168" s="563">
        <v>2</v>
      </c>
      <c r="FC168" s="563">
        <v>0</v>
      </c>
      <c r="FD168" s="563">
        <v>0</v>
      </c>
      <c r="FE168" s="563">
        <v>0</v>
      </c>
      <c r="FF168" s="650">
        <v>8592.3163069316033</v>
      </c>
      <c r="FG168" s="563">
        <v>0</v>
      </c>
      <c r="FH168" s="563">
        <v>0</v>
      </c>
      <c r="FI168" s="563">
        <v>0</v>
      </c>
      <c r="FJ168" s="650">
        <v>8459.881100570421</v>
      </c>
      <c r="FK168" s="564">
        <v>4000</v>
      </c>
      <c r="FL168" s="565">
        <v>97.808251281762224</v>
      </c>
      <c r="FM168" s="649">
        <v>1.6956000000000002</v>
      </c>
      <c r="FN168" s="646">
        <v>14.781849284646734</v>
      </c>
      <c r="FO168" s="646">
        <v>0</v>
      </c>
      <c r="FP168" s="646">
        <v>0</v>
      </c>
      <c r="FQ168" s="646">
        <v>14.588875712113431</v>
      </c>
      <c r="FR168" s="646">
        <v>0.30560647412788217</v>
      </c>
      <c r="FS168" s="646">
        <v>3600</v>
      </c>
      <c r="FT168" s="563" t="s">
        <v>1586</v>
      </c>
      <c r="FU168" s="563">
        <v>2</v>
      </c>
      <c r="FV168" s="563">
        <v>0</v>
      </c>
      <c r="FW168" s="563">
        <v>0</v>
      </c>
      <c r="FX168" s="563">
        <v>0</v>
      </c>
      <c r="FY168" s="650">
        <v>8592.3163069316033</v>
      </c>
      <c r="FZ168" s="563">
        <v>0</v>
      </c>
      <c r="GA168" s="563">
        <v>0</v>
      </c>
      <c r="GB168" s="563">
        <v>0</v>
      </c>
      <c r="GC168" s="650">
        <v>8459.881100570421</v>
      </c>
      <c r="GD168" s="564">
        <v>4000</v>
      </c>
      <c r="GE168" s="565">
        <v>97.808251281762224</v>
      </c>
      <c r="GF168" s="649">
        <v>1.6956000000000002</v>
      </c>
      <c r="GG168" s="646">
        <v>14.781849284646734</v>
      </c>
      <c r="GH168" s="646">
        <v>0</v>
      </c>
      <c r="GI168" s="646">
        <v>0</v>
      </c>
      <c r="GJ168" s="646">
        <v>14.588875712113431</v>
      </c>
      <c r="GK168" s="646">
        <v>0.30560647412788217</v>
      </c>
      <c r="GL168" s="646">
        <v>3600</v>
      </c>
      <c r="GM168" s="563" t="s">
        <v>1587</v>
      </c>
      <c r="GN168" s="563">
        <v>2</v>
      </c>
      <c r="GO168" s="563">
        <v>0</v>
      </c>
      <c r="GP168" s="563">
        <v>0</v>
      </c>
      <c r="GQ168" s="563">
        <v>0</v>
      </c>
      <c r="GR168" s="650">
        <v>11527.802007887403</v>
      </c>
      <c r="GS168" s="563">
        <v>0</v>
      </c>
      <c r="GT168" s="563">
        <v>0</v>
      </c>
      <c r="GU168" s="563">
        <v>0</v>
      </c>
      <c r="GV168" s="650">
        <v>11350.121533464724</v>
      </c>
      <c r="GW168" s="564">
        <v>4000</v>
      </c>
      <c r="GX168" s="565">
        <v>97.808251281762224</v>
      </c>
      <c r="GY168" s="649">
        <v>1.6956000000000002</v>
      </c>
      <c r="GZ168" s="646">
        <v>14.781849284646734</v>
      </c>
      <c r="HA168" s="646">
        <v>0</v>
      </c>
      <c r="HB168" s="646">
        <v>0</v>
      </c>
      <c r="HC168" s="646">
        <v>14.588875712113431</v>
      </c>
      <c r="HD168" s="646">
        <v>0.30560647412788217</v>
      </c>
      <c r="HE168" s="646">
        <v>3600</v>
      </c>
      <c r="HF168" s="563" t="s">
        <v>1587</v>
      </c>
      <c r="HG168" s="563">
        <v>2</v>
      </c>
      <c r="HH168" s="563">
        <v>0</v>
      </c>
      <c r="HI168" s="563">
        <v>0</v>
      </c>
      <c r="HJ168" s="563">
        <v>0</v>
      </c>
      <c r="HK168" s="650">
        <v>11527.802007887403</v>
      </c>
      <c r="HL168" s="563">
        <v>0</v>
      </c>
      <c r="HM168" s="563">
        <v>0</v>
      </c>
      <c r="HN168" s="563">
        <v>0</v>
      </c>
      <c r="HO168" s="650">
        <v>11350.121533464724</v>
      </c>
      <c r="HP168" s="564">
        <v>4000</v>
      </c>
      <c r="HQ168" s="565">
        <v>97.808251281762224</v>
      </c>
      <c r="HR168" s="649">
        <v>1.6956000000000002</v>
      </c>
      <c r="HS168" s="646">
        <v>14.781849284646734</v>
      </c>
      <c r="HT168" s="646">
        <v>0</v>
      </c>
      <c r="HU168" s="646">
        <v>0</v>
      </c>
      <c r="HV168" s="646">
        <v>14.588875712113431</v>
      </c>
      <c r="HW168" s="646">
        <v>0.30560647412788217</v>
      </c>
      <c r="HX168" s="646">
        <v>3600</v>
      </c>
      <c r="HY168" s="563" t="s">
        <v>68</v>
      </c>
      <c r="HZ168" s="563">
        <v>2</v>
      </c>
      <c r="IA168" s="563">
        <v>0</v>
      </c>
      <c r="IB168" s="563">
        <v>0</v>
      </c>
      <c r="IC168" s="563">
        <v>0</v>
      </c>
      <c r="ID168" s="650">
        <v>10166.565758684412</v>
      </c>
      <c r="IE168" s="563">
        <v>0</v>
      </c>
      <c r="IF168" s="563">
        <v>0</v>
      </c>
      <c r="IG168" s="563">
        <v>0</v>
      </c>
      <c r="IH168" s="650">
        <v>10009.866309301524</v>
      </c>
      <c r="II168" s="564">
        <v>4000</v>
      </c>
      <c r="IJ168" s="565">
        <v>97.808251281762224</v>
      </c>
      <c r="IK168" s="649">
        <v>1.6956000000000002</v>
      </c>
      <c r="IL168" s="646">
        <v>14.781849284646734</v>
      </c>
      <c r="IM168" s="646">
        <v>0</v>
      </c>
      <c r="IN168" s="646">
        <v>0</v>
      </c>
      <c r="IO168" s="646">
        <v>14.588875712113431</v>
      </c>
      <c r="IP168" s="646">
        <v>0.30560647412788217</v>
      </c>
      <c r="IQ168" s="646">
        <v>3600</v>
      </c>
      <c r="IR168" s="563" t="s">
        <v>68</v>
      </c>
      <c r="IS168" s="563">
        <v>2</v>
      </c>
      <c r="IT168" s="563">
        <v>0</v>
      </c>
      <c r="IU168" s="563">
        <v>0</v>
      </c>
      <c r="IV168" s="563">
        <v>0</v>
      </c>
      <c r="IW168" s="650">
        <v>10166.565758684412</v>
      </c>
      <c r="IX168" s="563">
        <v>0</v>
      </c>
      <c r="IY168" s="563">
        <v>0</v>
      </c>
      <c r="IZ168" s="563">
        <v>0</v>
      </c>
      <c r="JA168" s="650">
        <v>10009.866309301524</v>
      </c>
      <c r="JB168" s="564">
        <v>4000</v>
      </c>
      <c r="JC168" s="565">
        <v>97.808251281762224</v>
      </c>
      <c r="JD168" s="649">
        <v>1.6956000000000002</v>
      </c>
      <c r="JE168" s="646">
        <v>14.781849284646734</v>
      </c>
      <c r="JF168" s="646">
        <v>0</v>
      </c>
      <c r="JG168" s="646">
        <v>0</v>
      </c>
      <c r="JH168" s="646">
        <v>14.588875712113431</v>
      </c>
      <c r="JI168" s="646">
        <v>0.30560647412788217</v>
      </c>
      <c r="JJ168" s="646">
        <v>3600</v>
      </c>
      <c r="JK168" s="563" t="s">
        <v>67</v>
      </c>
      <c r="JL168" s="563">
        <v>2</v>
      </c>
      <c r="JM168" s="563">
        <v>0</v>
      </c>
      <c r="JN168" s="563">
        <v>0</v>
      </c>
      <c r="JO168" s="563">
        <v>0</v>
      </c>
      <c r="JP168" s="650">
        <v>13854.693744278238</v>
      </c>
      <c r="JQ168" s="563">
        <v>0</v>
      </c>
      <c r="JR168" s="563">
        <v>0</v>
      </c>
      <c r="JS168" s="563">
        <v>0</v>
      </c>
      <c r="JT168" s="650">
        <v>13641.148390551605</v>
      </c>
      <c r="JU168" s="564">
        <v>4000</v>
      </c>
      <c r="JV168" s="565">
        <v>97.808251281762224</v>
      </c>
      <c r="JW168" s="649">
        <v>1.6956000000000002</v>
      </c>
      <c r="JX168" s="646">
        <v>14.781849284646734</v>
      </c>
      <c r="JY168" s="646">
        <v>0</v>
      </c>
      <c r="JZ168" s="646">
        <v>0</v>
      </c>
      <c r="KA168" s="646">
        <v>14.588875712113431</v>
      </c>
      <c r="KB168" s="646">
        <v>0.30560647412788217</v>
      </c>
      <c r="KC168" s="646">
        <v>3600</v>
      </c>
      <c r="KD168" s="563" t="s">
        <v>67</v>
      </c>
      <c r="KE168" s="563">
        <v>2</v>
      </c>
      <c r="KF168" s="563">
        <v>0</v>
      </c>
      <c r="KG168" s="563">
        <v>0</v>
      </c>
      <c r="KH168" s="563">
        <v>0</v>
      </c>
      <c r="KI168" s="650">
        <v>13854.693744278238</v>
      </c>
      <c r="KJ168" s="563">
        <v>0</v>
      </c>
      <c r="KK168" s="563">
        <v>0</v>
      </c>
      <c r="KL168" s="563">
        <v>0</v>
      </c>
      <c r="KM168" s="650">
        <v>13641.148390551605</v>
      </c>
      <c r="KN168" s="564">
        <v>4000</v>
      </c>
      <c r="KO168" s="566">
        <v>97.808251281762224</v>
      </c>
    </row>
    <row r="169" spans="1:301" ht="15" customHeight="1">
      <c r="A169" s="663" t="s">
        <v>918</v>
      </c>
      <c r="B169" s="629" t="s">
        <v>382</v>
      </c>
      <c r="C169" s="629">
        <v>226</v>
      </c>
      <c r="D169" s="629">
        <v>467</v>
      </c>
      <c r="E169" s="629">
        <v>206</v>
      </c>
      <c r="F169" s="629">
        <v>226</v>
      </c>
      <c r="G169" s="629">
        <v>59</v>
      </c>
      <c r="H169" s="629">
        <v>45</v>
      </c>
      <c r="I169" s="629">
        <v>45</v>
      </c>
      <c r="J169" s="629">
        <v>32.479999999999997</v>
      </c>
      <c r="K169" s="629">
        <v>64.98</v>
      </c>
      <c r="L169" s="629">
        <v>16</v>
      </c>
      <c r="M169" s="629">
        <v>150</v>
      </c>
      <c r="N169" s="629">
        <v>2</v>
      </c>
      <c r="O169" s="623">
        <v>2.1659334344454564</v>
      </c>
      <c r="P169" s="629">
        <v>2</v>
      </c>
      <c r="Q169" s="623">
        <v>1.3187762736360606</v>
      </c>
      <c r="R169" s="629">
        <v>13.000000000000002</v>
      </c>
      <c r="S169" s="629">
        <v>333.37486768551827</v>
      </c>
      <c r="T169" s="645">
        <v>8.9077619622014499</v>
      </c>
      <c r="U169" s="645">
        <v>50.00623015282774</v>
      </c>
      <c r="V169" s="645">
        <v>60</v>
      </c>
      <c r="W169" s="793">
        <v>0.69377761436376673</v>
      </c>
      <c r="X169" s="646">
        <v>0</v>
      </c>
      <c r="Y169" s="646">
        <v>0</v>
      </c>
      <c r="Z169" s="646">
        <v>0</v>
      </c>
      <c r="AA169" s="646">
        <v>0</v>
      </c>
      <c r="AB169" s="647">
        <v>0.86781790577205586</v>
      </c>
      <c r="AC169" s="784">
        <v>4000</v>
      </c>
      <c r="AD169" s="631">
        <v>3.1849469546265414</v>
      </c>
      <c r="AE169" s="631">
        <v>0.63657963269433804</v>
      </c>
      <c r="AF169" s="631">
        <v>-0.18982319135087089</v>
      </c>
      <c r="AG169" s="631">
        <v>0.70931579787245369</v>
      </c>
      <c r="AH169" s="629"/>
      <c r="AI169" s="648">
        <v>0.82091680704136827</v>
      </c>
      <c r="AJ169" s="649">
        <v>2.5434000000000001</v>
      </c>
      <c r="AK169" s="646">
        <v>15.629649284646733</v>
      </c>
      <c r="AL169" s="646">
        <v>0</v>
      </c>
      <c r="AM169" s="646">
        <v>0</v>
      </c>
      <c r="AN169" s="646">
        <v>15.017999299541504</v>
      </c>
      <c r="AO169" s="646">
        <v>0.33413123500288217</v>
      </c>
      <c r="AP169" s="801">
        <v>3600</v>
      </c>
      <c r="AQ169" s="563" t="s">
        <v>71</v>
      </c>
      <c r="AR169" s="563">
        <v>3</v>
      </c>
      <c r="AS169" s="563">
        <v>0</v>
      </c>
      <c r="AT169" s="563">
        <v>0</v>
      </c>
      <c r="AU169" s="563">
        <v>0</v>
      </c>
      <c r="AV169" s="650">
        <v>11321.633904925004</v>
      </c>
      <c r="AW169" s="563">
        <v>0</v>
      </c>
      <c r="AX169" s="563">
        <v>0</v>
      </c>
      <c r="AY169" s="563">
        <v>0</v>
      </c>
      <c r="AZ169" s="650">
        <v>12411.364838111997</v>
      </c>
      <c r="BA169" s="564">
        <v>4000</v>
      </c>
      <c r="BB169" s="565">
        <v>97.808251281762224</v>
      </c>
      <c r="BC169" s="649">
        <v>2.5434000000000001</v>
      </c>
      <c r="BD169" s="646">
        <v>15.629649284646733</v>
      </c>
      <c r="BE169" s="646">
        <v>0</v>
      </c>
      <c r="BF169" s="646">
        <v>0</v>
      </c>
      <c r="BG169" s="646">
        <v>15.017999299541504</v>
      </c>
      <c r="BH169" s="646">
        <v>0.33413123500288217</v>
      </c>
      <c r="BI169" s="646">
        <v>3600</v>
      </c>
      <c r="BJ169" s="563" t="s">
        <v>71</v>
      </c>
      <c r="BK169" s="563">
        <v>3</v>
      </c>
      <c r="BL169" s="563">
        <v>0</v>
      </c>
      <c r="BM169" s="563">
        <v>0</v>
      </c>
      <c r="BN169" s="563">
        <v>0</v>
      </c>
      <c r="BO169" s="650">
        <v>11321.633904925004</v>
      </c>
      <c r="BP169" s="563">
        <v>0</v>
      </c>
      <c r="BQ169" s="563">
        <v>0</v>
      </c>
      <c r="BR169" s="563">
        <v>0</v>
      </c>
      <c r="BS169" s="650">
        <v>12411.364838111997</v>
      </c>
      <c r="BT169" s="564">
        <v>4000</v>
      </c>
      <c r="BU169" s="565">
        <v>97.808251281762224</v>
      </c>
      <c r="BV169" s="649">
        <v>1.6956000000000002</v>
      </c>
      <c r="BW169" s="646">
        <v>14.781849284646734</v>
      </c>
      <c r="BX169" s="646">
        <v>0</v>
      </c>
      <c r="BY169" s="646">
        <v>0</v>
      </c>
      <c r="BZ169" s="646">
        <v>14.588875712113431</v>
      </c>
      <c r="CA169" s="646">
        <v>0.30560647412788217</v>
      </c>
      <c r="CB169" s="646">
        <v>3600</v>
      </c>
      <c r="CC169" s="563" t="s">
        <v>1584</v>
      </c>
      <c r="CD169" s="563">
        <v>2</v>
      </c>
      <c r="CE169" s="563">
        <v>0</v>
      </c>
      <c r="CF169" s="563">
        <v>0</v>
      </c>
      <c r="CG169" s="563">
        <v>0</v>
      </c>
      <c r="CH169" s="650">
        <v>7874.9879743034944</v>
      </c>
      <c r="CI169" s="563">
        <v>0</v>
      </c>
      <c r="CJ169" s="563">
        <v>0</v>
      </c>
      <c r="CK169" s="563">
        <v>0</v>
      </c>
      <c r="CL169" s="650">
        <v>7753.6091027380589</v>
      </c>
      <c r="CM169" s="564">
        <v>4000</v>
      </c>
      <c r="CN169" s="565">
        <v>97.808251281762224</v>
      </c>
      <c r="CO169" s="649">
        <v>1.6956000000000002</v>
      </c>
      <c r="CP169" s="646">
        <v>14.781849284646734</v>
      </c>
      <c r="CQ169" s="646">
        <v>0</v>
      </c>
      <c r="CR169" s="646">
        <v>0</v>
      </c>
      <c r="CS169" s="646">
        <v>14.588875712113431</v>
      </c>
      <c r="CT169" s="646">
        <v>0.30560647412788217</v>
      </c>
      <c r="CU169" s="646">
        <v>3600</v>
      </c>
      <c r="CV169" s="563" t="s">
        <v>1584</v>
      </c>
      <c r="CW169" s="563">
        <v>2</v>
      </c>
      <c r="CX169" s="563">
        <v>0</v>
      </c>
      <c r="CY169" s="563">
        <v>0</v>
      </c>
      <c r="CZ169" s="563">
        <v>0</v>
      </c>
      <c r="DA169" s="650">
        <v>7874.9879743034944</v>
      </c>
      <c r="DB169" s="563">
        <v>0</v>
      </c>
      <c r="DC169" s="563">
        <v>0</v>
      </c>
      <c r="DD169" s="563">
        <v>0</v>
      </c>
      <c r="DE169" s="650">
        <v>7753.6091027380589</v>
      </c>
      <c r="DF169" s="564">
        <v>4000</v>
      </c>
      <c r="DG169" s="565">
        <v>97.808251281762224</v>
      </c>
      <c r="DH169" s="649">
        <v>1.6956000000000002</v>
      </c>
      <c r="DI169" s="646">
        <v>14.781849284646734</v>
      </c>
      <c r="DJ169" s="646">
        <v>0</v>
      </c>
      <c r="DK169" s="646">
        <v>0</v>
      </c>
      <c r="DL169" s="646">
        <v>14.588875712113431</v>
      </c>
      <c r="DM169" s="646">
        <v>0.30560647412788217</v>
      </c>
      <c r="DN169" s="646">
        <v>3600</v>
      </c>
      <c r="DO169" s="563" t="s">
        <v>1585</v>
      </c>
      <c r="DP169" s="563">
        <v>2</v>
      </c>
      <c r="DQ169" s="563">
        <v>0</v>
      </c>
      <c r="DR169" s="563">
        <v>0</v>
      </c>
      <c r="DS169" s="563">
        <v>0</v>
      </c>
      <c r="DT169" s="650">
        <v>8418.7162642310341</v>
      </c>
      <c r="DU169" s="563">
        <v>0</v>
      </c>
      <c r="DV169" s="563">
        <v>0</v>
      </c>
      <c r="DW169" s="563">
        <v>0</v>
      </c>
      <c r="DX169" s="650">
        <v>8288.9567924049989</v>
      </c>
      <c r="DY169" s="564">
        <v>4000</v>
      </c>
      <c r="DZ169" s="565">
        <v>97.808251281762224</v>
      </c>
      <c r="EA169" s="649">
        <v>1.6956000000000002</v>
      </c>
      <c r="EB169" s="646">
        <v>14.781849284646734</v>
      </c>
      <c r="EC169" s="646">
        <v>0</v>
      </c>
      <c r="ED169" s="646">
        <v>0</v>
      </c>
      <c r="EE169" s="646">
        <v>14.588875712113431</v>
      </c>
      <c r="EF169" s="646">
        <v>0.30560647412788217</v>
      </c>
      <c r="EG169" s="646">
        <v>3600</v>
      </c>
      <c r="EH169" s="563" t="s">
        <v>1585</v>
      </c>
      <c r="EI169" s="563">
        <v>2</v>
      </c>
      <c r="EJ169" s="563">
        <v>0</v>
      </c>
      <c r="EK169" s="563">
        <v>0</v>
      </c>
      <c r="EL169" s="563">
        <v>0</v>
      </c>
      <c r="EM169" s="650">
        <v>8418.7162642310341</v>
      </c>
      <c r="EN169" s="563">
        <v>0</v>
      </c>
      <c r="EO169" s="563">
        <v>0</v>
      </c>
      <c r="EP169" s="563">
        <v>0</v>
      </c>
      <c r="EQ169" s="650">
        <v>8288.9567924049989</v>
      </c>
      <c r="ER169" s="564">
        <v>4000</v>
      </c>
      <c r="ES169" s="565">
        <v>97.808251281762224</v>
      </c>
      <c r="ET169" s="649">
        <v>1.6956000000000002</v>
      </c>
      <c r="EU169" s="646">
        <v>14.781849284646734</v>
      </c>
      <c r="EV169" s="646">
        <v>0</v>
      </c>
      <c r="EW169" s="646">
        <v>0</v>
      </c>
      <c r="EX169" s="646">
        <v>14.588875712113431</v>
      </c>
      <c r="EY169" s="646">
        <v>0.30560647412788217</v>
      </c>
      <c r="EZ169" s="646">
        <v>3600</v>
      </c>
      <c r="FA169" s="563" t="s">
        <v>1586</v>
      </c>
      <c r="FB169" s="563">
        <v>2</v>
      </c>
      <c r="FC169" s="563">
        <v>0</v>
      </c>
      <c r="FD169" s="563">
        <v>0</v>
      </c>
      <c r="FE169" s="563">
        <v>0</v>
      </c>
      <c r="FF169" s="650">
        <v>8592.3163069316033</v>
      </c>
      <c r="FG169" s="563">
        <v>0</v>
      </c>
      <c r="FH169" s="563">
        <v>0</v>
      </c>
      <c r="FI169" s="563">
        <v>0</v>
      </c>
      <c r="FJ169" s="650">
        <v>8459.881100570421</v>
      </c>
      <c r="FK169" s="564">
        <v>4000</v>
      </c>
      <c r="FL169" s="565">
        <v>97.808251281762224</v>
      </c>
      <c r="FM169" s="649">
        <v>1.6956000000000002</v>
      </c>
      <c r="FN169" s="646">
        <v>14.781849284646734</v>
      </c>
      <c r="FO169" s="646">
        <v>0</v>
      </c>
      <c r="FP169" s="646">
        <v>0</v>
      </c>
      <c r="FQ169" s="646">
        <v>14.588875712113431</v>
      </c>
      <c r="FR169" s="646">
        <v>0.30560647412788217</v>
      </c>
      <c r="FS169" s="646">
        <v>3600</v>
      </c>
      <c r="FT169" s="563" t="s">
        <v>1586</v>
      </c>
      <c r="FU169" s="563">
        <v>2</v>
      </c>
      <c r="FV169" s="563">
        <v>0</v>
      </c>
      <c r="FW169" s="563">
        <v>0</v>
      </c>
      <c r="FX169" s="563">
        <v>0</v>
      </c>
      <c r="FY169" s="650">
        <v>8592.3163069316033</v>
      </c>
      <c r="FZ169" s="563">
        <v>0</v>
      </c>
      <c r="GA169" s="563">
        <v>0</v>
      </c>
      <c r="GB169" s="563">
        <v>0</v>
      </c>
      <c r="GC169" s="650">
        <v>8459.881100570421</v>
      </c>
      <c r="GD169" s="564">
        <v>4000</v>
      </c>
      <c r="GE169" s="565">
        <v>97.808251281762224</v>
      </c>
      <c r="GF169" s="649">
        <v>1.6956000000000002</v>
      </c>
      <c r="GG169" s="646">
        <v>14.781849284646734</v>
      </c>
      <c r="GH169" s="646">
        <v>0</v>
      </c>
      <c r="GI169" s="646">
        <v>0</v>
      </c>
      <c r="GJ169" s="646">
        <v>14.588875712113431</v>
      </c>
      <c r="GK169" s="646">
        <v>0.30560647412788217</v>
      </c>
      <c r="GL169" s="646">
        <v>3600</v>
      </c>
      <c r="GM169" s="563" t="s">
        <v>1587</v>
      </c>
      <c r="GN169" s="563">
        <v>2</v>
      </c>
      <c r="GO169" s="563">
        <v>0</v>
      </c>
      <c r="GP169" s="563">
        <v>0</v>
      </c>
      <c r="GQ169" s="563">
        <v>0</v>
      </c>
      <c r="GR169" s="650">
        <v>11527.802007887403</v>
      </c>
      <c r="GS169" s="563">
        <v>0</v>
      </c>
      <c r="GT169" s="563">
        <v>0</v>
      </c>
      <c r="GU169" s="563">
        <v>0</v>
      </c>
      <c r="GV169" s="650">
        <v>11350.121533464724</v>
      </c>
      <c r="GW169" s="564">
        <v>4000</v>
      </c>
      <c r="GX169" s="565">
        <v>97.808251281762224</v>
      </c>
      <c r="GY169" s="649">
        <v>1.6956000000000002</v>
      </c>
      <c r="GZ169" s="646">
        <v>14.781849284646734</v>
      </c>
      <c r="HA169" s="646">
        <v>0</v>
      </c>
      <c r="HB169" s="646">
        <v>0</v>
      </c>
      <c r="HC169" s="646">
        <v>14.588875712113431</v>
      </c>
      <c r="HD169" s="646">
        <v>0.30560647412788217</v>
      </c>
      <c r="HE169" s="646">
        <v>3600</v>
      </c>
      <c r="HF169" s="563" t="s">
        <v>1587</v>
      </c>
      <c r="HG169" s="563">
        <v>2</v>
      </c>
      <c r="HH169" s="563">
        <v>0</v>
      </c>
      <c r="HI169" s="563">
        <v>0</v>
      </c>
      <c r="HJ169" s="563">
        <v>0</v>
      </c>
      <c r="HK169" s="650">
        <v>11527.802007887403</v>
      </c>
      <c r="HL169" s="563">
        <v>0</v>
      </c>
      <c r="HM169" s="563">
        <v>0</v>
      </c>
      <c r="HN169" s="563">
        <v>0</v>
      </c>
      <c r="HO169" s="650">
        <v>11350.121533464724</v>
      </c>
      <c r="HP169" s="564">
        <v>4000</v>
      </c>
      <c r="HQ169" s="565">
        <v>97.808251281762224</v>
      </c>
      <c r="HR169" s="649">
        <v>1.6956000000000002</v>
      </c>
      <c r="HS169" s="646">
        <v>14.781849284646734</v>
      </c>
      <c r="HT169" s="646">
        <v>0</v>
      </c>
      <c r="HU169" s="646">
        <v>0</v>
      </c>
      <c r="HV169" s="646">
        <v>14.588875712113431</v>
      </c>
      <c r="HW169" s="646">
        <v>0.30560647412788217</v>
      </c>
      <c r="HX169" s="646">
        <v>3600</v>
      </c>
      <c r="HY169" s="563" t="s">
        <v>68</v>
      </c>
      <c r="HZ169" s="563">
        <v>2</v>
      </c>
      <c r="IA169" s="563">
        <v>0</v>
      </c>
      <c r="IB169" s="563">
        <v>0</v>
      </c>
      <c r="IC169" s="563">
        <v>0</v>
      </c>
      <c r="ID169" s="650">
        <v>10166.565758684412</v>
      </c>
      <c r="IE169" s="563">
        <v>0</v>
      </c>
      <c r="IF169" s="563">
        <v>0</v>
      </c>
      <c r="IG169" s="563">
        <v>0</v>
      </c>
      <c r="IH169" s="650">
        <v>10009.866309301524</v>
      </c>
      <c r="II169" s="564">
        <v>4000</v>
      </c>
      <c r="IJ169" s="565">
        <v>97.808251281762224</v>
      </c>
      <c r="IK169" s="649">
        <v>1.6956000000000002</v>
      </c>
      <c r="IL169" s="646">
        <v>14.781849284646734</v>
      </c>
      <c r="IM169" s="646">
        <v>0</v>
      </c>
      <c r="IN169" s="646">
        <v>0</v>
      </c>
      <c r="IO169" s="646">
        <v>14.588875712113431</v>
      </c>
      <c r="IP169" s="646">
        <v>0.30560647412788217</v>
      </c>
      <c r="IQ169" s="646">
        <v>3600</v>
      </c>
      <c r="IR169" s="563" t="s">
        <v>68</v>
      </c>
      <c r="IS169" s="563">
        <v>2</v>
      </c>
      <c r="IT169" s="563">
        <v>0</v>
      </c>
      <c r="IU169" s="563">
        <v>0</v>
      </c>
      <c r="IV169" s="563">
        <v>0</v>
      </c>
      <c r="IW169" s="650">
        <v>10166.565758684412</v>
      </c>
      <c r="IX169" s="563">
        <v>0</v>
      </c>
      <c r="IY169" s="563">
        <v>0</v>
      </c>
      <c r="IZ169" s="563">
        <v>0</v>
      </c>
      <c r="JA169" s="650">
        <v>10009.866309301524</v>
      </c>
      <c r="JB169" s="564">
        <v>4000</v>
      </c>
      <c r="JC169" s="565">
        <v>97.808251281762224</v>
      </c>
      <c r="JD169" s="649">
        <v>1.6956000000000002</v>
      </c>
      <c r="JE169" s="646">
        <v>14.781849284646734</v>
      </c>
      <c r="JF169" s="646">
        <v>0</v>
      </c>
      <c r="JG169" s="646">
        <v>0</v>
      </c>
      <c r="JH169" s="646">
        <v>14.588875712113431</v>
      </c>
      <c r="JI169" s="646">
        <v>0.30560647412788217</v>
      </c>
      <c r="JJ169" s="646">
        <v>3600</v>
      </c>
      <c r="JK169" s="563" t="s">
        <v>67</v>
      </c>
      <c r="JL169" s="563">
        <v>2</v>
      </c>
      <c r="JM169" s="563">
        <v>0</v>
      </c>
      <c r="JN169" s="563">
        <v>0</v>
      </c>
      <c r="JO169" s="563">
        <v>0</v>
      </c>
      <c r="JP169" s="650">
        <v>13854.693744278238</v>
      </c>
      <c r="JQ169" s="563">
        <v>0</v>
      </c>
      <c r="JR169" s="563">
        <v>0</v>
      </c>
      <c r="JS169" s="563">
        <v>0</v>
      </c>
      <c r="JT169" s="650">
        <v>13641.148390551605</v>
      </c>
      <c r="JU169" s="564">
        <v>4000</v>
      </c>
      <c r="JV169" s="565">
        <v>97.808251281762224</v>
      </c>
      <c r="JW169" s="649">
        <v>1.6956000000000002</v>
      </c>
      <c r="JX169" s="646">
        <v>14.781849284646734</v>
      </c>
      <c r="JY169" s="646">
        <v>0</v>
      </c>
      <c r="JZ169" s="646">
        <v>0</v>
      </c>
      <c r="KA169" s="646">
        <v>14.588875712113431</v>
      </c>
      <c r="KB169" s="646">
        <v>0.30560647412788217</v>
      </c>
      <c r="KC169" s="646">
        <v>3600</v>
      </c>
      <c r="KD169" s="563" t="s">
        <v>67</v>
      </c>
      <c r="KE169" s="563">
        <v>2</v>
      </c>
      <c r="KF169" s="563">
        <v>0</v>
      </c>
      <c r="KG169" s="563">
        <v>0</v>
      </c>
      <c r="KH169" s="563">
        <v>0</v>
      </c>
      <c r="KI169" s="650">
        <v>13854.693744278238</v>
      </c>
      <c r="KJ169" s="563">
        <v>0</v>
      </c>
      <c r="KK169" s="563">
        <v>0</v>
      </c>
      <c r="KL169" s="563">
        <v>0</v>
      </c>
      <c r="KM169" s="650">
        <v>13641.148390551605</v>
      </c>
      <c r="KN169" s="564">
        <v>4000</v>
      </c>
      <c r="KO169" s="566">
        <v>97.808251281762224</v>
      </c>
    </row>
    <row r="170" spans="1:301" ht="15" customHeight="1">
      <c r="A170" s="663" t="s">
        <v>919</v>
      </c>
      <c r="B170" s="629" t="s">
        <v>382</v>
      </c>
      <c r="C170" s="629">
        <v>226</v>
      </c>
      <c r="D170" s="629">
        <v>467</v>
      </c>
      <c r="E170" s="629">
        <v>206</v>
      </c>
      <c r="F170" s="629">
        <v>226</v>
      </c>
      <c r="G170" s="629">
        <v>59</v>
      </c>
      <c r="H170" s="629">
        <v>45</v>
      </c>
      <c r="I170" s="629">
        <v>45</v>
      </c>
      <c r="J170" s="629">
        <v>33.03</v>
      </c>
      <c r="K170" s="629">
        <v>71.83</v>
      </c>
      <c r="L170" s="629">
        <v>16</v>
      </c>
      <c r="M170" s="629">
        <v>150</v>
      </c>
      <c r="N170" s="629">
        <v>2</v>
      </c>
      <c r="O170" s="623">
        <v>2.1659334344454564</v>
      </c>
      <c r="P170" s="629">
        <v>2</v>
      </c>
      <c r="Q170" s="623">
        <v>1.3378038077241041</v>
      </c>
      <c r="R170" s="629">
        <v>13.000000000000002</v>
      </c>
      <c r="S170" s="629">
        <v>331.05242228368871</v>
      </c>
      <c r="T170" s="645">
        <v>8.7840829906291678</v>
      </c>
      <c r="U170" s="645">
        <v>49.657863342553306</v>
      </c>
      <c r="V170" s="645">
        <v>60</v>
      </c>
      <c r="W170" s="793">
        <v>0.68414492523169468</v>
      </c>
      <c r="X170" s="646">
        <v>0</v>
      </c>
      <c r="Y170" s="646">
        <v>0</v>
      </c>
      <c r="Z170" s="646">
        <v>0</v>
      </c>
      <c r="AA170" s="646">
        <v>0</v>
      </c>
      <c r="AB170" s="647">
        <v>0.86384765836892263</v>
      </c>
      <c r="AC170" s="784">
        <v>4000</v>
      </c>
      <c r="AD170" s="631">
        <v>4.2856426653984938</v>
      </c>
      <c r="AE170" s="631">
        <v>0.6501522626783206</v>
      </c>
      <c r="AF170" s="631">
        <v>-0.23255872440141115</v>
      </c>
      <c r="AG170" s="631">
        <v>0.62076120502867127</v>
      </c>
      <c r="AH170" s="629"/>
      <c r="AI170" s="648">
        <v>0.82091680704136827</v>
      </c>
      <c r="AJ170" s="649">
        <v>2.5434000000000001</v>
      </c>
      <c r="AK170" s="646">
        <v>15.515365158030422</v>
      </c>
      <c r="AL170" s="646">
        <v>0</v>
      </c>
      <c r="AM170" s="646">
        <v>0</v>
      </c>
      <c r="AN170" s="646">
        <v>15.059406799257747</v>
      </c>
      <c r="AO170" s="646">
        <v>0.33124371204809777</v>
      </c>
      <c r="AP170" s="801">
        <v>3600</v>
      </c>
      <c r="AQ170" s="563" t="s">
        <v>71</v>
      </c>
      <c r="AR170" s="563">
        <v>3</v>
      </c>
      <c r="AS170" s="563">
        <v>0</v>
      </c>
      <c r="AT170" s="563">
        <v>0</v>
      </c>
      <c r="AU170" s="563">
        <v>0</v>
      </c>
      <c r="AV170" s="650">
        <v>14230.628409355653</v>
      </c>
      <c r="AW170" s="563">
        <v>0</v>
      </c>
      <c r="AX170" s="563">
        <v>0</v>
      </c>
      <c r="AY170" s="563">
        <v>0</v>
      </c>
      <c r="AZ170" s="650">
        <v>76315.427392985323</v>
      </c>
      <c r="BA170" s="564">
        <v>4000</v>
      </c>
      <c r="BB170" s="565">
        <v>97.808251281762224</v>
      </c>
      <c r="BC170" s="649">
        <v>2.5434000000000001</v>
      </c>
      <c r="BD170" s="646">
        <v>15.515365158030422</v>
      </c>
      <c r="BE170" s="646">
        <v>0</v>
      </c>
      <c r="BF170" s="646">
        <v>0</v>
      </c>
      <c r="BG170" s="646">
        <v>15.059406799257747</v>
      </c>
      <c r="BH170" s="646">
        <v>0.33124371204809777</v>
      </c>
      <c r="BI170" s="646">
        <v>3600</v>
      </c>
      <c r="BJ170" s="563" t="s">
        <v>71</v>
      </c>
      <c r="BK170" s="563">
        <v>3</v>
      </c>
      <c r="BL170" s="563">
        <v>0</v>
      </c>
      <c r="BM170" s="563">
        <v>0</v>
      </c>
      <c r="BN170" s="563">
        <v>0</v>
      </c>
      <c r="BO170" s="650">
        <v>14230.628409355653</v>
      </c>
      <c r="BP170" s="563">
        <v>0</v>
      </c>
      <c r="BQ170" s="563">
        <v>0</v>
      </c>
      <c r="BR170" s="563">
        <v>0</v>
      </c>
      <c r="BS170" s="650">
        <v>76315.427392985323</v>
      </c>
      <c r="BT170" s="564">
        <v>4000</v>
      </c>
      <c r="BU170" s="565">
        <v>97.808251281762224</v>
      </c>
      <c r="BV170" s="649">
        <v>1.6956000000000002</v>
      </c>
      <c r="BW170" s="646">
        <v>14.667565158030422</v>
      </c>
      <c r="BX170" s="646">
        <v>0</v>
      </c>
      <c r="BY170" s="646">
        <v>0</v>
      </c>
      <c r="BZ170" s="646">
        <v>14.629333038028493</v>
      </c>
      <c r="CA170" s="646">
        <v>0.30271895117309777</v>
      </c>
      <c r="CB170" s="646">
        <v>3600</v>
      </c>
      <c r="CC170" s="563" t="s">
        <v>1584</v>
      </c>
      <c r="CD170" s="563">
        <v>2</v>
      </c>
      <c r="CE170" s="563">
        <v>0</v>
      </c>
      <c r="CF170" s="563">
        <v>0</v>
      </c>
      <c r="CG170" s="563">
        <v>0</v>
      </c>
      <c r="CH170" s="650">
        <v>7899.3424786502146</v>
      </c>
      <c r="CI170" s="563">
        <v>0</v>
      </c>
      <c r="CJ170" s="563">
        <v>0</v>
      </c>
      <c r="CK170" s="563">
        <v>0</v>
      </c>
      <c r="CL170" s="650">
        <v>26416.045906565199</v>
      </c>
      <c r="CM170" s="564">
        <v>4000</v>
      </c>
      <c r="CN170" s="565">
        <v>97.808251281762224</v>
      </c>
      <c r="CO170" s="649">
        <v>1.6956000000000002</v>
      </c>
      <c r="CP170" s="646">
        <v>14.667565158030422</v>
      </c>
      <c r="CQ170" s="646">
        <v>0</v>
      </c>
      <c r="CR170" s="646">
        <v>0</v>
      </c>
      <c r="CS170" s="646">
        <v>14.629333038028493</v>
      </c>
      <c r="CT170" s="646">
        <v>0.30271895117309777</v>
      </c>
      <c r="CU170" s="646">
        <v>3600</v>
      </c>
      <c r="CV170" s="563" t="s">
        <v>1584</v>
      </c>
      <c r="CW170" s="563">
        <v>2</v>
      </c>
      <c r="CX170" s="563">
        <v>0</v>
      </c>
      <c r="CY170" s="563">
        <v>0</v>
      </c>
      <c r="CZ170" s="563">
        <v>0</v>
      </c>
      <c r="DA170" s="650">
        <v>7899.3424786502146</v>
      </c>
      <c r="DB170" s="563">
        <v>0</v>
      </c>
      <c r="DC170" s="563">
        <v>0</v>
      </c>
      <c r="DD170" s="563">
        <v>0</v>
      </c>
      <c r="DE170" s="650">
        <v>26416.045906565199</v>
      </c>
      <c r="DF170" s="564">
        <v>4000</v>
      </c>
      <c r="DG170" s="565">
        <v>97.808251281762224</v>
      </c>
      <c r="DH170" s="649">
        <v>1.6956000000000002</v>
      </c>
      <c r="DI170" s="646">
        <v>14.667565158030422</v>
      </c>
      <c r="DJ170" s="646">
        <v>0</v>
      </c>
      <c r="DK170" s="646">
        <v>0</v>
      </c>
      <c r="DL170" s="646">
        <v>14.629333038028493</v>
      </c>
      <c r="DM170" s="646">
        <v>0.30271895117309777</v>
      </c>
      <c r="DN170" s="646">
        <v>3600</v>
      </c>
      <c r="DO170" s="563" t="s">
        <v>1585</v>
      </c>
      <c r="DP170" s="563">
        <v>2</v>
      </c>
      <c r="DQ170" s="563">
        <v>0</v>
      </c>
      <c r="DR170" s="563">
        <v>0</v>
      </c>
      <c r="DS170" s="563">
        <v>0</v>
      </c>
      <c r="DT170" s="650">
        <v>8444.7523245424982</v>
      </c>
      <c r="DU170" s="563">
        <v>0</v>
      </c>
      <c r="DV170" s="563">
        <v>0</v>
      </c>
      <c r="DW170" s="563">
        <v>0</v>
      </c>
      <c r="DX170" s="650">
        <v>28239.940941616478</v>
      </c>
      <c r="DY170" s="564">
        <v>4000</v>
      </c>
      <c r="DZ170" s="565">
        <v>97.808251281762224</v>
      </c>
      <c r="EA170" s="649">
        <v>1.6956000000000002</v>
      </c>
      <c r="EB170" s="646">
        <v>14.667565158030422</v>
      </c>
      <c r="EC170" s="646">
        <v>0</v>
      </c>
      <c r="ED170" s="646">
        <v>0</v>
      </c>
      <c r="EE170" s="646">
        <v>14.629333038028493</v>
      </c>
      <c r="EF170" s="646">
        <v>0.30271895117309777</v>
      </c>
      <c r="EG170" s="646">
        <v>3600</v>
      </c>
      <c r="EH170" s="563" t="s">
        <v>1585</v>
      </c>
      <c r="EI170" s="563">
        <v>2</v>
      </c>
      <c r="EJ170" s="563">
        <v>0</v>
      </c>
      <c r="EK170" s="563">
        <v>0</v>
      </c>
      <c r="EL170" s="563">
        <v>0</v>
      </c>
      <c r="EM170" s="650">
        <v>8444.7523245424982</v>
      </c>
      <c r="EN170" s="563">
        <v>0</v>
      </c>
      <c r="EO170" s="563">
        <v>0</v>
      </c>
      <c r="EP170" s="563">
        <v>0</v>
      </c>
      <c r="EQ170" s="650">
        <v>28239.940941616478</v>
      </c>
      <c r="ER170" s="564">
        <v>4000</v>
      </c>
      <c r="ES170" s="565">
        <v>97.808251281762224</v>
      </c>
      <c r="ET170" s="649">
        <v>1.6956000000000002</v>
      </c>
      <c r="EU170" s="646">
        <v>14.667565158030422</v>
      </c>
      <c r="EV170" s="646">
        <v>0</v>
      </c>
      <c r="EW170" s="646">
        <v>0</v>
      </c>
      <c r="EX170" s="646">
        <v>14.629333038028493</v>
      </c>
      <c r="EY170" s="646">
        <v>0.30271895117309777</v>
      </c>
      <c r="EZ170" s="646">
        <v>3600</v>
      </c>
      <c r="FA170" s="563" t="s">
        <v>1586</v>
      </c>
      <c r="FB170" s="563">
        <v>2</v>
      </c>
      <c r="FC170" s="563">
        <v>0</v>
      </c>
      <c r="FD170" s="563">
        <v>0</v>
      </c>
      <c r="FE170" s="563">
        <v>0</v>
      </c>
      <c r="FF170" s="650">
        <v>8618.8892497130219</v>
      </c>
      <c r="FG170" s="563">
        <v>0</v>
      </c>
      <c r="FH170" s="563">
        <v>0</v>
      </c>
      <c r="FI170" s="563">
        <v>0</v>
      </c>
      <c r="FJ170" s="650">
        <v>28822.269030535259</v>
      </c>
      <c r="FK170" s="564">
        <v>4000</v>
      </c>
      <c r="FL170" s="565">
        <v>97.808251281762224</v>
      </c>
      <c r="FM170" s="649">
        <v>1.6956000000000002</v>
      </c>
      <c r="FN170" s="646">
        <v>14.667565158030422</v>
      </c>
      <c r="FO170" s="646">
        <v>0</v>
      </c>
      <c r="FP170" s="646">
        <v>0</v>
      </c>
      <c r="FQ170" s="646">
        <v>14.629333038028493</v>
      </c>
      <c r="FR170" s="646">
        <v>0.30271895117309777</v>
      </c>
      <c r="FS170" s="646">
        <v>3600</v>
      </c>
      <c r="FT170" s="563" t="s">
        <v>1586</v>
      </c>
      <c r="FU170" s="563">
        <v>2</v>
      </c>
      <c r="FV170" s="563">
        <v>0</v>
      </c>
      <c r="FW170" s="563">
        <v>0</v>
      </c>
      <c r="FX170" s="563">
        <v>0</v>
      </c>
      <c r="FY170" s="650">
        <v>8618.8892497130219</v>
      </c>
      <c r="FZ170" s="563">
        <v>0</v>
      </c>
      <c r="GA170" s="563">
        <v>0</v>
      </c>
      <c r="GB170" s="563">
        <v>0</v>
      </c>
      <c r="GC170" s="650">
        <v>28822.269030535259</v>
      </c>
      <c r="GD170" s="564">
        <v>4000</v>
      </c>
      <c r="GE170" s="565">
        <v>97.808251281762224</v>
      </c>
      <c r="GF170" s="649">
        <v>1.6956000000000002</v>
      </c>
      <c r="GG170" s="646">
        <v>14.667565158030422</v>
      </c>
      <c r="GH170" s="646">
        <v>0</v>
      </c>
      <c r="GI170" s="646">
        <v>0</v>
      </c>
      <c r="GJ170" s="646">
        <v>14.629333038028493</v>
      </c>
      <c r="GK170" s="646">
        <v>0.30271895117309777</v>
      </c>
      <c r="GL170" s="646">
        <v>3600</v>
      </c>
      <c r="GM170" s="563" t="s">
        <v>1587</v>
      </c>
      <c r="GN170" s="563">
        <v>2</v>
      </c>
      <c r="GO170" s="563">
        <v>0</v>
      </c>
      <c r="GP170" s="563">
        <v>0</v>
      </c>
      <c r="GQ170" s="563">
        <v>0</v>
      </c>
      <c r="GR170" s="650">
        <v>11563.453351740282</v>
      </c>
      <c r="GS170" s="563">
        <v>0</v>
      </c>
      <c r="GT170" s="563">
        <v>0</v>
      </c>
      <c r="GU170" s="563">
        <v>0</v>
      </c>
      <c r="GV170" s="650">
        <v>38669.131690843133</v>
      </c>
      <c r="GW170" s="564">
        <v>4000</v>
      </c>
      <c r="GX170" s="565">
        <v>97.808251281762224</v>
      </c>
      <c r="GY170" s="649">
        <v>1.6956000000000002</v>
      </c>
      <c r="GZ170" s="646">
        <v>14.667565158030422</v>
      </c>
      <c r="HA170" s="646">
        <v>0</v>
      </c>
      <c r="HB170" s="646">
        <v>0</v>
      </c>
      <c r="HC170" s="646">
        <v>14.629333038028493</v>
      </c>
      <c r="HD170" s="646">
        <v>0.30271895117309777</v>
      </c>
      <c r="HE170" s="646">
        <v>3600</v>
      </c>
      <c r="HF170" s="563" t="s">
        <v>1587</v>
      </c>
      <c r="HG170" s="563">
        <v>2</v>
      </c>
      <c r="HH170" s="563">
        <v>0</v>
      </c>
      <c r="HI170" s="563">
        <v>0</v>
      </c>
      <c r="HJ170" s="563">
        <v>0</v>
      </c>
      <c r="HK170" s="650">
        <v>11563.453351740282</v>
      </c>
      <c r="HL170" s="563">
        <v>0</v>
      </c>
      <c r="HM170" s="563">
        <v>0</v>
      </c>
      <c r="HN170" s="563">
        <v>0</v>
      </c>
      <c r="HO170" s="650">
        <v>38669.131690843133</v>
      </c>
      <c r="HP170" s="564">
        <v>4000</v>
      </c>
      <c r="HQ170" s="565">
        <v>97.808251281762224</v>
      </c>
      <c r="HR170" s="649">
        <v>1.6956000000000002</v>
      </c>
      <c r="HS170" s="646">
        <v>14.667565158030422</v>
      </c>
      <c r="HT170" s="646">
        <v>0</v>
      </c>
      <c r="HU170" s="646">
        <v>0</v>
      </c>
      <c r="HV170" s="646">
        <v>14.629333038028493</v>
      </c>
      <c r="HW170" s="646">
        <v>0.30271895117309777</v>
      </c>
      <c r="HX170" s="646">
        <v>3600</v>
      </c>
      <c r="HY170" s="563" t="s">
        <v>68</v>
      </c>
      <c r="HZ170" s="563">
        <v>2</v>
      </c>
      <c r="IA170" s="563">
        <v>0</v>
      </c>
      <c r="IB170" s="563">
        <v>0</v>
      </c>
      <c r="IC170" s="563">
        <v>0</v>
      </c>
      <c r="ID170" s="650">
        <v>10198.007288597026</v>
      </c>
      <c r="IE170" s="563">
        <v>0</v>
      </c>
      <c r="IF170" s="563">
        <v>0</v>
      </c>
      <c r="IG170" s="563">
        <v>0</v>
      </c>
      <c r="IH170" s="650">
        <v>34102.968622925728</v>
      </c>
      <c r="II170" s="564">
        <v>4000</v>
      </c>
      <c r="IJ170" s="565">
        <v>97.808251281762224</v>
      </c>
      <c r="IK170" s="649">
        <v>1.6956000000000002</v>
      </c>
      <c r="IL170" s="646">
        <v>14.667565158030422</v>
      </c>
      <c r="IM170" s="646">
        <v>0</v>
      </c>
      <c r="IN170" s="646">
        <v>0</v>
      </c>
      <c r="IO170" s="646">
        <v>14.629333038028493</v>
      </c>
      <c r="IP170" s="646">
        <v>0.30271895117309777</v>
      </c>
      <c r="IQ170" s="646">
        <v>3600</v>
      </c>
      <c r="IR170" s="563" t="s">
        <v>68</v>
      </c>
      <c r="IS170" s="563">
        <v>2</v>
      </c>
      <c r="IT170" s="563">
        <v>0</v>
      </c>
      <c r="IU170" s="563">
        <v>0</v>
      </c>
      <c r="IV170" s="563">
        <v>0</v>
      </c>
      <c r="IW170" s="650">
        <v>10198.007288597026</v>
      </c>
      <c r="IX170" s="563">
        <v>0</v>
      </c>
      <c r="IY170" s="563">
        <v>0</v>
      </c>
      <c r="IZ170" s="563">
        <v>0</v>
      </c>
      <c r="JA170" s="650">
        <v>34102.968622925728</v>
      </c>
      <c r="JB170" s="564">
        <v>4000</v>
      </c>
      <c r="JC170" s="565">
        <v>97.808251281762224</v>
      </c>
      <c r="JD170" s="649">
        <v>1.6956000000000002</v>
      </c>
      <c r="JE170" s="646">
        <v>14.667565158030422</v>
      </c>
      <c r="JF170" s="646">
        <v>0</v>
      </c>
      <c r="JG170" s="646">
        <v>0</v>
      </c>
      <c r="JH170" s="646">
        <v>14.629333038028493</v>
      </c>
      <c r="JI170" s="646">
        <v>0.30271895117309777</v>
      </c>
      <c r="JJ170" s="646">
        <v>3600</v>
      </c>
      <c r="JK170" s="563" t="s">
        <v>67</v>
      </c>
      <c r="JL170" s="563">
        <v>2</v>
      </c>
      <c r="JM170" s="563">
        <v>0</v>
      </c>
      <c r="JN170" s="563">
        <v>0</v>
      </c>
      <c r="JO170" s="563">
        <v>0</v>
      </c>
      <c r="JP170" s="650">
        <v>13897.541327045166</v>
      </c>
      <c r="JQ170" s="563">
        <v>0</v>
      </c>
      <c r="JR170" s="563">
        <v>0</v>
      </c>
      <c r="JS170" s="563">
        <v>0</v>
      </c>
      <c r="JT170" s="650">
        <v>46474.512363001355</v>
      </c>
      <c r="JU170" s="564">
        <v>4000</v>
      </c>
      <c r="JV170" s="565">
        <v>97.808251281762224</v>
      </c>
      <c r="JW170" s="649">
        <v>1.6956000000000002</v>
      </c>
      <c r="JX170" s="646">
        <v>14.667565158030422</v>
      </c>
      <c r="JY170" s="646">
        <v>0</v>
      </c>
      <c r="JZ170" s="646">
        <v>0</v>
      </c>
      <c r="KA170" s="646">
        <v>14.629333038028493</v>
      </c>
      <c r="KB170" s="646">
        <v>0.30271895117309777</v>
      </c>
      <c r="KC170" s="646">
        <v>3600</v>
      </c>
      <c r="KD170" s="563" t="s">
        <v>67</v>
      </c>
      <c r="KE170" s="563">
        <v>2</v>
      </c>
      <c r="KF170" s="563">
        <v>0</v>
      </c>
      <c r="KG170" s="563">
        <v>0</v>
      </c>
      <c r="KH170" s="563">
        <v>0</v>
      </c>
      <c r="KI170" s="650">
        <v>13897.541327045166</v>
      </c>
      <c r="KJ170" s="563">
        <v>0</v>
      </c>
      <c r="KK170" s="563">
        <v>0</v>
      </c>
      <c r="KL170" s="563">
        <v>0</v>
      </c>
      <c r="KM170" s="650">
        <v>46474.512363001355</v>
      </c>
      <c r="KN170" s="564">
        <v>4000</v>
      </c>
      <c r="KO170" s="566">
        <v>97.808251281762224</v>
      </c>
    </row>
    <row r="171" spans="1:301" ht="15" customHeight="1">
      <c r="A171" s="663" t="s">
        <v>920</v>
      </c>
      <c r="B171" s="629" t="s">
        <v>382</v>
      </c>
      <c r="C171" s="629">
        <v>190</v>
      </c>
      <c r="D171" s="629">
        <v>532</v>
      </c>
      <c r="E171" s="629">
        <v>166</v>
      </c>
      <c r="F171" s="629">
        <v>190</v>
      </c>
      <c r="G171" s="629">
        <v>34</v>
      </c>
      <c r="H171" s="629">
        <v>20</v>
      </c>
      <c r="I171" s="629">
        <v>20</v>
      </c>
      <c r="J171" s="629">
        <v>33.03</v>
      </c>
      <c r="K171" s="629">
        <v>71.83</v>
      </c>
      <c r="L171" s="629">
        <v>16</v>
      </c>
      <c r="M171" s="629">
        <v>200</v>
      </c>
      <c r="N171" s="629">
        <v>2</v>
      </c>
      <c r="O171" s="623">
        <v>3.1501123387070633</v>
      </c>
      <c r="P171" s="629">
        <v>2</v>
      </c>
      <c r="Q171" s="623">
        <v>1.9518909497693384</v>
      </c>
      <c r="R171" s="629">
        <v>13.000000000000002</v>
      </c>
      <c r="S171" s="629">
        <v>353.1705399691516</v>
      </c>
      <c r="T171" s="645">
        <v>9.9970491923239102</v>
      </c>
      <c r="U171" s="645">
        <v>52.975580995372738</v>
      </c>
      <c r="V171" s="645">
        <v>47.5</v>
      </c>
      <c r="W171" s="793">
        <v>0.61640459563247174</v>
      </c>
      <c r="X171" s="646">
        <v>0</v>
      </c>
      <c r="Y171" s="646">
        <v>0</v>
      </c>
      <c r="Z171" s="646">
        <v>0</v>
      </c>
      <c r="AA171" s="646">
        <v>0</v>
      </c>
      <c r="AB171" s="647">
        <v>0.5902376068613171</v>
      </c>
      <c r="AC171" s="784">
        <v>4000</v>
      </c>
      <c r="AD171" s="631">
        <v>2.5725232629525818</v>
      </c>
      <c r="AE171" s="631">
        <v>0.6501522626783206</v>
      </c>
      <c r="AF171" s="631">
        <v>-0.11793545012951868</v>
      </c>
      <c r="AG171" s="631">
        <v>0.94332933570747968</v>
      </c>
      <c r="AH171" s="629"/>
      <c r="AI171" s="648">
        <v>0.96044037179230202</v>
      </c>
      <c r="AJ171" s="649">
        <v>1.5072000000000001</v>
      </c>
      <c r="AK171" s="646">
        <v>17.222657076432785</v>
      </c>
      <c r="AL171" s="646">
        <v>0</v>
      </c>
      <c r="AM171" s="646">
        <v>0</v>
      </c>
      <c r="AN171" s="646">
        <v>9.2695665896260042</v>
      </c>
      <c r="AO171" s="646">
        <v>0.43777025797004587</v>
      </c>
      <c r="AP171" s="801">
        <v>3600</v>
      </c>
      <c r="AQ171" s="563" t="s">
        <v>71</v>
      </c>
      <c r="AR171" s="563">
        <v>3</v>
      </c>
      <c r="AS171" s="563">
        <v>0</v>
      </c>
      <c r="AT171" s="563">
        <v>0</v>
      </c>
      <c r="AU171" s="563">
        <v>0</v>
      </c>
      <c r="AV171" s="650">
        <v>37880.196987361393</v>
      </c>
      <c r="AW171" s="563">
        <v>0</v>
      </c>
      <c r="AX171" s="563">
        <v>0</v>
      </c>
      <c r="AY171" s="563">
        <v>0</v>
      </c>
      <c r="AZ171" s="650">
        <v>71482.689196847219</v>
      </c>
      <c r="BA171" s="564">
        <v>4000</v>
      </c>
      <c r="BB171" s="565">
        <v>111.421819447318</v>
      </c>
      <c r="BC171" s="649">
        <v>1.5072000000000001</v>
      </c>
      <c r="BD171" s="646">
        <v>17.222657076432785</v>
      </c>
      <c r="BE171" s="646">
        <v>0</v>
      </c>
      <c r="BF171" s="646">
        <v>0</v>
      </c>
      <c r="BG171" s="646">
        <v>9.2695665896260042</v>
      </c>
      <c r="BH171" s="646">
        <v>0.43777025797004587</v>
      </c>
      <c r="BI171" s="646">
        <v>3600</v>
      </c>
      <c r="BJ171" s="563" t="s">
        <v>71</v>
      </c>
      <c r="BK171" s="563">
        <v>3</v>
      </c>
      <c r="BL171" s="563">
        <v>0</v>
      </c>
      <c r="BM171" s="563">
        <v>0</v>
      </c>
      <c r="BN171" s="563">
        <v>0</v>
      </c>
      <c r="BO171" s="650">
        <v>37880.196987361393</v>
      </c>
      <c r="BP171" s="563">
        <v>0</v>
      </c>
      <c r="BQ171" s="563">
        <v>0</v>
      </c>
      <c r="BR171" s="563">
        <v>0</v>
      </c>
      <c r="BS171" s="650">
        <v>71482.689196847219</v>
      </c>
      <c r="BT171" s="564">
        <v>4000</v>
      </c>
      <c r="BU171" s="565">
        <v>111.421819447318</v>
      </c>
      <c r="BV171" s="649">
        <v>1.0048000000000001</v>
      </c>
      <c r="BW171" s="646">
        <v>16.720257076432784</v>
      </c>
      <c r="BX171" s="646">
        <v>0</v>
      </c>
      <c r="BY171" s="646">
        <v>0</v>
      </c>
      <c r="BZ171" s="646">
        <v>9.2476189758007887</v>
      </c>
      <c r="CA171" s="646">
        <v>0.4177292707700459</v>
      </c>
      <c r="CB171" s="646">
        <v>3600</v>
      </c>
      <c r="CC171" s="563" t="s">
        <v>1584</v>
      </c>
      <c r="CD171" s="563">
        <v>2</v>
      </c>
      <c r="CE171" s="563">
        <v>0</v>
      </c>
      <c r="CF171" s="563">
        <v>0</v>
      </c>
      <c r="CG171" s="563">
        <v>0</v>
      </c>
      <c r="CH171" s="650">
        <v>25203.439592641578</v>
      </c>
      <c r="CI171" s="563">
        <v>0</v>
      </c>
      <c r="CJ171" s="563">
        <v>0</v>
      </c>
      <c r="CK171" s="563">
        <v>0</v>
      </c>
      <c r="CL171" s="650">
        <v>24743.227730677783</v>
      </c>
      <c r="CM171" s="564">
        <v>4000</v>
      </c>
      <c r="CN171" s="565">
        <v>111.421819447318</v>
      </c>
      <c r="CO171" s="649">
        <v>1.0048000000000001</v>
      </c>
      <c r="CP171" s="646">
        <v>16.720257076432784</v>
      </c>
      <c r="CQ171" s="646">
        <v>0</v>
      </c>
      <c r="CR171" s="646">
        <v>0</v>
      </c>
      <c r="CS171" s="646">
        <v>9.2476189758007887</v>
      </c>
      <c r="CT171" s="646">
        <v>0.4177292707700459</v>
      </c>
      <c r="CU171" s="646">
        <v>3600</v>
      </c>
      <c r="CV171" s="563" t="s">
        <v>1584</v>
      </c>
      <c r="CW171" s="563">
        <v>2</v>
      </c>
      <c r="CX171" s="563">
        <v>0</v>
      </c>
      <c r="CY171" s="563">
        <v>0</v>
      </c>
      <c r="CZ171" s="563">
        <v>0</v>
      </c>
      <c r="DA171" s="650">
        <v>25203.439592641578</v>
      </c>
      <c r="DB171" s="563">
        <v>0</v>
      </c>
      <c r="DC171" s="563">
        <v>0</v>
      </c>
      <c r="DD171" s="563">
        <v>0</v>
      </c>
      <c r="DE171" s="650">
        <v>24743.227730677783</v>
      </c>
      <c r="DF171" s="564">
        <v>4000</v>
      </c>
      <c r="DG171" s="565">
        <v>111.421819447318</v>
      </c>
      <c r="DH171" s="649">
        <v>1.0048000000000001</v>
      </c>
      <c r="DI171" s="646">
        <v>16.720257076432784</v>
      </c>
      <c r="DJ171" s="646">
        <v>0</v>
      </c>
      <c r="DK171" s="646">
        <v>0</v>
      </c>
      <c r="DL171" s="646">
        <v>9.2476189758007887</v>
      </c>
      <c r="DM171" s="646">
        <v>0.4177292707700459</v>
      </c>
      <c r="DN171" s="646">
        <v>3600</v>
      </c>
      <c r="DO171" s="563" t="s">
        <v>1585</v>
      </c>
      <c r="DP171" s="563">
        <v>2</v>
      </c>
      <c r="DQ171" s="563">
        <v>0</v>
      </c>
      <c r="DR171" s="563">
        <v>0</v>
      </c>
      <c r="DS171" s="563">
        <v>0</v>
      </c>
      <c r="DT171" s="650">
        <v>26943.610263976621</v>
      </c>
      <c r="DU171" s="563">
        <v>0</v>
      </c>
      <c r="DV171" s="563">
        <v>0</v>
      </c>
      <c r="DW171" s="563">
        <v>0</v>
      </c>
      <c r="DX171" s="650">
        <v>26451.623088891713</v>
      </c>
      <c r="DY171" s="564">
        <v>4000</v>
      </c>
      <c r="DZ171" s="565">
        <v>111.421819447318</v>
      </c>
      <c r="EA171" s="649">
        <v>1.0048000000000001</v>
      </c>
      <c r="EB171" s="646">
        <v>16.720257076432784</v>
      </c>
      <c r="EC171" s="646">
        <v>0</v>
      </c>
      <c r="ED171" s="646">
        <v>0</v>
      </c>
      <c r="EE171" s="646">
        <v>9.2476189758007887</v>
      </c>
      <c r="EF171" s="646">
        <v>0.4177292707700459</v>
      </c>
      <c r="EG171" s="646">
        <v>3600</v>
      </c>
      <c r="EH171" s="563" t="s">
        <v>1585</v>
      </c>
      <c r="EI171" s="563">
        <v>2</v>
      </c>
      <c r="EJ171" s="563">
        <v>0</v>
      </c>
      <c r="EK171" s="563">
        <v>0</v>
      </c>
      <c r="EL171" s="563">
        <v>0</v>
      </c>
      <c r="EM171" s="650">
        <v>26943.610263976621</v>
      </c>
      <c r="EN171" s="563">
        <v>0</v>
      </c>
      <c r="EO171" s="563">
        <v>0</v>
      </c>
      <c r="EP171" s="563">
        <v>0</v>
      </c>
      <c r="EQ171" s="650">
        <v>26451.623088891713</v>
      </c>
      <c r="ER171" s="564">
        <v>4000</v>
      </c>
      <c r="ES171" s="565">
        <v>111.421819447318</v>
      </c>
      <c r="ET171" s="649">
        <v>1.0048000000000001</v>
      </c>
      <c r="EU171" s="646">
        <v>16.720257076432784</v>
      </c>
      <c r="EV171" s="646">
        <v>0</v>
      </c>
      <c r="EW171" s="646">
        <v>0</v>
      </c>
      <c r="EX171" s="646">
        <v>9.2476189758007887</v>
      </c>
      <c r="EY171" s="646">
        <v>0.4177292707700459</v>
      </c>
      <c r="EZ171" s="646">
        <v>3600</v>
      </c>
      <c r="FA171" s="563" t="s">
        <v>1586</v>
      </c>
      <c r="FB171" s="563">
        <v>2</v>
      </c>
      <c r="FC171" s="563">
        <v>0</v>
      </c>
      <c r="FD171" s="563">
        <v>0</v>
      </c>
      <c r="FE171" s="563">
        <v>0</v>
      </c>
      <c r="FF171" s="650">
        <v>27499.207072982608</v>
      </c>
      <c r="FG171" s="563">
        <v>0</v>
      </c>
      <c r="FH171" s="563">
        <v>0</v>
      </c>
      <c r="FI171" s="563">
        <v>0</v>
      </c>
      <c r="FJ171" s="650">
        <v>26997.074765086087</v>
      </c>
      <c r="FK171" s="564">
        <v>4000</v>
      </c>
      <c r="FL171" s="565">
        <v>111.421819447318</v>
      </c>
      <c r="FM171" s="649">
        <v>1.0048000000000001</v>
      </c>
      <c r="FN171" s="646">
        <v>16.720257076432784</v>
      </c>
      <c r="FO171" s="646">
        <v>0</v>
      </c>
      <c r="FP171" s="646">
        <v>0</v>
      </c>
      <c r="FQ171" s="646">
        <v>9.2476189758007887</v>
      </c>
      <c r="FR171" s="646">
        <v>0.4177292707700459</v>
      </c>
      <c r="FS171" s="646">
        <v>3600</v>
      </c>
      <c r="FT171" s="563" t="s">
        <v>1586</v>
      </c>
      <c r="FU171" s="563">
        <v>2</v>
      </c>
      <c r="FV171" s="563">
        <v>0</v>
      </c>
      <c r="FW171" s="563">
        <v>0</v>
      </c>
      <c r="FX171" s="563">
        <v>0</v>
      </c>
      <c r="FY171" s="650">
        <v>27499.207072982608</v>
      </c>
      <c r="FZ171" s="563">
        <v>0</v>
      </c>
      <c r="GA171" s="563">
        <v>0</v>
      </c>
      <c r="GB171" s="563">
        <v>0</v>
      </c>
      <c r="GC171" s="650">
        <v>26997.074765086087</v>
      </c>
      <c r="GD171" s="564">
        <v>4000</v>
      </c>
      <c r="GE171" s="565">
        <v>111.421819447318</v>
      </c>
      <c r="GF171" s="649">
        <v>1.0048000000000001</v>
      </c>
      <c r="GG171" s="646">
        <v>16.720257076432784</v>
      </c>
      <c r="GH171" s="646">
        <v>0</v>
      </c>
      <c r="GI171" s="646">
        <v>0</v>
      </c>
      <c r="GJ171" s="646">
        <v>9.2476189758007887</v>
      </c>
      <c r="GK171" s="646">
        <v>0.4177292707700459</v>
      </c>
      <c r="GL171" s="646">
        <v>3600</v>
      </c>
      <c r="GM171" s="563" t="s">
        <v>1587</v>
      </c>
      <c r="GN171" s="563">
        <v>2</v>
      </c>
      <c r="GO171" s="563">
        <v>0</v>
      </c>
      <c r="GP171" s="563">
        <v>0</v>
      </c>
      <c r="GQ171" s="563">
        <v>0</v>
      </c>
      <c r="GR171" s="650">
        <v>36894.057805512646</v>
      </c>
      <c r="GS171" s="563">
        <v>0</v>
      </c>
      <c r="GT171" s="563">
        <v>0</v>
      </c>
      <c r="GU171" s="563">
        <v>0</v>
      </c>
      <c r="GV171" s="650">
        <v>36220.376621023228</v>
      </c>
      <c r="GW171" s="564">
        <v>4000</v>
      </c>
      <c r="GX171" s="565">
        <v>111.421819447318</v>
      </c>
      <c r="GY171" s="649">
        <v>1.0048000000000001</v>
      </c>
      <c r="GZ171" s="646">
        <v>16.720257076432784</v>
      </c>
      <c r="HA171" s="646">
        <v>0</v>
      </c>
      <c r="HB171" s="646">
        <v>0</v>
      </c>
      <c r="HC171" s="646">
        <v>9.2476189758007887</v>
      </c>
      <c r="HD171" s="646">
        <v>0.4177292707700459</v>
      </c>
      <c r="HE171" s="646">
        <v>3600</v>
      </c>
      <c r="HF171" s="563" t="s">
        <v>1587</v>
      </c>
      <c r="HG171" s="563">
        <v>2</v>
      </c>
      <c r="HH171" s="563">
        <v>0</v>
      </c>
      <c r="HI171" s="563">
        <v>0</v>
      </c>
      <c r="HJ171" s="563">
        <v>0</v>
      </c>
      <c r="HK171" s="650">
        <v>36894.057805512646</v>
      </c>
      <c r="HL171" s="563">
        <v>0</v>
      </c>
      <c r="HM171" s="563">
        <v>0</v>
      </c>
      <c r="HN171" s="563">
        <v>0</v>
      </c>
      <c r="HO171" s="650">
        <v>36220.376621023228</v>
      </c>
      <c r="HP171" s="564">
        <v>4000</v>
      </c>
      <c r="HQ171" s="565">
        <v>111.421819447318</v>
      </c>
      <c r="HR171" s="649">
        <v>1.0048000000000001</v>
      </c>
      <c r="HS171" s="646">
        <v>16.720257076432784</v>
      </c>
      <c r="HT171" s="646">
        <v>0</v>
      </c>
      <c r="HU171" s="646">
        <v>0</v>
      </c>
      <c r="HV171" s="646">
        <v>9.2476189758007887</v>
      </c>
      <c r="HW171" s="646">
        <v>0.4177292707700459</v>
      </c>
      <c r="HX171" s="646">
        <v>3600</v>
      </c>
      <c r="HY171" s="563" t="s">
        <v>68</v>
      </c>
      <c r="HZ171" s="563">
        <v>2</v>
      </c>
      <c r="IA171" s="563">
        <v>0</v>
      </c>
      <c r="IB171" s="563">
        <v>0</v>
      </c>
      <c r="IC171" s="563">
        <v>0</v>
      </c>
      <c r="ID171" s="650">
        <v>32537.500603148492</v>
      </c>
      <c r="IE171" s="563">
        <v>0</v>
      </c>
      <c r="IF171" s="563">
        <v>0</v>
      </c>
      <c r="IG171" s="563">
        <v>0</v>
      </c>
      <c r="IH171" s="650">
        <v>31943.369644110917</v>
      </c>
      <c r="II171" s="564">
        <v>4000</v>
      </c>
      <c r="IJ171" s="565">
        <v>111.421819447318</v>
      </c>
      <c r="IK171" s="649">
        <v>1.0048000000000001</v>
      </c>
      <c r="IL171" s="646">
        <v>16.720257076432784</v>
      </c>
      <c r="IM171" s="646">
        <v>0</v>
      </c>
      <c r="IN171" s="646">
        <v>0</v>
      </c>
      <c r="IO171" s="646">
        <v>9.2476189758007887</v>
      </c>
      <c r="IP171" s="646">
        <v>0.4177292707700459</v>
      </c>
      <c r="IQ171" s="646">
        <v>3600</v>
      </c>
      <c r="IR171" s="563" t="s">
        <v>68</v>
      </c>
      <c r="IS171" s="563">
        <v>2</v>
      </c>
      <c r="IT171" s="563">
        <v>0</v>
      </c>
      <c r="IU171" s="563">
        <v>0</v>
      </c>
      <c r="IV171" s="563">
        <v>0</v>
      </c>
      <c r="IW171" s="650">
        <v>32537.500603148492</v>
      </c>
      <c r="IX171" s="563">
        <v>0</v>
      </c>
      <c r="IY171" s="563">
        <v>0</v>
      </c>
      <c r="IZ171" s="563">
        <v>0</v>
      </c>
      <c r="JA171" s="650">
        <v>31943.369644110917</v>
      </c>
      <c r="JB171" s="564">
        <v>4000</v>
      </c>
      <c r="JC171" s="565">
        <v>111.421819447318</v>
      </c>
      <c r="JD171" s="649">
        <v>1.0048000000000001</v>
      </c>
      <c r="JE171" s="646">
        <v>16.720257076432784</v>
      </c>
      <c r="JF171" s="646">
        <v>0</v>
      </c>
      <c r="JG171" s="646">
        <v>0</v>
      </c>
      <c r="JH171" s="646">
        <v>9.2476189758007887</v>
      </c>
      <c r="JI171" s="646">
        <v>0.4177292707700459</v>
      </c>
      <c r="JJ171" s="646">
        <v>3600</v>
      </c>
      <c r="JK171" s="563" t="s">
        <v>67</v>
      </c>
      <c r="JL171" s="563">
        <v>2</v>
      </c>
      <c r="JM171" s="563">
        <v>0</v>
      </c>
      <c r="JN171" s="563">
        <v>0</v>
      </c>
      <c r="JO171" s="563">
        <v>0</v>
      </c>
      <c r="JP171" s="650">
        <v>44341.139059237634</v>
      </c>
      <c r="JQ171" s="563">
        <v>0</v>
      </c>
      <c r="JR171" s="563">
        <v>0</v>
      </c>
      <c r="JS171" s="563">
        <v>0</v>
      </c>
      <c r="JT171" s="650">
        <v>43531.475041223173</v>
      </c>
      <c r="JU171" s="564">
        <v>4000</v>
      </c>
      <c r="JV171" s="565">
        <v>111.421819447318</v>
      </c>
      <c r="JW171" s="649">
        <v>1.0048000000000001</v>
      </c>
      <c r="JX171" s="646">
        <v>16.720257076432784</v>
      </c>
      <c r="JY171" s="646">
        <v>0</v>
      </c>
      <c r="JZ171" s="646">
        <v>0</v>
      </c>
      <c r="KA171" s="646">
        <v>9.2476189758007887</v>
      </c>
      <c r="KB171" s="646">
        <v>0.4177292707700459</v>
      </c>
      <c r="KC171" s="646">
        <v>3600</v>
      </c>
      <c r="KD171" s="563" t="s">
        <v>67</v>
      </c>
      <c r="KE171" s="563">
        <v>2</v>
      </c>
      <c r="KF171" s="563">
        <v>0</v>
      </c>
      <c r="KG171" s="563">
        <v>0</v>
      </c>
      <c r="KH171" s="563">
        <v>0</v>
      </c>
      <c r="KI171" s="650">
        <v>44341.139059237634</v>
      </c>
      <c r="KJ171" s="563">
        <v>0</v>
      </c>
      <c r="KK171" s="563">
        <v>0</v>
      </c>
      <c r="KL171" s="563">
        <v>0</v>
      </c>
      <c r="KM171" s="650">
        <v>43531.475041223173</v>
      </c>
      <c r="KN171" s="564">
        <v>4000</v>
      </c>
      <c r="KO171" s="566">
        <v>111.421819447318</v>
      </c>
    </row>
    <row r="172" spans="1:301" ht="15" customHeight="1">
      <c r="A172" s="663" t="s">
        <v>921</v>
      </c>
      <c r="B172" s="629" t="s">
        <v>382</v>
      </c>
      <c r="C172" s="629">
        <v>190</v>
      </c>
      <c r="D172" s="629">
        <v>532</v>
      </c>
      <c r="E172" s="629">
        <v>166</v>
      </c>
      <c r="F172" s="629">
        <v>190</v>
      </c>
      <c r="G172" s="629">
        <v>34</v>
      </c>
      <c r="H172" s="629">
        <v>20</v>
      </c>
      <c r="I172" s="629">
        <v>20</v>
      </c>
      <c r="J172" s="629">
        <v>33.03</v>
      </c>
      <c r="K172" s="629">
        <v>71.8</v>
      </c>
      <c r="L172" s="629">
        <v>16</v>
      </c>
      <c r="M172" s="629">
        <v>200</v>
      </c>
      <c r="N172" s="629">
        <v>2</v>
      </c>
      <c r="O172" s="623">
        <v>3.1501123387070633</v>
      </c>
      <c r="P172" s="629">
        <v>2</v>
      </c>
      <c r="Q172" s="623">
        <v>1.9493225889447492</v>
      </c>
      <c r="R172" s="629">
        <v>13.000000000000002</v>
      </c>
      <c r="S172" s="629">
        <v>353.4653015259118</v>
      </c>
      <c r="T172" s="645">
        <v>10.013743537683741</v>
      </c>
      <c r="U172" s="645">
        <v>53.019795228886771</v>
      </c>
      <c r="V172" s="645">
        <v>47.5</v>
      </c>
      <c r="W172" s="793">
        <v>0.61743394649420191</v>
      </c>
      <c r="X172" s="646">
        <v>0</v>
      </c>
      <c r="Y172" s="646">
        <v>0</v>
      </c>
      <c r="Z172" s="646">
        <v>0</v>
      </c>
      <c r="AA172" s="646">
        <v>0</v>
      </c>
      <c r="AB172" s="647">
        <v>0.59071968576958134</v>
      </c>
      <c r="AC172" s="784">
        <v>4000</v>
      </c>
      <c r="AD172" s="631">
        <v>2.5694522108979307</v>
      </c>
      <c r="AE172" s="631">
        <v>0.6501522626783206</v>
      </c>
      <c r="AF172" s="631">
        <v>-0.11252100230808072</v>
      </c>
      <c r="AG172" s="631">
        <v>0.94378242752724562</v>
      </c>
      <c r="AH172" s="629"/>
      <c r="AI172" s="648">
        <v>0.96044037179230202</v>
      </c>
      <c r="AJ172" s="649">
        <v>1.5072000000000001</v>
      </c>
      <c r="AK172" s="646">
        <v>17.237812411829758</v>
      </c>
      <c r="AL172" s="646">
        <v>0</v>
      </c>
      <c r="AM172" s="646">
        <v>0</v>
      </c>
      <c r="AN172" s="646">
        <v>9.2689811659406303</v>
      </c>
      <c r="AO172" s="646">
        <v>0.43821110725697177</v>
      </c>
      <c r="AP172" s="801">
        <v>3600</v>
      </c>
      <c r="AQ172" s="563" t="s">
        <v>71</v>
      </c>
      <c r="AR172" s="563">
        <v>3</v>
      </c>
      <c r="AS172" s="563">
        <v>0</v>
      </c>
      <c r="AT172" s="563">
        <v>0</v>
      </c>
      <c r="AU172" s="563">
        <v>0</v>
      </c>
      <c r="AV172" s="650">
        <v>33673.948344186356</v>
      </c>
      <c r="AW172" s="563">
        <v>0</v>
      </c>
      <c r="AX172" s="563">
        <v>0</v>
      </c>
      <c r="AY172" s="563">
        <v>0</v>
      </c>
      <c r="AZ172" s="650">
        <v>35929.065372165904</v>
      </c>
      <c r="BA172" s="564">
        <v>4000</v>
      </c>
      <c r="BB172" s="565">
        <v>111.421819447318</v>
      </c>
      <c r="BC172" s="649">
        <v>1.5072000000000001</v>
      </c>
      <c r="BD172" s="646">
        <v>17.237812411829758</v>
      </c>
      <c r="BE172" s="646">
        <v>0</v>
      </c>
      <c r="BF172" s="646">
        <v>0</v>
      </c>
      <c r="BG172" s="646">
        <v>9.2689811659406303</v>
      </c>
      <c r="BH172" s="646">
        <v>0.43821110725697177</v>
      </c>
      <c r="BI172" s="646">
        <v>3600</v>
      </c>
      <c r="BJ172" s="563" t="s">
        <v>71</v>
      </c>
      <c r="BK172" s="563">
        <v>3</v>
      </c>
      <c r="BL172" s="563">
        <v>0</v>
      </c>
      <c r="BM172" s="563">
        <v>0</v>
      </c>
      <c r="BN172" s="563">
        <v>0</v>
      </c>
      <c r="BO172" s="650">
        <v>33673.948344186356</v>
      </c>
      <c r="BP172" s="563">
        <v>0</v>
      </c>
      <c r="BQ172" s="563">
        <v>0</v>
      </c>
      <c r="BR172" s="563">
        <v>0</v>
      </c>
      <c r="BS172" s="650">
        <v>35929.065372165904</v>
      </c>
      <c r="BT172" s="564">
        <v>4000</v>
      </c>
      <c r="BU172" s="565">
        <v>111.421819447318</v>
      </c>
      <c r="BV172" s="649">
        <v>1.0048000000000001</v>
      </c>
      <c r="BW172" s="646">
        <v>16.735412411829756</v>
      </c>
      <c r="BX172" s="646">
        <v>0</v>
      </c>
      <c r="BY172" s="646">
        <v>0</v>
      </c>
      <c r="BZ172" s="646">
        <v>9.2470358530201189</v>
      </c>
      <c r="CA172" s="646">
        <v>0.41817012005697174</v>
      </c>
      <c r="CB172" s="646">
        <v>3600</v>
      </c>
      <c r="CC172" s="563" t="s">
        <v>1584</v>
      </c>
      <c r="CD172" s="563">
        <v>2</v>
      </c>
      <c r="CE172" s="563">
        <v>0</v>
      </c>
      <c r="CF172" s="563">
        <v>0</v>
      </c>
      <c r="CG172" s="563">
        <v>0</v>
      </c>
      <c r="CH172" s="650">
        <v>25203.439592641578</v>
      </c>
      <c r="CI172" s="563">
        <v>0</v>
      </c>
      <c r="CJ172" s="563">
        <v>0</v>
      </c>
      <c r="CK172" s="563">
        <v>0</v>
      </c>
      <c r="CL172" s="650">
        <v>17770.844634803678</v>
      </c>
      <c r="CM172" s="564">
        <v>4000</v>
      </c>
      <c r="CN172" s="565">
        <v>111.421819447318</v>
      </c>
      <c r="CO172" s="649">
        <v>1.0048000000000001</v>
      </c>
      <c r="CP172" s="646">
        <v>16.735412411829756</v>
      </c>
      <c r="CQ172" s="646">
        <v>0</v>
      </c>
      <c r="CR172" s="646">
        <v>0</v>
      </c>
      <c r="CS172" s="646">
        <v>9.2470358530201189</v>
      </c>
      <c r="CT172" s="646">
        <v>0.41817012005697174</v>
      </c>
      <c r="CU172" s="646">
        <v>3600</v>
      </c>
      <c r="CV172" s="563" t="s">
        <v>1584</v>
      </c>
      <c r="CW172" s="563">
        <v>2</v>
      </c>
      <c r="CX172" s="563">
        <v>0</v>
      </c>
      <c r="CY172" s="563">
        <v>0</v>
      </c>
      <c r="CZ172" s="563">
        <v>0</v>
      </c>
      <c r="DA172" s="650">
        <v>25203.439592641578</v>
      </c>
      <c r="DB172" s="563">
        <v>0</v>
      </c>
      <c r="DC172" s="563">
        <v>0</v>
      </c>
      <c r="DD172" s="563">
        <v>0</v>
      </c>
      <c r="DE172" s="650">
        <v>17770.844634803678</v>
      </c>
      <c r="DF172" s="564">
        <v>4000</v>
      </c>
      <c r="DG172" s="565">
        <v>111.421819447318</v>
      </c>
      <c r="DH172" s="649">
        <v>1.0048000000000001</v>
      </c>
      <c r="DI172" s="646">
        <v>16.735412411829756</v>
      </c>
      <c r="DJ172" s="646">
        <v>0</v>
      </c>
      <c r="DK172" s="646">
        <v>0</v>
      </c>
      <c r="DL172" s="646">
        <v>9.2470358530201189</v>
      </c>
      <c r="DM172" s="646">
        <v>0.41817012005697174</v>
      </c>
      <c r="DN172" s="646">
        <v>3600</v>
      </c>
      <c r="DO172" s="563" t="s">
        <v>1585</v>
      </c>
      <c r="DP172" s="563">
        <v>2</v>
      </c>
      <c r="DQ172" s="563">
        <v>0</v>
      </c>
      <c r="DR172" s="563">
        <v>0</v>
      </c>
      <c r="DS172" s="563">
        <v>0</v>
      </c>
      <c r="DT172" s="650">
        <v>26943.610263976621</v>
      </c>
      <c r="DU172" s="563">
        <v>0</v>
      </c>
      <c r="DV172" s="563">
        <v>0</v>
      </c>
      <c r="DW172" s="563">
        <v>0</v>
      </c>
      <c r="DX172" s="650">
        <v>18997.832027721481</v>
      </c>
      <c r="DY172" s="564">
        <v>4000</v>
      </c>
      <c r="DZ172" s="565">
        <v>111.421819447318</v>
      </c>
      <c r="EA172" s="649">
        <v>1.0048000000000001</v>
      </c>
      <c r="EB172" s="646">
        <v>16.735412411829756</v>
      </c>
      <c r="EC172" s="646">
        <v>0</v>
      </c>
      <c r="ED172" s="646">
        <v>0</v>
      </c>
      <c r="EE172" s="646">
        <v>9.2470358530201189</v>
      </c>
      <c r="EF172" s="646">
        <v>0.41817012005697174</v>
      </c>
      <c r="EG172" s="646">
        <v>3600</v>
      </c>
      <c r="EH172" s="563" t="s">
        <v>1585</v>
      </c>
      <c r="EI172" s="563">
        <v>2</v>
      </c>
      <c r="EJ172" s="563">
        <v>0</v>
      </c>
      <c r="EK172" s="563">
        <v>0</v>
      </c>
      <c r="EL172" s="563">
        <v>0</v>
      </c>
      <c r="EM172" s="650">
        <v>26943.610263976621</v>
      </c>
      <c r="EN172" s="563">
        <v>0</v>
      </c>
      <c r="EO172" s="563">
        <v>0</v>
      </c>
      <c r="EP172" s="563">
        <v>0</v>
      </c>
      <c r="EQ172" s="650">
        <v>18997.832027721481</v>
      </c>
      <c r="ER172" s="564">
        <v>4000</v>
      </c>
      <c r="ES172" s="565">
        <v>111.421819447318</v>
      </c>
      <c r="ET172" s="649">
        <v>1.0048000000000001</v>
      </c>
      <c r="EU172" s="646">
        <v>16.735412411829756</v>
      </c>
      <c r="EV172" s="646">
        <v>0</v>
      </c>
      <c r="EW172" s="646">
        <v>0</v>
      </c>
      <c r="EX172" s="646">
        <v>9.2470358530201189</v>
      </c>
      <c r="EY172" s="646">
        <v>0.41817012005697174</v>
      </c>
      <c r="EZ172" s="646">
        <v>3600</v>
      </c>
      <c r="FA172" s="563" t="s">
        <v>1586</v>
      </c>
      <c r="FB172" s="563">
        <v>2</v>
      </c>
      <c r="FC172" s="563">
        <v>0</v>
      </c>
      <c r="FD172" s="563">
        <v>0</v>
      </c>
      <c r="FE172" s="563">
        <v>0</v>
      </c>
      <c r="FF172" s="650">
        <v>27499.207072982608</v>
      </c>
      <c r="FG172" s="563">
        <v>0</v>
      </c>
      <c r="FH172" s="563">
        <v>0</v>
      </c>
      <c r="FI172" s="563">
        <v>0</v>
      </c>
      <c r="FJ172" s="650">
        <v>19389.581119592258</v>
      </c>
      <c r="FK172" s="564">
        <v>4000</v>
      </c>
      <c r="FL172" s="565">
        <v>111.421819447318</v>
      </c>
      <c r="FM172" s="649">
        <v>1.0048000000000001</v>
      </c>
      <c r="FN172" s="646">
        <v>16.735412411829756</v>
      </c>
      <c r="FO172" s="646">
        <v>0</v>
      </c>
      <c r="FP172" s="646">
        <v>0</v>
      </c>
      <c r="FQ172" s="646">
        <v>9.2470358530201189</v>
      </c>
      <c r="FR172" s="646">
        <v>0.41817012005697174</v>
      </c>
      <c r="FS172" s="646">
        <v>3600</v>
      </c>
      <c r="FT172" s="563" t="s">
        <v>1586</v>
      </c>
      <c r="FU172" s="563">
        <v>2</v>
      </c>
      <c r="FV172" s="563">
        <v>0</v>
      </c>
      <c r="FW172" s="563">
        <v>0</v>
      </c>
      <c r="FX172" s="563">
        <v>0</v>
      </c>
      <c r="FY172" s="650">
        <v>27499.207072982608</v>
      </c>
      <c r="FZ172" s="563">
        <v>0</v>
      </c>
      <c r="GA172" s="563">
        <v>0</v>
      </c>
      <c r="GB172" s="563">
        <v>0</v>
      </c>
      <c r="GC172" s="650">
        <v>19389.581119592258</v>
      </c>
      <c r="GD172" s="564">
        <v>4000</v>
      </c>
      <c r="GE172" s="565">
        <v>111.421819447318</v>
      </c>
      <c r="GF172" s="649">
        <v>1.0048000000000001</v>
      </c>
      <c r="GG172" s="646">
        <v>16.735412411829756</v>
      </c>
      <c r="GH172" s="646">
        <v>0</v>
      </c>
      <c r="GI172" s="646">
        <v>0</v>
      </c>
      <c r="GJ172" s="646">
        <v>9.2470358530201189</v>
      </c>
      <c r="GK172" s="646">
        <v>0.41817012005697174</v>
      </c>
      <c r="GL172" s="646">
        <v>3600</v>
      </c>
      <c r="GM172" s="563" t="s">
        <v>1587</v>
      </c>
      <c r="GN172" s="563">
        <v>2</v>
      </c>
      <c r="GO172" s="563">
        <v>0</v>
      </c>
      <c r="GP172" s="563">
        <v>0</v>
      </c>
      <c r="GQ172" s="563">
        <v>0</v>
      </c>
      <c r="GR172" s="650">
        <v>36894.057805512646</v>
      </c>
      <c r="GS172" s="563">
        <v>0</v>
      </c>
      <c r="GT172" s="563">
        <v>0</v>
      </c>
      <c r="GU172" s="563">
        <v>0</v>
      </c>
      <c r="GV172" s="650">
        <v>26013.85286318601</v>
      </c>
      <c r="GW172" s="564">
        <v>4000</v>
      </c>
      <c r="GX172" s="565">
        <v>111.421819447318</v>
      </c>
      <c r="GY172" s="649">
        <v>1.0048000000000001</v>
      </c>
      <c r="GZ172" s="646">
        <v>16.735412411829756</v>
      </c>
      <c r="HA172" s="646">
        <v>0</v>
      </c>
      <c r="HB172" s="646">
        <v>0</v>
      </c>
      <c r="HC172" s="646">
        <v>9.2470358530201189</v>
      </c>
      <c r="HD172" s="646">
        <v>0.41817012005697174</v>
      </c>
      <c r="HE172" s="646">
        <v>3600</v>
      </c>
      <c r="HF172" s="563" t="s">
        <v>1587</v>
      </c>
      <c r="HG172" s="563">
        <v>2</v>
      </c>
      <c r="HH172" s="563">
        <v>0</v>
      </c>
      <c r="HI172" s="563">
        <v>0</v>
      </c>
      <c r="HJ172" s="563">
        <v>0</v>
      </c>
      <c r="HK172" s="650">
        <v>36894.057805512646</v>
      </c>
      <c r="HL172" s="563">
        <v>0</v>
      </c>
      <c r="HM172" s="563">
        <v>0</v>
      </c>
      <c r="HN172" s="563">
        <v>0</v>
      </c>
      <c r="HO172" s="650">
        <v>26013.85286318601</v>
      </c>
      <c r="HP172" s="564">
        <v>4000</v>
      </c>
      <c r="HQ172" s="565">
        <v>111.421819447318</v>
      </c>
      <c r="HR172" s="649">
        <v>1.0048000000000001</v>
      </c>
      <c r="HS172" s="646">
        <v>16.735412411829756</v>
      </c>
      <c r="HT172" s="646">
        <v>0</v>
      </c>
      <c r="HU172" s="646">
        <v>0</v>
      </c>
      <c r="HV172" s="646">
        <v>9.2470358530201189</v>
      </c>
      <c r="HW172" s="646">
        <v>0.41817012005697174</v>
      </c>
      <c r="HX172" s="646">
        <v>3600</v>
      </c>
      <c r="HY172" s="563" t="s">
        <v>68</v>
      </c>
      <c r="HZ172" s="563">
        <v>2</v>
      </c>
      <c r="IA172" s="563">
        <v>0</v>
      </c>
      <c r="IB172" s="563">
        <v>0</v>
      </c>
      <c r="IC172" s="563">
        <v>0</v>
      </c>
      <c r="ID172" s="650">
        <v>32537.500603148492</v>
      </c>
      <c r="IE172" s="563">
        <v>0</v>
      </c>
      <c r="IF172" s="563">
        <v>0</v>
      </c>
      <c r="IG172" s="563">
        <v>0</v>
      </c>
      <c r="IH172" s="650">
        <v>22942.061772867604</v>
      </c>
      <c r="II172" s="564">
        <v>4000</v>
      </c>
      <c r="IJ172" s="565">
        <v>111.421819447318</v>
      </c>
      <c r="IK172" s="649">
        <v>1.0048000000000001</v>
      </c>
      <c r="IL172" s="646">
        <v>16.735412411829756</v>
      </c>
      <c r="IM172" s="646">
        <v>0</v>
      </c>
      <c r="IN172" s="646">
        <v>0</v>
      </c>
      <c r="IO172" s="646">
        <v>9.2470358530201189</v>
      </c>
      <c r="IP172" s="646">
        <v>0.41817012005697174</v>
      </c>
      <c r="IQ172" s="646">
        <v>3600</v>
      </c>
      <c r="IR172" s="563" t="s">
        <v>68</v>
      </c>
      <c r="IS172" s="563">
        <v>2</v>
      </c>
      <c r="IT172" s="563">
        <v>0</v>
      </c>
      <c r="IU172" s="563">
        <v>0</v>
      </c>
      <c r="IV172" s="563">
        <v>0</v>
      </c>
      <c r="IW172" s="650">
        <v>32537.500603148492</v>
      </c>
      <c r="IX172" s="563">
        <v>0</v>
      </c>
      <c r="IY172" s="563">
        <v>0</v>
      </c>
      <c r="IZ172" s="563">
        <v>0</v>
      </c>
      <c r="JA172" s="650">
        <v>22942.061772867604</v>
      </c>
      <c r="JB172" s="564">
        <v>4000</v>
      </c>
      <c r="JC172" s="565">
        <v>111.421819447318</v>
      </c>
      <c r="JD172" s="649">
        <v>1.0048000000000001</v>
      </c>
      <c r="JE172" s="646">
        <v>16.735412411829756</v>
      </c>
      <c r="JF172" s="646">
        <v>0</v>
      </c>
      <c r="JG172" s="646">
        <v>0</v>
      </c>
      <c r="JH172" s="646">
        <v>9.2470358530201189</v>
      </c>
      <c r="JI172" s="646">
        <v>0.41817012005697174</v>
      </c>
      <c r="JJ172" s="646">
        <v>3600</v>
      </c>
      <c r="JK172" s="563" t="s">
        <v>67</v>
      </c>
      <c r="JL172" s="563">
        <v>2</v>
      </c>
      <c r="JM172" s="563">
        <v>0</v>
      </c>
      <c r="JN172" s="563">
        <v>0</v>
      </c>
      <c r="JO172" s="563">
        <v>0</v>
      </c>
      <c r="JP172" s="650">
        <v>44341.139059237634</v>
      </c>
      <c r="JQ172" s="563">
        <v>0</v>
      </c>
      <c r="JR172" s="563">
        <v>0</v>
      </c>
      <c r="JS172" s="563">
        <v>0</v>
      </c>
      <c r="JT172" s="650">
        <v>31264.760123539287</v>
      </c>
      <c r="JU172" s="564">
        <v>4000</v>
      </c>
      <c r="JV172" s="565">
        <v>111.421819447318</v>
      </c>
      <c r="JW172" s="649">
        <v>1.0048000000000001</v>
      </c>
      <c r="JX172" s="646">
        <v>16.735412411829756</v>
      </c>
      <c r="JY172" s="646">
        <v>0</v>
      </c>
      <c r="JZ172" s="646">
        <v>0</v>
      </c>
      <c r="KA172" s="646">
        <v>9.2470358530201189</v>
      </c>
      <c r="KB172" s="646">
        <v>0.41817012005697174</v>
      </c>
      <c r="KC172" s="646">
        <v>3600</v>
      </c>
      <c r="KD172" s="563" t="s">
        <v>67</v>
      </c>
      <c r="KE172" s="563">
        <v>2</v>
      </c>
      <c r="KF172" s="563">
        <v>0</v>
      </c>
      <c r="KG172" s="563">
        <v>0</v>
      </c>
      <c r="KH172" s="563">
        <v>0</v>
      </c>
      <c r="KI172" s="650">
        <v>44341.139059237634</v>
      </c>
      <c r="KJ172" s="563">
        <v>0</v>
      </c>
      <c r="KK172" s="563">
        <v>0</v>
      </c>
      <c r="KL172" s="563">
        <v>0</v>
      </c>
      <c r="KM172" s="650">
        <v>31264.760123539287</v>
      </c>
      <c r="KN172" s="564">
        <v>4000</v>
      </c>
      <c r="KO172" s="566">
        <v>111.421819447318</v>
      </c>
    </row>
    <row r="173" spans="1:301" ht="15" customHeight="1">
      <c r="A173" s="663" t="s">
        <v>922</v>
      </c>
      <c r="B173" s="629" t="s">
        <v>382</v>
      </c>
      <c r="C173" s="629">
        <v>190</v>
      </c>
      <c r="D173" s="629">
        <v>532</v>
      </c>
      <c r="E173" s="629">
        <v>166</v>
      </c>
      <c r="F173" s="629">
        <v>190</v>
      </c>
      <c r="G173" s="629">
        <v>39</v>
      </c>
      <c r="H173" s="629">
        <v>25</v>
      </c>
      <c r="I173" s="629">
        <v>25</v>
      </c>
      <c r="J173" s="629">
        <v>33.03</v>
      </c>
      <c r="K173" s="629">
        <v>71.8</v>
      </c>
      <c r="L173" s="629">
        <v>16</v>
      </c>
      <c r="M173" s="629">
        <v>200</v>
      </c>
      <c r="N173" s="629">
        <v>2</v>
      </c>
      <c r="O173" s="623">
        <v>3.1501123387070633</v>
      </c>
      <c r="P173" s="629">
        <v>2</v>
      </c>
      <c r="Q173" s="623">
        <v>1.9619909293872666</v>
      </c>
      <c r="R173" s="629">
        <v>13.000000000000002</v>
      </c>
      <c r="S173" s="629">
        <v>352.00900776441654</v>
      </c>
      <c r="T173" s="645">
        <v>9.93139932480738</v>
      </c>
      <c r="U173" s="645">
        <v>52.801351164662478</v>
      </c>
      <c r="V173" s="645">
        <v>47.5</v>
      </c>
      <c r="W173" s="793">
        <v>0.6123567131762242</v>
      </c>
      <c r="X173" s="646">
        <v>0</v>
      </c>
      <c r="Y173" s="646">
        <v>0</v>
      </c>
      <c r="Z173" s="646">
        <v>0</v>
      </c>
      <c r="AA173" s="646">
        <v>0</v>
      </c>
      <c r="AB173" s="647">
        <v>0.67791852305971545</v>
      </c>
      <c r="AC173" s="784">
        <v>4000</v>
      </c>
      <c r="AD173" s="631">
        <v>2.5694522108979307</v>
      </c>
      <c r="AE173" s="631">
        <v>0.6501522626783206</v>
      </c>
      <c r="AF173" s="631">
        <v>-0.13955285741889722</v>
      </c>
      <c r="AG173" s="631">
        <v>0.94378242752724562</v>
      </c>
      <c r="AH173" s="629"/>
      <c r="AI173" s="648">
        <v>0.99244037179230205</v>
      </c>
      <c r="AJ173" s="649">
        <v>1.8840000000000003</v>
      </c>
      <c r="AK173" s="646">
        <v>17.539859306077936</v>
      </c>
      <c r="AL173" s="646">
        <v>0</v>
      </c>
      <c r="AM173" s="646">
        <v>0</v>
      </c>
      <c r="AN173" s="646">
        <v>10.45403864115992</v>
      </c>
      <c r="AO173" s="646">
        <v>0.4510745094383749</v>
      </c>
      <c r="AP173" s="801">
        <v>3600</v>
      </c>
      <c r="AQ173" s="563" t="s">
        <v>71</v>
      </c>
      <c r="AR173" s="563">
        <v>3</v>
      </c>
      <c r="AS173" s="563">
        <v>0</v>
      </c>
      <c r="AT173" s="563">
        <v>0</v>
      </c>
      <c r="AU173" s="563">
        <v>0</v>
      </c>
      <c r="AV173" s="650">
        <v>26843.838831870838</v>
      </c>
      <c r="AW173" s="563">
        <v>0</v>
      </c>
      <c r="AX173" s="563">
        <v>0</v>
      </c>
      <c r="AY173" s="563">
        <v>0</v>
      </c>
      <c r="AZ173" s="650">
        <v>35929.065372165904</v>
      </c>
      <c r="BA173" s="564">
        <v>4000</v>
      </c>
      <c r="BB173" s="565">
        <v>111.421819447318</v>
      </c>
      <c r="BC173" s="649">
        <v>1.8840000000000003</v>
      </c>
      <c r="BD173" s="646">
        <v>17.539859306077936</v>
      </c>
      <c r="BE173" s="646">
        <v>0</v>
      </c>
      <c r="BF173" s="646">
        <v>0</v>
      </c>
      <c r="BG173" s="646">
        <v>10.45403864115992</v>
      </c>
      <c r="BH173" s="646">
        <v>0.4510745094383749</v>
      </c>
      <c r="BI173" s="646">
        <v>3600</v>
      </c>
      <c r="BJ173" s="563" t="s">
        <v>71</v>
      </c>
      <c r="BK173" s="563">
        <v>3</v>
      </c>
      <c r="BL173" s="563">
        <v>0</v>
      </c>
      <c r="BM173" s="563">
        <v>0</v>
      </c>
      <c r="BN173" s="563">
        <v>0</v>
      </c>
      <c r="BO173" s="650">
        <v>26843.838831870838</v>
      </c>
      <c r="BP173" s="563">
        <v>0</v>
      </c>
      <c r="BQ173" s="563">
        <v>0</v>
      </c>
      <c r="BR173" s="563">
        <v>0</v>
      </c>
      <c r="BS173" s="650">
        <v>35929.065372165904</v>
      </c>
      <c r="BT173" s="564">
        <v>4000</v>
      </c>
      <c r="BU173" s="565">
        <v>111.421819447318</v>
      </c>
      <c r="BV173" s="649">
        <v>1.2560000000000002</v>
      </c>
      <c r="BW173" s="646">
        <v>16.911859306077936</v>
      </c>
      <c r="BX173" s="646">
        <v>0</v>
      </c>
      <c r="BY173" s="646">
        <v>0</v>
      </c>
      <c r="BZ173" s="646">
        <v>10.378064514950756</v>
      </c>
      <c r="CA173" s="646">
        <v>0.42602327543837487</v>
      </c>
      <c r="CB173" s="646">
        <v>3600</v>
      </c>
      <c r="CC173" s="563" t="s">
        <v>1584</v>
      </c>
      <c r="CD173" s="563">
        <v>2</v>
      </c>
      <c r="CE173" s="563">
        <v>0</v>
      </c>
      <c r="CF173" s="563">
        <v>0</v>
      </c>
      <c r="CG173" s="563">
        <v>0</v>
      </c>
      <c r="CH173" s="650">
        <v>18115.805616017227</v>
      </c>
      <c r="CI173" s="563">
        <v>0</v>
      </c>
      <c r="CJ173" s="563">
        <v>0</v>
      </c>
      <c r="CK173" s="563">
        <v>0</v>
      </c>
      <c r="CL173" s="650">
        <v>17770.844634803678</v>
      </c>
      <c r="CM173" s="564">
        <v>4000</v>
      </c>
      <c r="CN173" s="565">
        <v>111.421819447318</v>
      </c>
      <c r="CO173" s="649">
        <v>1.2560000000000002</v>
      </c>
      <c r="CP173" s="646">
        <v>16.911859306077936</v>
      </c>
      <c r="CQ173" s="646">
        <v>0</v>
      </c>
      <c r="CR173" s="646">
        <v>0</v>
      </c>
      <c r="CS173" s="646">
        <v>10.378064514950756</v>
      </c>
      <c r="CT173" s="646">
        <v>0.42602327543837487</v>
      </c>
      <c r="CU173" s="646">
        <v>3600</v>
      </c>
      <c r="CV173" s="563" t="s">
        <v>1584</v>
      </c>
      <c r="CW173" s="563">
        <v>2</v>
      </c>
      <c r="CX173" s="563">
        <v>0</v>
      </c>
      <c r="CY173" s="563">
        <v>0</v>
      </c>
      <c r="CZ173" s="563">
        <v>0</v>
      </c>
      <c r="DA173" s="650">
        <v>18115.805616017227</v>
      </c>
      <c r="DB173" s="563">
        <v>0</v>
      </c>
      <c r="DC173" s="563">
        <v>0</v>
      </c>
      <c r="DD173" s="563">
        <v>0</v>
      </c>
      <c r="DE173" s="650">
        <v>17770.844634803678</v>
      </c>
      <c r="DF173" s="564">
        <v>4000</v>
      </c>
      <c r="DG173" s="565">
        <v>111.421819447318</v>
      </c>
      <c r="DH173" s="649">
        <v>1.2560000000000002</v>
      </c>
      <c r="DI173" s="646">
        <v>16.911859306077936</v>
      </c>
      <c r="DJ173" s="646">
        <v>0</v>
      </c>
      <c r="DK173" s="646">
        <v>0</v>
      </c>
      <c r="DL173" s="646">
        <v>10.378064514950756</v>
      </c>
      <c r="DM173" s="646">
        <v>0.42602327543837487</v>
      </c>
      <c r="DN173" s="646">
        <v>3600</v>
      </c>
      <c r="DO173" s="563" t="s">
        <v>1585</v>
      </c>
      <c r="DP173" s="563">
        <v>2</v>
      </c>
      <c r="DQ173" s="563">
        <v>0</v>
      </c>
      <c r="DR173" s="563">
        <v>0</v>
      </c>
      <c r="DS173" s="563">
        <v>0</v>
      </c>
      <c r="DT173" s="650">
        <v>19366.610828723293</v>
      </c>
      <c r="DU173" s="563">
        <v>0</v>
      </c>
      <c r="DV173" s="563">
        <v>0</v>
      </c>
      <c r="DW173" s="563">
        <v>0</v>
      </c>
      <c r="DX173" s="650">
        <v>18997.832027721481</v>
      </c>
      <c r="DY173" s="564">
        <v>4000</v>
      </c>
      <c r="DZ173" s="565">
        <v>111.421819447318</v>
      </c>
      <c r="EA173" s="649">
        <v>1.2560000000000002</v>
      </c>
      <c r="EB173" s="646">
        <v>16.911859306077936</v>
      </c>
      <c r="EC173" s="646">
        <v>0</v>
      </c>
      <c r="ED173" s="646">
        <v>0</v>
      </c>
      <c r="EE173" s="646">
        <v>10.378064514950756</v>
      </c>
      <c r="EF173" s="646">
        <v>0.42602327543837487</v>
      </c>
      <c r="EG173" s="646">
        <v>3600</v>
      </c>
      <c r="EH173" s="563" t="s">
        <v>1585</v>
      </c>
      <c r="EI173" s="563">
        <v>2</v>
      </c>
      <c r="EJ173" s="563">
        <v>0</v>
      </c>
      <c r="EK173" s="563">
        <v>0</v>
      </c>
      <c r="EL173" s="563">
        <v>0</v>
      </c>
      <c r="EM173" s="650">
        <v>19366.610828723293</v>
      </c>
      <c r="EN173" s="563">
        <v>0</v>
      </c>
      <c r="EO173" s="563">
        <v>0</v>
      </c>
      <c r="EP173" s="563">
        <v>0</v>
      </c>
      <c r="EQ173" s="650">
        <v>18997.832027721481</v>
      </c>
      <c r="ER173" s="564">
        <v>4000</v>
      </c>
      <c r="ES173" s="565">
        <v>111.421819447318</v>
      </c>
      <c r="ET173" s="649">
        <v>1.2560000000000002</v>
      </c>
      <c r="EU173" s="646">
        <v>16.911859306077936</v>
      </c>
      <c r="EV173" s="646">
        <v>0</v>
      </c>
      <c r="EW173" s="646">
        <v>0</v>
      </c>
      <c r="EX173" s="646">
        <v>10.378064514950756</v>
      </c>
      <c r="EY173" s="646">
        <v>0.42602327543837487</v>
      </c>
      <c r="EZ173" s="646">
        <v>3600</v>
      </c>
      <c r="FA173" s="563" t="s">
        <v>1586</v>
      </c>
      <c r="FB173" s="563">
        <v>2</v>
      </c>
      <c r="FC173" s="563">
        <v>0</v>
      </c>
      <c r="FD173" s="563">
        <v>0</v>
      </c>
      <c r="FE173" s="563">
        <v>0</v>
      </c>
      <c r="FF173" s="650">
        <v>19765.964407262945</v>
      </c>
      <c r="FG173" s="563">
        <v>0</v>
      </c>
      <c r="FH173" s="563">
        <v>0</v>
      </c>
      <c r="FI173" s="563">
        <v>0</v>
      </c>
      <c r="FJ173" s="650">
        <v>19389.581119592258</v>
      </c>
      <c r="FK173" s="564">
        <v>4000</v>
      </c>
      <c r="FL173" s="565">
        <v>111.421819447318</v>
      </c>
      <c r="FM173" s="649">
        <v>1.2560000000000002</v>
      </c>
      <c r="FN173" s="646">
        <v>16.911859306077936</v>
      </c>
      <c r="FO173" s="646">
        <v>0</v>
      </c>
      <c r="FP173" s="646">
        <v>0</v>
      </c>
      <c r="FQ173" s="646">
        <v>10.378064514950756</v>
      </c>
      <c r="FR173" s="646">
        <v>0.42602327543837487</v>
      </c>
      <c r="FS173" s="646">
        <v>3600</v>
      </c>
      <c r="FT173" s="563" t="s">
        <v>1586</v>
      </c>
      <c r="FU173" s="563">
        <v>2</v>
      </c>
      <c r="FV173" s="563">
        <v>0</v>
      </c>
      <c r="FW173" s="563">
        <v>0</v>
      </c>
      <c r="FX173" s="563">
        <v>0</v>
      </c>
      <c r="FY173" s="650">
        <v>19765.964407262945</v>
      </c>
      <c r="FZ173" s="563">
        <v>0</v>
      </c>
      <c r="GA173" s="563">
        <v>0</v>
      </c>
      <c r="GB173" s="563">
        <v>0</v>
      </c>
      <c r="GC173" s="650">
        <v>19389.581119592258</v>
      </c>
      <c r="GD173" s="564">
        <v>4000</v>
      </c>
      <c r="GE173" s="565">
        <v>111.421819447318</v>
      </c>
      <c r="GF173" s="649">
        <v>1.2560000000000002</v>
      </c>
      <c r="GG173" s="646">
        <v>16.911859306077936</v>
      </c>
      <c r="GH173" s="646">
        <v>0</v>
      </c>
      <c r="GI173" s="646">
        <v>0</v>
      </c>
      <c r="GJ173" s="646">
        <v>10.378064514950756</v>
      </c>
      <c r="GK173" s="646">
        <v>0.42602327543837487</v>
      </c>
      <c r="GL173" s="646">
        <v>3600</v>
      </c>
      <c r="GM173" s="563" t="s">
        <v>1587</v>
      </c>
      <c r="GN173" s="563">
        <v>2</v>
      </c>
      <c r="GO173" s="563">
        <v>0</v>
      </c>
      <c r="GP173" s="563">
        <v>0</v>
      </c>
      <c r="GQ173" s="563">
        <v>0</v>
      </c>
      <c r="GR173" s="650">
        <v>26518.824033289995</v>
      </c>
      <c r="GS173" s="563">
        <v>0</v>
      </c>
      <c r="GT173" s="563">
        <v>0</v>
      </c>
      <c r="GU173" s="563">
        <v>0</v>
      </c>
      <c r="GV173" s="650">
        <v>26013.85286318601</v>
      </c>
      <c r="GW173" s="564">
        <v>4000</v>
      </c>
      <c r="GX173" s="565">
        <v>111.421819447318</v>
      </c>
      <c r="GY173" s="649">
        <v>1.2560000000000002</v>
      </c>
      <c r="GZ173" s="646">
        <v>16.911859306077936</v>
      </c>
      <c r="HA173" s="646">
        <v>0</v>
      </c>
      <c r="HB173" s="646">
        <v>0</v>
      </c>
      <c r="HC173" s="646">
        <v>10.378064514950756</v>
      </c>
      <c r="HD173" s="646">
        <v>0.42602327543837487</v>
      </c>
      <c r="HE173" s="646">
        <v>3600</v>
      </c>
      <c r="HF173" s="563" t="s">
        <v>1587</v>
      </c>
      <c r="HG173" s="563">
        <v>2</v>
      </c>
      <c r="HH173" s="563">
        <v>0</v>
      </c>
      <c r="HI173" s="563">
        <v>0</v>
      </c>
      <c r="HJ173" s="563">
        <v>0</v>
      </c>
      <c r="HK173" s="650">
        <v>26518.824033289995</v>
      </c>
      <c r="HL173" s="563">
        <v>0</v>
      </c>
      <c r="HM173" s="563">
        <v>0</v>
      </c>
      <c r="HN173" s="563">
        <v>0</v>
      </c>
      <c r="HO173" s="650">
        <v>26013.85286318601</v>
      </c>
      <c r="HP173" s="564">
        <v>4000</v>
      </c>
      <c r="HQ173" s="565">
        <v>111.421819447318</v>
      </c>
      <c r="HR173" s="649">
        <v>1.2560000000000002</v>
      </c>
      <c r="HS173" s="646">
        <v>16.911859306077936</v>
      </c>
      <c r="HT173" s="646">
        <v>0</v>
      </c>
      <c r="HU173" s="646">
        <v>0</v>
      </c>
      <c r="HV173" s="646">
        <v>10.378064514950756</v>
      </c>
      <c r="HW173" s="646">
        <v>0.42602327543837487</v>
      </c>
      <c r="HX173" s="646">
        <v>3600</v>
      </c>
      <c r="HY173" s="563" t="s">
        <v>68</v>
      </c>
      <c r="HZ173" s="563">
        <v>2</v>
      </c>
      <c r="IA173" s="563">
        <v>0</v>
      </c>
      <c r="IB173" s="563">
        <v>0</v>
      </c>
      <c r="IC173" s="563">
        <v>0</v>
      </c>
      <c r="ID173" s="650">
        <v>23387.404484651252</v>
      </c>
      <c r="IE173" s="563">
        <v>0</v>
      </c>
      <c r="IF173" s="563">
        <v>0</v>
      </c>
      <c r="IG173" s="563">
        <v>0</v>
      </c>
      <c r="IH173" s="650">
        <v>22942.061772867604</v>
      </c>
      <c r="II173" s="564">
        <v>4000</v>
      </c>
      <c r="IJ173" s="565">
        <v>111.421819447318</v>
      </c>
      <c r="IK173" s="649">
        <v>1.2560000000000002</v>
      </c>
      <c r="IL173" s="646">
        <v>16.911859306077936</v>
      </c>
      <c r="IM173" s="646">
        <v>0</v>
      </c>
      <c r="IN173" s="646">
        <v>0</v>
      </c>
      <c r="IO173" s="646">
        <v>10.378064514950756</v>
      </c>
      <c r="IP173" s="646">
        <v>0.42602327543837487</v>
      </c>
      <c r="IQ173" s="646">
        <v>3600</v>
      </c>
      <c r="IR173" s="563" t="s">
        <v>68</v>
      </c>
      <c r="IS173" s="563">
        <v>2</v>
      </c>
      <c r="IT173" s="563">
        <v>0</v>
      </c>
      <c r="IU173" s="563">
        <v>0</v>
      </c>
      <c r="IV173" s="563">
        <v>0</v>
      </c>
      <c r="IW173" s="650">
        <v>23387.404484651252</v>
      </c>
      <c r="IX173" s="563">
        <v>0</v>
      </c>
      <c r="IY173" s="563">
        <v>0</v>
      </c>
      <c r="IZ173" s="563">
        <v>0</v>
      </c>
      <c r="JA173" s="650">
        <v>22942.061772867604</v>
      </c>
      <c r="JB173" s="564">
        <v>4000</v>
      </c>
      <c r="JC173" s="565">
        <v>111.421819447318</v>
      </c>
      <c r="JD173" s="649">
        <v>1.2560000000000002</v>
      </c>
      <c r="JE173" s="646">
        <v>16.911859306077936</v>
      </c>
      <c r="JF173" s="646">
        <v>0</v>
      </c>
      <c r="JG173" s="646">
        <v>0</v>
      </c>
      <c r="JH173" s="646">
        <v>10.378064514950756</v>
      </c>
      <c r="JI173" s="646">
        <v>0.42602327543837487</v>
      </c>
      <c r="JJ173" s="646">
        <v>3600</v>
      </c>
      <c r="JK173" s="563" t="s">
        <v>67</v>
      </c>
      <c r="JL173" s="563">
        <v>2</v>
      </c>
      <c r="JM173" s="563">
        <v>0</v>
      </c>
      <c r="JN173" s="563">
        <v>0</v>
      </c>
      <c r="JO173" s="563">
        <v>0</v>
      </c>
      <c r="JP173" s="650">
        <v>31871.659939010075</v>
      </c>
      <c r="JQ173" s="563">
        <v>0</v>
      </c>
      <c r="JR173" s="563">
        <v>0</v>
      </c>
      <c r="JS173" s="563">
        <v>0</v>
      </c>
      <c r="JT173" s="650">
        <v>31264.760123539287</v>
      </c>
      <c r="JU173" s="564">
        <v>4000</v>
      </c>
      <c r="JV173" s="565">
        <v>111.421819447318</v>
      </c>
      <c r="JW173" s="649">
        <v>1.2560000000000002</v>
      </c>
      <c r="JX173" s="646">
        <v>16.911859306077936</v>
      </c>
      <c r="JY173" s="646">
        <v>0</v>
      </c>
      <c r="JZ173" s="646">
        <v>0</v>
      </c>
      <c r="KA173" s="646">
        <v>10.378064514950756</v>
      </c>
      <c r="KB173" s="646">
        <v>0.42602327543837487</v>
      </c>
      <c r="KC173" s="646">
        <v>3600</v>
      </c>
      <c r="KD173" s="563" t="s">
        <v>67</v>
      </c>
      <c r="KE173" s="563">
        <v>2</v>
      </c>
      <c r="KF173" s="563">
        <v>0</v>
      </c>
      <c r="KG173" s="563">
        <v>0</v>
      </c>
      <c r="KH173" s="563">
        <v>0</v>
      </c>
      <c r="KI173" s="650">
        <v>31871.659939010075</v>
      </c>
      <c r="KJ173" s="563">
        <v>0</v>
      </c>
      <c r="KK173" s="563">
        <v>0</v>
      </c>
      <c r="KL173" s="563">
        <v>0</v>
      </c>
      <c r="KM173" s="650">
        <v>31264.760123539287</v>
      </c>
      <c r="KN173" s="564">
        <v>4000</v>
      </c>
      <c r="KO173" s="566">
        <v>111.421819447318</v>
      </c>
    </row>
    <row r="174" spans="1:301" ht="15" customHeight="1">
      <c r="A174" s="663" t="s">
        <v>923</v>
      </c>
      <c r="B174" s="629" t="s">
        <v>382</v>
      </c>
      <c r="C174" s="629">
        <v>190</v>
      </c>
      <c r="D174" s="629">
        <v>532</v>
      </c>
      <c r="E174" s="629">
        <v>166</v>
      </c>
      <c r="F174" s="629">
        <v>190</v>
      </c>
      <c r="G174" s="629">
        <v>39</v>
      </c>
      <c r="H174" s="629">
        <v>25</v>
      </c>
      <c r="I174" s="629">
        <v>25</v>
      </c>
      <c r="J174" s="629">
        <v>33.03</v>
      </c>
      <c r="K174" s="629">
        <v>71.8</v>
      </c>
      <c r="L174" s="629">
        <v>16</v>
      </c>
      <c r="M174" s="629">
        <v>200</v>
      </c>
      <c r="N174" s="629">
        <v>2</v>
      </c>
      <c r="O174" s="623">
        <v>3.1501123387070633</v>
      </c>
      <c r="P174" s="629">
        <v>2</v>
      </c>
      <c r="Q174" s="623">
        <v>1.9564644285008499</v>
      </c>
      <c r="R174" s="629">
        <v>13.000000000000002</v>
      </c>
      <c r="S174" s="629">
        <v>352.64504824076079</v>
      </c>
      <c r="T174" s="645">
        <v>9.9673215805690862</v>
      </c>
      <c r="U174" s="645">
        <v>52.896757236114119</v>
      </c>
      <c r="V174" s="645">
        <v>47.5</v>
      </c>
      <c r="W174" s="793">
        <v>0.61457163110960822</v>
      </c>
      <c r="X174" s="646">
        <v>0</v>
      </c>
      <c r="Y174" s="646">
        <v>0</v>
      </c>
      <c r="Z174" s="646">
        <v>0</v>
      </c>
      <c r="AA174" s="646">
        <v>0</v>
      </c>
      <c r="AB174" s="647">
        <v>0.67895584207203585</v>
      </c>
      <c r="AC174" s="784">
        <v>4000</v>
      </c>
      <c r="AD174" s="631">
        <v>2.5694522108979307</v>
      </c>
      <c r="AE174" s="631">
        <v>0.6501522626783206</v>
      </c>
      <c r="AF174" s="631">
        <v>-0.12765347726708223</v>
      </c>
      <c r="AG174" s="631">
        <v>0.94378242752724562</v>
      </c>
      <c r="AH174" s="629"/>
      <c r="AI174" s="648">
        <v>0.99244037179230205</v>
      </c>
      <c r="AJ174" s="649">
        <v>1.8840000000000003</v>
      </c>
      <c r="AK174" s="646">
        <v>17.572469978886609</v>
      </c>
      <c r="AL174" s="646">
        <v>0</v>
      </c>
      <c r="AM174" s="646">
        <v>0</v>
      </c>
      <c r="AN174" s="646">
        <v>10.450604817044924</v>
      </c>
      <c r="AO174" s="646">
        <v>0.45201779940889963</v>
      </c>
      <c r="AP174" s="801">
        <v>3600</v>
      </c>
      <c r="AQ174" s="563" t="s">
        <v>71</v>
      </c>
      <c r="AR174" s="563">
        <v>3</v>
      </c>
      <c r="AS174" s="563">
        <v>0</v>
      </c>
      <c r="AT174" s="563">
        <v>0</v>
      </c>
      <c r="AU174" s="563">
        <v>0</v>
      </c>
      <c r="AV174" s="650">
        <v>22822.182232148949</v>
      </c>
      <c r="AW174" s="563">
        <v>0</v>
      </c>
      <c r="AX174" s="563">
        <v>0</v>
      </c>
      <c r="AY174" s="563">
        <v>0</v>
      </c>
      <c r="AZ174" s="650">
        <v>19446.1027201822</v>
      </c>
      <c r="BA174" s="564">
        <v>4000</v>
      </c>
      <c r="BB174" s="565">
        <v>111.421819447318</v>
      </c>
      <c r="BC174" s="649">
        <v>1.8840000000000003</v>
      </c>
      <c r="BD174" s="646">
        <v>17.572469978886609</v>
      </c>
      <c r="BE174" s="646">
        <v>0</v>
      </c>
      <c r="BF174" s="646">
        <v>0</v>
      </c>
      <c r="BG174" s="646">
        <v>10.450604817044924</v>
      </c>
      <c r="BH174" s="646">
        <v>0.45201779940889963</v>
      </c>
      <c r="BI174" s="646">
        <v>3600</v>
      </c>
      <c r="BJ174" s="563" t="s">
        <v>71</v>
      </c>
      <c r="BK174" s="563">
        <v>3</v>
      </c>
      <c r="BL174" s="563">
        <v>0</v>
      </c>
      <c r="BM174" s="563">
        <v>0</v>
      </c>
      <c r="BN174" s="563">
        <v>0</v>
      </c>
      <c r="BO174" s="650">
        <v>22822.182232148949</v>
      </c>
      <c r="BP174" s="563">
        <v>0</v>
      </c>
      <c r="BQ174" s="563">
        <v>0</v>
      </c>
      <c r="BR174" s="563">
        <v>0</v>
      </c>
      <c r="BS174" s="650">
        <v>19446.1027201822</v>
      </c>
      <c r="BT174" s="564">
        <v>4000</v>
      </c>
      <c r="BU174" s="565">
        <v>111.421819447318</v>
      </c>
      <c r="BV174" s="649">
        <v>1.2560000000000002</v>
      </c>
      <c r="BW174" s="646">
        <v>16.944469978886609</v>
      </c>
      <c r="BX174" s="646">
        <v>0</v>
      </c>
      <c r="BY174" s="646">
        <v>0</v>
      </c>
      <c r="BZ174" s="646">
        <v>10.374649642495383</v>
      </c>
      <c r="CA174" s="646">
        <v>0.4269665654088996</v>
      </c>
      <c r="CB174" s="646">
        <v>3600</v>
      </c>
      <c r="CC174" s="563" t="s">
        <v>1584</v>
      </c>
      <c r="CD174" s="563">
        <v>2</v>
      </c>
      <c r="CE174" s="563">
        <v>0</v>
      </c>
      <c r="CF174" s="563">
        <v>0</v>
      </c>
      <c r="CG174" s="563">
        <v>0</v>
      </c>
      <c r="CH174" s="650">
        <v>18115.805616017227</v>
      </c>
      <c r="CI174" s="563">
        <v>0</v>
      </c>
      <c r="CJ174" s="563">
        <v>0</v>
      </c>
      <c r="CK174" s="563">
        <v>0</v>
      </c>
      <c r="CL174" s="650">
        <v>11439.714495595901</v>
      </c>
      <c r="CM174" s="564">
        <v>4000</v>
      </c>
      <c r="CN174" s="565">
        <v>111.421819447318</v>
      </c>
      <c r="CO174" s="649">
        <v>1.2560000000000002</v>
      </c>
      <c r="CP174" s="646">
        <v>16.944469978886609</v>
      </c>
      <c r="CQ174" s="646">
        <v>0</v>
      </c>
      <c r="CR174" s="646">
        <v>0</v>
      </c>
      <c r="CS174" s="646">
        <v>10.374649642495383</v>
      </c>
      <c r="CT174" s="646">
        <v>0.4269665654088996</v>
      </c>
      <c r="CU174" s="646">
        <v>3600</v>
      </c>
      <c r="CV174" s="563" t="s">
        <v>1584</v>
      </c>
      <c r="CW174" s="563">
        <v>2</v>
      </c>
      <c r="CX174" s="563">
        <v>0</v>
      </c>
      <c r="CY174" s="563">
        <v>0</v>
      </c>
      <c r="CZ174" s="563">
        <v>0</v>
      </c>
      <c r="DA174" s="650">
        <v>18115.805616017227</v>
      </c>
      <c r="DB174" s="563">
        <v>0</v>
      </c>
      <c r="DC174" s="563">
        <v>0</v>
      </c>
      <c r="DD174" s="563">
        <v>0</v>
      </c>
      <c r="DE174" s="650">
        <v>11439.714495595901</v>
      </c>
      <c r="DF174" s="564">
        <v>4000</v>
      </c>
      <c r="DG174" s="565">
        <v>111.421819447318</v>
      </c>
      <c r="DH174" s="649">
        <v>1.2560000000000002</v>
      </c>
      <c r="DI174" s="646">
        <v>16.944469978886609</v>
      </c>
      <c r="DJ174" s="646">
        <v>0</v>
      </c>
      <c r="DK174" s="646">
        <v>0</v>
      </c>
      <c r="DL174" s="646">
        <v>10.374649642495383</v>
      </c>
      <c r="DM174" s="646">
        <v>0.4269665654088996</v>
      </c>
      <c r="DN174" s="646">
        <v>3600</v>
      </c>
      <c r="DO174" s="563" t="s">
        <v>1585</v>
      </c>
      <c r="DP174" s="563">
        <v>2</v>
      </c>
      <c r="DQ174" s="563">
        <v>0</v>
      </c>
      <c r="DR174" s="563">
        <v>0</v>
      </c>
      <c r="DS174" s="563">
        <v>0</v>
      </c>
      <c r="DT174" s="650">
        <v>19366.610828723293</v>
      </c>
      <c r="DU174" s="563">
        <v>0</v>
      </c>
      <c r="DV174" s="563">
        <v>0</v>
      </c>
      <c r="DW174" s="563">
        <v>0</v>
      </c>
      <c r="DX174" s="650">
        <v>12229.569212866028</v>
      </c>
      <c r="DY174" s="564">
        <v>4000</v>
      </c>
      <c r="DZ174" s="565">
        <v>111.421819447318</v>
      </c>
      <c r="EA174" s="649">
        <v>1.2560000000000002</v>
      </c>
      <c r="EB174" s="646">
        <v>16.944469978886609</v>
      </c>
      <c r="EC174" s="646">
        <v>0</v>
      </c>
      <c r="ED174" s="646">
        <v>0</v>
      </c>
      <c r="EE174" s="646">
        <v>10.374649642495383</v>
      </c>
      <c r="EF174" s="646">
        <v>0.4269665654088996</v>
      </c>
      <c r="EG174" s="646">
        <v>3600</v>
      </c>
      <c r="EH174" s="563" t="s">
        <v>1585</v>
      </c>
      <c r="EI174" s="563">
        <v>2</v>
      </c>
      <c r="EJ174" s="563">
        <v>0</v>
      </c>
      <c r="EK174" s="563">
        <v>0</v>
      </c>
      <c r="EL174" s="563">
        <v>0</v>
      </c>
      <c r="EM174" s="650">
        <v>19366.610828723293</v>
      </c>
      <c r="EN174" s="563">
        <v>0</v>
      </c>
      <c r="EO174" s="563">
        <v>0</v>
      </c>
      <c r="EP174" s="563">
        <v>0</v>
      </c>
      <c r="EQ174" s="650">
        <v>12229.569212866028</v>
      </c>
      <c r="ER174" s="564">
        <v>4000</v>
      </c>
      <c r="ES174" s="565">
        <v>111.421819447318</v>
      </c>
      <c r="ET174" s="649">
        <v>1.2560000000000002</v>
      </c>
      <c r="EU174" s="646">
        <v>16.944469978886609</v>
      </c>
      <c r="EV174" s="646">
        <v>0</v>
      </c>
      <c r="EW174" s="646">
        <v>0</v>
      </c>
      <c r="EX174" s="646">
        <v>10.374649642495383</v>
      </c>
      <c r="EY174" s="646">
        <v>0.4269665654088996</v>
      </c>
      <c r="EZ174" s="646">
        <v>3600</v>
      </c>
      <c r="FA174" s="563" t="s">
        <v>1586</v>
      </c>
      <c r="FB174" s="563">
        <v>2</v>
      </c>
      <c r="FC174" s="563">
        <v>0</v>
      </c>
      <c r="FD174" s="563">
        <v>0</v>
      </c>
      <c r="FE174" s="563">
        <v>0</v>
      </c>
      <c r="FF174" s="650">
        <v>19765.964407262945</v>
      </c>
      <c r="FG174" s="563">
        <v>0</v>
      </c>
      <c r="FH174" s="563">
        <v>0</v>
      </c>
      <c r="FI174" s="563">
        <v>0</v>
      </c>
      <c r="FJ174" s="650">
        <v>12481.751810654991</v>
      </c>
      <c r="FK174" s="564">
        <v>4000</v>
      </c>
      <c r="FL174" s="565">
        <v>111.421819447318</v>
      </c>
      <c r="FM174" s="649">
        <v>1.2560000000000002</v>
      </c>
      <c r="FN174" s="646">
        <v>16.944469978886609</v>
      </c>
      <c r="FO174" s="646">
        <v>0</v>
      </c>
      <c r="FP174" s="646">
        <v>0</v>
      </c>
      <c r="FQ174" s="646">
        <v>10.374649642495383</v>
      </c>
      <c r="FR174" s="646">
        <v>0.4269665654088996</v>
      </c>
      <c r="FS174" s="646">
        <v>3600</v>
      </c>
      <c r="FT174" s="563" t="s">
        <v>1586</v>
      </c>
      <c r="FU174" s="563">
        <v>2</v>
      </c>
      <c r="FV174" s="563">
        <v>0</v>
      </c>
      <c r="FW174" s="563">
        <v>0</v>
      </c>
      <c r="FX174" s="563">
        <v>0</v>
      </c>
      <c r="FY174" s="650">
        <v>19765.964407262945</v>
      </c>
      <c r="FZ174" s="563">
        <v>0</v>
      </c>
      <c r="GA174" s="563">
        <v>0</v>
      </c>
      <c r="GB174" s="563">
        <v>0</v>
      </c>
      <c r="GC174" s="650">
        <v>12481.751810654991</v>
      </c>
      <c r="GD174" s="564">
        <v>4000</v>
      </c>
      <c r="GE174" s="565">
        <v>111.421819447318</v>
      </c>
      <c r="GF174" s="649">
        <v>1.2560000000000002</v>
      </c>
      <c r="GG174" s="646">
        <v>16.944469978886609</v>
      </c>
      <c r="GH174" s="646">
        <v>0</v>
      </c>
      <c r="GI174" s="646">
        <v>0</v>
      </c>
      <c r="GJ174" s="646">
        <v>10.374649642495383</v>
      </c>
      <c r="GK174" s="646">
        <v>0.4269665654088996</v>
      </c>
      <c r="GL174" s="646">
        <v>3600</v>
      </c>
      <c r="GM174" s="563" t="s">
        <v>1587</v>
      </c>
      <c r="GN174" s="563">
        <v>2</v>
      </c>
      <c r="GO174" s="563">
        <v>0</v>
      </c>
      <c r="GP174" s="563">
        <v>0</v>
      </c>
      <c r="GQ174" s="563">
        <v>0</v>
      </c>
      <c r="GR174" s="650">
        <v>26518.824033289995</v>
      </c>
      <c r="GS174" s="563">
        <v>0</v>
      </c>
      <c r="GT174" s="563">
        <v>0</v>
      </c>
      <c r="GU174" s="563">
        <v>0</v>
      </c>
      <c r="GV174" s="650">
        <v>16746.027316126554</v>
      </c>
      <c r="GW174" s="564">
        <v>4000</v>
      </c>
      <c r="GX174" s="565">
        <v>111.421819447318</v>
      </c>
      <c r="GY174" s="649">
        <v>1.2560000000000002</v>
      </c>
      <c r="GZ174" s="646">
        <v>16.944469978886609</v>
      </c>
      <c r="HA174" s="646">
        <v>0</v>
      </c>
      <c r="HB174" s="646">
        <v>0</v>
      </c>
      <c r="HC174" s="646">
        <v>10.374649642495383</v>
      </c>
      <c r="HD174" s="646">
        <v>0.4269665654088996</v>
      </c>
      <c r="HE174" s="646">
        <v>3600</v>
      </c>
      <c r="HF174" s="563" t="s">
        <v>1587</v>
      </c>
      <c r="HG174" s="563">
        <v>2</v>
      </c>
      <c r="HH174" s="563">
        <v>0</v>
      </c>
      <c r="HI174" s="563">
        <v>0</v>
      </c>
      <c r="HJ174" s="563">
        <v>0</v>
      </c>
      <c r="HK174" s="650">
        <v>26518.824033289995</v>
      </c>
      <c r="HL174" s="563">
        <v>0</v>
      </c>
      <c r="HM174" s="563">
        <v>0</v>
      </c>
      <c r="HN174" s="563">
        <v>0</v>
      </c>
      <c r="HO174" s="650">
        <v>16746.027316126554</v>
      </c>
      <c r="HP174" s="564">
        <v>4000</v>
      </c>
      <c r="HQ174" s="565">
        <v>111.421819447318</v>
      </c>
      <c r="HR174" s="649">
        <v>1.2560000000000002</v>
      </c>
      <c r="HS174" s="646">
        <v>16.944469978886609</v>
      </c>
      <c r="HT174" s="646">
        <v>0</v>
      </c>
      <c r="HU174" s="646">
        <v>0</v>
      </c>
      <c r="HV174" s="646">
        <v>10.374649642495383</v>
      </c>
      <c r="HW174" s="646">
        <v>0.4269665654088996</v>
      </c>
      <c r="HX174" s="646">
        <v>3600</v>
      </c>
      <c r="HY174" s="563" t="s">
        <v>68</v>
      </c>
      <c r="HZ174" s="563">
        <v>2</v>
      </c>
      <c r="IA174" s="563">
        <v>0</v>
      </c>
      <c r="IB174" s="563">
        <v>0</v>
      </c>
      <c r="IC174" s="563">
        <v>0</v>
      </c>
      <c r="ID174" s="650">
        <v>23387.404484651252</v>
      </c>
      <c r="IE174" s="563">
        <v>0</v>
      </c>
      <c r="IF174" s="563">
        <v>0</v>
      </c>
      <c r="IG174" s="563">
        <v>0</v>
      </c>
      <c r="IH174" s="650">
        <v>14768.607908936838</v>
      </c>
      <c r="II174" s="564">
        <v>4000</v>
      </c>
      <c r="IJ174" s="565">
        <v>111.421819447318</v>
      </c>
      <c r="IK174" s="649">
        <v>1.2560000000000002</v>
      </c>
      <c r="IL174" s="646">
        <v>16.944469978886609</v>
      </c>
      <c r="IM174" s="646">
        <v>0</v>
      </c>
      <c r="IN174" s="646">
        <v>0</v>
      </c>
      <c r="IO174" s="646">
        <v>10.374649642495383</v>
      </c>
      <c r="IP174" s="646">
        <v>0.4269665654088996</v>
      </c>
      <c r="IQ174" s="646">
        <v>3600</v>
      </c>
      <c r="IR174" s="563" t="s">
        <v>68</v>
      </c>
      <c r="IS174" s="563">
        <v>2</v>
      </c>
      <c r="IT174" s="563">
        <v>0</v>
      </c>
      <c r="IU174" s="563">
        <v>0</v>
      </c>
      <c r="IV174" s="563">
        <v>0</v>
      </c>
      <c r="IW174" s="650">
        <v>23387.404484651252</v>
      </c>
      <c r="IX174" s="563">
        <v>0</v>
      </c>
      <c r="IY174" s="563">
        <v>0</v>
      </c>
      <c r="IZ174" s="563">
        <v>0</v>
      </c>
      <c r="JA174" s="650">
        <v>14768.607908936838</v>
      </c>
      <c r="JB174" s="564">
        <v>4000</v>
      </c>
      <c r="JC174" s="565">
        <v>111.421819447318</v>
      </c>
      <c r="JD174" s="649">
        <v>1.2560000000000002</v>
      </c>
      <c r="JE174" s="646">
        <v>16.944469978886609</v>
      </c>
      <c r="JF174" s="646">
        <v>0</v>
      </c>
      <c r="JG174" s="646">
        <v>0</v>
      </c>
      <c r="JH174" s="646">
        <v>10.374649642495383</v>
      </c>
      <c r="JI174" s="646">
        <v>0.4269665654088996</v>
      </c>
      <c r="JJ174" s="646">
        <v>3600</v>
      </c>
      <c r="JK174" s="563" t="s">
        <v>67</v>
      </c>
      <c r="JL174" s="563">
        <v>2</v>
      </c>
      <c r="JM174" s="563">
        <v>0</v>
      </c>
      <c r="JN174" s="563">
        <v>0</v>
      </c>
      <c r="JO174" s="563">
        <v>0</v>
      </c>
      <c r="JP174" s="650">
        <v>31871.659939010075</v>
      </c>
      <c r="JQ174" s="563">
        <v>0</v>
      </c>
      <c r="JR174" s="563">
        <v>0</v>
      </c>
      <c r="JS174" s="563">
        <v>0</v>
      </c>
      <c r="JT174" s="650">
        <v>20126.220049558422</v>
      </c>
      <c r="JU174" s="564">
        <v>4000</v>
      </c>
      <c r="JV174" s="565">
        <v>111.421819447318</v>
      </c>
      <c r="JW174" s="649">
        <v>1.2560000000000002</v>
      </c>
      <c r="JX174" s="646">
        <v>16.944469978886609</v>
      </c>
      <c r="JY174" s="646">
        <v>0</v>
      </c>
      <c r="JZ174" s="646">
        <v>0</v>
      </c>
      <c r="KA174" s="646">
        <v>10.374649642495383</v>
      </c>
      <c r="KB174" s="646">
        <v>0.4269665654088996</v>
      </c>
      <c r="KC174" s="646">
        <v>3600</v>
      </c>
      <c r="KD174" s="563" t="s">
        <v>67</v>
      </c>
      <c r="KE174" s="563">
        <v>2</v>
      </c>
      <c r="KF174" s="563">
        <v>0</v>
      </c>
      <c r="KG174" s="563">
        <v>0</v>
      </c>
      <c r="KH174" s="563">
        <v>0</v>
      </c>
      <c r="KI174" s="650">
        <v>31871.659939010075</v>
      </c>
      <c r="KJ174" s="563">
        <v>0</v>
      </c>
      <c r="KK174" s="563">
        <v>0</v>
      </c>
      <c r="KL174" s="563">
        <v>0</v>
      </c>
      <c r="KM174" s="650">
        <v>20126.220049558422</v>
      </c>
      <c r="KN174" s="564">
        <v>4000</v>
      </c>
      <c r="KO174" s="566">
        <v>111.421819447318</v>
      </c>
    </row>
    <row r="175" spans="1:301" ht="15" customHeight="1">
      <c r="A175" s="663" t="s">
        <v>924</v>
      </c>
      <c r="B175" s="629" t="s">
        <v>382</v>
      </c>
      <c r="C175" s="629">
        <v>190</v>
      </c>
      <c r="D175" s="629">
        <v>532</v>
      </c>
      <c r="E175" s="629">
        <v>166</v>
      </c>
      <c r="F175" s="629">
        <v>190</v>
      </c>
      <c r="G175" s="629">
        <v>49</v>
      </c>
      <c r="H175" s="629">
        <v>35</v>
      </c>
      <c r="I175" s="629">
        <v>35</v>
      </c>
      <c r="J175" s="629">
        <v>33.03</v>
      </c>
      <c r="K175" s="629">
        <v>71.8</v>
      </c>
      <c r="L175" s="629">
        <v>16</v>
      </c>
      <c r="M175" s="629">
        <v>200</v>
      </c>
      <c r="N175" s="629">
        <v>2</v>
      </c>
      <c r="O175" s="623">
        <v>3.1501123387070633</v>
      </c>
      <c r="P175" s="629">
        <v>2</v>
      </c>
      <c r="Q175" s="623">
        <v>1.9786820727322263</v>
      </c>
      <c r="R175" s="629">
        <v>13.000000000000002</v>
      </c>
      <c r="S175" s="629">
        <v>350.08102233614875</v>
      </c>
      <c r="T175" s="645">
        <v>9.8229068930651415</v>
      </c>
      <c r="U175" s="645">
        <v>52.512153350422309</v>
      </c>
      <c r="V175" s="645">
        <v>47.5</v>
      </c>
      <c r="W175" s="793">
        <v>0.60566721588250194</v>
      </c>
      <c r="X175" s="646">
        <v>0</v>
      </c>
      <c r="Y175" s="646">
        <v>0</v>
      </c>
      <c r="Z175" s="646">
        <v>0</v>
      </c>
      <c r="AA175" s="646">
        <v>0</v>
      </c>
      <c r="AB175" s="647">
        <v>0.87483525942518048</v>
      </c>
      <c r="AC175" s="784">
        <v>4000</v>
      </c>
      <c r="AD175" s="631">
        <v>2.5694522108979307</v>
      </c>
      <c r="AE175" s="631">
        <v>0.6501522626783206</v>
      </c>
      <c r="AF175" s="631">
        <v>-0.17653097600101827</v>
      </c>
      <c r="AG175" s="631">
        <v>0.94378242752724562</v>
      </c>
      <c r="AH175" s="629"/>
      <c r="AI175" s="648">
        <v>1.0564403717923021</v>
      </c>
      <c r="AJ175" s="649">
        <v>2.6376000000000004</v>
      </c>
      <c r="AK175" s="646">
        <v>18.194968520386933</v>
      </c>
      <c r="AL175" s="646">
        <v>0</v>
      </c>
      <c r="AM175" s="646">
        <v>0</v>
      </c>
      <c r="AN175" s="646">
        <v>13.004919730665206</v>
      </c>
      <c r="AO175" s="646">
        <v>0.47830774098843887</v>
      </c>
      <c r="AP175" s="801">
        <v>3600</v>
      </c>
      <c r="AQ175" s="563" t="s">
        <v>71</v>
      </c>
      <c r="AR175" s="563">
        <v>3</v>
      </c>
      <c r="AS175" s="563">
        <v>0</v>
      </c>
      <c r="AT175" s="563">
        <v>0</v>
      </c>
      <c r="AU175" s="563">
        <v>0</v>
      </c>
      <c r="AV175" s="650">
        <v>17201.070949391407</v>
      </c>
      <c r="AW175" s="563">
        <v>0</v>
      </c>
      <c r="AX175" s="563">
        <v>0</v>
      </c>
      <c r="AY175" s="563">
        <v>0</v>
      </c>
      <c r="AZ175" s="650">
        <v>19446.1027201822</v>
      </c>
      <c r="BA175" s="564">
        <v>4000</v>
      </c>
      <c r="BB175" s="565">
        <v>111.421819447318</v>
      </c>
      <c r="BC175" s="649">
        <v>2.6376000000000004</v>
      </c>
      <c r="BD175" s="646">
        <v>18.194968520386933</v>
      </c>
      <c r="BE175" s="646">
        <v>0</v>
      </c>
      <c r="BF175" s="646">
        <v>0</v>
      </c>
      <c r="BG175" s="646">
        <v>13.004919730665206</v>
      </c>
      <c r="BH175" s="646">
        <v>0.47830774098843887</v>
      </c>
      <c r="BI175" s="646">
        <v>3600</v>
      </c>
      <c r="BJ175" s="563" t="s">
        <v>71</v>
      </c>
      <c r="BK175" s="563">
        <v>3</v>
      </c>
      <c r="BL175" s="563">
        <v>0</v>
      </c>
      <c r="BM175" s="563">
        <v>0</v>
      </c>
      <c r="BN175" s="563">
        <v>0</v>
      </c>
      <c r="BO175" s="650">
        <v>17201.070949391407</v>
      </c>
      <c r="BP175" s="563">
        <v>0</v>
      </c>
      <c r="BQ175" s="563">
        <v>0</v>
      </c>
      <c r="BR175" s="563">
        <v>0</v>
      </c>
      <c r="BS175" s="650">
        <v>19446.1027201822</v>
      </c>
      <c r="BT175" s="564">
        <v>4000</v>
      </c>
      <c r="BU175" s="565">
        <v>111.421819447318</v>
      </c>
      <c r="BV175" s="649">
        <v>1.7584000000000002</v>
      </c>
      <c r="BW175" s="646">
        <v>17.315768520386936</v>
      </c>
      <c r="BX175" s="646">
        <v>0</v>
      </c>
      <c r="BY175" s="646">
        <v>0</v>
      </c>
      <c r="BZ175" s="646">
        <v>12.776684144809099</v>
      </c>
      <c r="CA175" s="646">
        <v>0.44323601338843888</v>
      </c>
      <c r="CB175" s="646">
        <v>3600</v>
      </c>
      <c r="CC175" s="563" t="s">
        <v>1584</v>
      </c>
      <c r="CD175" s="563">
        <v>2</v>
      </c>
      <c r="CE175" s="563">
        <v>0</v>
      </c>
      <c r="CF175" s="563">
        <v>0</v>
      </c>
      <c r="CG175" s="563">
        <v>0</v>
      </c>
      <c r="CH175" s="650">
        <v>11661.777949432806</v>
      </c>
      <c r="CI175" s="563">
        <v>0</v>
      </c>
      <c r="CJ175" s="563">
        <v>0</v>
      </c>
      <c r="CK175" s="563">
        <v>0</v>
      </c>
      <c r="CL175" s="650">
        <v>11439.714495595901</v>
      </c>
      <c r="CM175" s="564">
        <v>4000</v>
      </c>
      <c r="CN175" s="565">
        <v>111.421819447318</v>
      </c>
      <c r="CO175" s="649">
        <v>1.7584000000000002</v>
      </c>
      <c r="CP175" s="646">
        <v>17.315768520386936</v>
      </c>
      <c r="CQ175" s="646">
        <v>0</v>
      </c>
      <c r="CR175" s="646">
        <v>0</v>
      </c>
      <c r="CS175" s="646">
        <v>12.776684144809099</v>
      </c>
      <c r="CT175" s="646">
        <v>0.44323601338843888</v>
      </c>
      <c r="CU175" s="646">
        <v>3600</v>
      </c>
      <c r="CV175" s="563" t="s">
        <v>1584</v>
      </c>
      <c r="CW175" s="563">
        <v>2</v>
      </c>
      <c r="CX175" s="563">
        <v>0</v>
      </c>
      <c r="CY175" s="563">
        <v>0</v>
      </c>
      <c r="CZ175" s="563">
        <v>0</v>
      </c>
      <c r="DA175" s="650">
        <v>11661.777949432806</v>
      </c>
      <c r="DB175" s="563">
        <v>0</v>
      </c>
      <c r="DC175" s="563">
        <v>0</v>
      </c>
      <c r="DD175" s="563">
        <v>0</v>
      </c>
      <c r="DE175" s="650">
        <v>11439.714495595901</v>
      </c>
      <c r="DF175" s="564">
        <v>4000</v>
      </c>
      <c r="DG175" s="565">
        <v>111.421819447318</v>
      </c>
      <c r="DH175" s="649">
        <v>1.7584000000000002</v>
      </c>
      <c r="DI175" s="646">
        <v>17.315768520386936</v>
      </c>
      <c r="DJ175" s="646">
        <v>0</v>
      </c>
      <c r="DK175" s="646">
        <v>0</v>
      </c>
      <c r="DL175" s="646">
        <v>12.776684144809099</v>
      </c>
      <c r="DM175" s="646">
        <v>0.44323601338843888</v>
      </c>
      <c r="DN175" s="646">
        <v>3600</v>
      </c>
      <c r="DO175" s="563" t="s">
        <v>1585</v>
      </c>
      <c r="DP175" s="563">
        <v>2</v>
      </c>
      <c r="DQ175" s="563">
        <v>0</v>
      </c>
      <c r="DR175" s="563">
        <v>0</v>
      </c>
      <c r="DS175" s="563">
        <v>0</v>
      </c>
      <c r="DT175" s="650">
        <v>12466.965030689167</v>
      </c>
      <c r="DU175" s="563">
        <v>0</v>
      </c>
      <c r="DV175" s="563">
        <v>0</v>
      </c>
      <c r="DW175" s="563">
        <v>0</v>
      </c>
      <c r="DX175" s="650">
        <v>12229.569212866028</v>
      </c>
      <c r="DY175" s="564">
        <v>4000</v>
      </c>
      <c r="DZ175" s="565">
        <v>111.421819447318</v>
      </c>
      <c r="EA175" s="649">
        <v>1.7584000000000002</v>
      </c>
      <c r="EB175" s="646">
        <v>17.315768520386936</v>
      </c>
      <c r="EC175" s="646">
        <v>0</v>
      </c>
      <c r="ED175" s="646">
        <v>0</v>
      </c>
      <c r="EE175" s="646">
        <v>12.776684144809099</v>
      </c>
      <c r="EF175" s="646">
        <v>0.44323601338843888</v>
      </c>
      <c r="EG175" s="646">
        <v>3600</v>
      </c>
      <c r="EH175" s="563" t="s">
        <v>1585</v>
      </c>
      <c r="EI175" s="563">
        <v>2</v>
      </c>
      <c r="EJ175" s="563">
        <v>0</v>
      </c>
      <c r="EK175" s="563">
        <v>0</v>
      </c>
      <c r="EL175" s="563">
        <v>0</v>
      </c>
      <c r="EM175" s="650">
        <v>12466.965030689167</v>
      </c>
      <c r="EN175" s="563">
        <v>0</v>
      </c>
      <c r="EO175" s="563">
        <v>0</v>
      </c>
      <c r="EP175" s="563">
        <v>0</v>
      </c>
      <c r="EQ175" s="650">
        <v>12229.569212866028</v>
      </c>
      <c r="ER175" s="564">
        <v>4000</v>
      </c>
      <c r="ES175" s="565">
        <v>111.421819447318</v>
      </c>
      <c r="ET175" s="649">
        <v>1.7584000000000002</v>
      </c>
      <c r="EU175" s="646">
        <v>17.315768520386936</v>
      </c>
      <c r="EV175" s="646">
        <v>0</v>
      </c>
      <c r="EW175" s="646">
        <v>0</v>
      </c>
      <c r="EX175" s="646">
        <v>12.776684144809099</v>
      </c>
      <c r="EY175" s="646">
        <v>0.44323601338843888</v>
      </c>
      <c r="EZ175" s="646">
        <v>3600</v>
      </c>
      <c r="FA175" s="563" t="s">
        <v>1586</v>
      </c>
      <c r="FB175" s="563">
        <v>2</v>
      </c>
      <c r="FC175" s="563">
        <v>0</v>
      </c>
      <c r="FD175" s="563">
        <v>0</v>
      </c>
      <c r="FE175" s="563">
        <v>0</v>
      </c>
      <c r="FF175" s="650">
        <v>12724.042902628709</v>
      </c>
      <c r="FG175" s="563">
        <v>0</v>
      </c>
      <c r="FH175" s="563">
        <v>0</v>
      </c>
      <c r="FI175" s="563">
        <v>0</v>
      </c>
      <c r="FJ175" s="650">
        <v>12481.751810654991</v>
      </c>
      <c r="FK175" s="564">
        <v>4000</v>
      </c>
      <c r="FL175" s="565">
        <v>111.421819447318</v>
      </c>
      <c r="FM175" s="649">
        <v>1.7584000000000002</v>
      </c>
      <c r="FN175" s="646">
        <v>17.315768520386936</v>
      </c>
      <c r="FO175" s="646">
        <v>0</v>
      </c>
      <c r="FP175" s="646">
        <v>0</v>
      </c>
      <c r="FQ175" s="646">
        <v>12.776684144809099</v>
      </c>
      <c r="FR175" s="646">
        <v>0.44323601338843888</v>
      </c>
      <c r="FS175" s="646">
        <v>3600</v>
      </c>
      <c r="FT175" s="563" t="s">
        <v>1586</v>
      </c>
      <c r="FU175" s="563">
        <v>2</v>
      </c>
      <c r="FV175" s="563">
        <v>0</v>
      </c>
      <c r="FW175" s="563">
        <v>0</v>
      </c>
      <c r="FX175" s="563">
        <v>0</v>
      </c>
      <c r="FY175" s="650">
        <v>12724.042902628709</v>
      </c>
      <c r="FZ175" s="563">
        <v>0</v>
      </c>
      <c r="GA175" s="563">
        <v>0</v>
      </c>
      <c r="GB175" s="563">
        <v>0</v>
      </c>
      <c r="GC175" s="650">
        <v>12481.751810654991</v>
      </c>
      <c r="GD175" s="564">
        <v>4000</v>
      </c>
      <c r="GE175" s="565">
        <v>111.421819447318</v>
      </c>
      <c r="GF175" s="649">
        <v>1.7584000000000002</v>
      </c>
      <c r="GG175" s="646">
        <v>17.315768520386936</v>
      </c>
      <c r="GH175" s="646">
        <v>0</v>
      </c>
      <c r="GI175" s="646">
        <v>0</v>
      </c>
      <c r="GJ175" s="646">
        <v>12.776684144809099</v>
      </c>
      <c r="GK175" s="646">
        <v>0.44323601338843888</v>
      </c>
      <c r="GL175" s="646">
        <v>3600</v>
      </c>
      <c r="GM175" s="563" t="s">
        <v>1587</v>
      </c>
      <c r="GN175" s="563">
        <v>2</v>
      </c>
      <c r="GO175" s="563">
        <v>0</v>
      </c>
      <c r="GP175" s="563">
        <v>0</v>
      </c>
      <c r="GQ175" s="563">
        <v>0</v>
      </c>
      <c r="GR175" s="650">
        <v>17071.094927341612</v>
      </c>
      <c r="GS175" s="563">
        <v>0</v>
      </c>
      <c r="GT175" s="563">
        <v>0</v>
      </c>
      <c r="GU175" s="563">
        <v>0</v>
      </c>
      <c r="GV175" s="650">
        <v>16746.027316126554</v>
      </c>
      <c r="GW175" s="564">
        <v>4000</v>
      </c>
      <c r="GX175" s="565">
        <v>111.421819447318</v>
      </c>
      <c r="GY175" s="649">
        <v>1.7584000000000002</v>
      </c>
      <c r="GZ175" s="646">
        <v>17.315768520386936</v>
      </c>
      <c r="HA175" s="646">
        <v>0</v>
      </c>
      <c r="HB175" s="646">
        <v>0</v>
      </c>
      <c r="HC175" s="646">
        <v>12.776684144809099</v>
      </c>
      <c r="HD175" s="646">
        <v>0.44323601338843888</v>
      </c>
      <c r="HE175" s="646">
        <v>3600</v>
      </c>
      <c r="HF175" s="563" t="s">
        <v>1587</v>
      </c>
      <c r="HG175" s="563">
        <v>2</v>
      </c>
      <c r="HH175" s="563">
        <v>0</v>
      </c>
      <c r="HI175" s="563">
        <v>0</v>
      </c>
      <c r="HJ175" s="563">
        <v>0</v>
      </c>
      <c r="HK175" s="650">
        <v>17071.094927341612</v>
      </c>
      <c r="HL175" s="563">
        <v>0</v>
      </c>
      <c r="HM175" s="563">
        <v>0</v>
      </c>
      <c r="HN175" s="563">
        <v>0</v>
      </c>
      <c r="HO175" s="650">
        <v>16746.027316126554</v>
      </c>
      <c r="HP175" s="564">
        <v>4000</v>
      </c>
      <c r="HQ175" s="565">
        <v>111.421819447318</v>
      </c>
      <c r="HR175" s="649">
        <v>1.7584000000000002</v>
      </c>
      <c r="HS175" s="646">
        <v>17.315768520386936</v>
      </c>
      <c r="HT175" s="646">
        <v>0</v>
      </c>
      <c r="HU175" s="646">
        <v>0</v>
      </c>
      <c r="HV175" s="646">
        <v>12.776684144809099</v>
      </c>
      <c r="HW175" s="646">
        <v>0.44323601338843888</v>
      </c>
      <c r="HX175" s="646">
        <v>3600</v>
      </c>
      <c r="HY175" s="563" t="s">
        <v>68</v>
      </c>
      <c r="HZ175" s="563">
        <v>2</v>
      </c>
      <c r="IA175" s="563">
        <v>0</v>
      </c>
      <c r="IB175" s="563">
        <v>0</v>
      </c>
      <c r="IC175" s="563">
        <v>0</v>
      </c>
      <c r="ID175" s="650">
        <v>15055.290595130613</v>
      </c>
      <c r="IE175" s="563">
        <v>0</v>
      </c>
      <c r="IF175" s="563">
        <v>0</v>
      </c>
      <c r="IG175" s="563">
        <v>0</v>
      </c>
      <c r="IH175" s="650">
        <v>14768.607908936838</v>
      </c>
      <c r="II175" s="564">
        <v>4000</v>
      </c>
      <c r="IJ175" s="565">
        <v>111.421819447318</v>
      </c>
      <c r="IK175" s="649">
        <v>1.7584000000000002</v>
      </c>
      <c r="IL175" s="646">
        <v>17.315768520386936</v>
      </c>
      <c r="IM175" s="646">
        <v>0</v>
      </c>
      <c r="IN175" s="646">
        <v>0</v>
      </c>
      <c r="IO175" s="646">
        <v>12.776684144809099</v>
      </c>
      <c r="IP175" s="646">
        <v>0.44323601338843888</v>
      </c>
      <c r="IQ175" s="646">
        <v>3600</v>
      </c>
      <c r="IR175" s="563" t="s">
        <v>68</v>
      </c>
      <c r="IS175" s="563">
        <v>2</v>
      </c>
      <c r="IT175" s="563">
        <v>0</v>
      </c>
      <c r="IU175" s="563">
        <v>0</v>
      </c>
      <c r="IV175" s="563">
        <v>0</v>
      </c>
      <c r="IW175" s="650">
        <v>15055.290595130613</v>
      </c>
      <c r="IX175" s="563">
        <v>0</v>
      </c>
      <c r="IY175" s="563">
        <v>0</v>
      </c>
      <c r="IZ175" s="563">
        <v>0</v>
      </c>
      <c r="JA175" s="650">
        <v>14768.607908936838</v>
      </c>
      <c r="JB175" s="564">
        <v>4000</v>
      </c>
      <c r="JC175" s="565">
        <v>111.421819447318</v>
      </c>
      <c r="JD175" s="649">
        <v>1.7584000000000002</v>
      </c>
      <c r="JE175" s="646">
        <v>17.315768520386936</v>
      </c>
      <c r="JF175" s="646">
        <v>0</v>
      </c>
      <c r="JG175" s="646">
        <v>0</v>
      </c>
      <c r="JH175" s="646">
        <v>12.776684144809099</v>
      </c>
      <c r="JI175" s="646">
        <v>0.44323601338843888</v>
      </c>
      <c r="JJ175" s="646">
        <v>3600</v>
      </c>
      <c r="JK175" s="563" t="s">
        <v>67</v>
      </c>
      <c r="JL175" s="563">
        <v>2</v>
      </c>
      <c r="JM175" s="563">
        <v>0</v>
      </c>
      <c r="JN175" s="563">
        <v>0</v>
      </c>
      <c r="JO175" s="563">
        <v>0</v>
      </c>
      <c r="JP175" s="650">
        <v>20516.902696280002</v>
      </c>
      <c r="JQ175" s="563">
        <v>0</v>
      </c>
      <c r="JR175" s="563">
        <v>0</v>
      </c>
      <c r="JS175" s="563">
        <v>0</v>
      </c>
      <c r="JT175" s="650">
        <v>20126.220049558422</v>
      </c>
      <c r="JU175" s="564">
        <v>4000</v>
      </c>
      <c r="JV175" s="565">
        <v>111.421819447318</v>
      </c>
      <c r="JW175" s="649">
        <v>1.7584000000000002</v>
      </c>
      <c r="JX175" s="646">
        <v>17.315768520386936</v>
      </c>
      <c r="JY175" s="646">
        <v>0</v>
      </c>
      <c r="JZ175" s="646">
        <v>0</v>
      </c>
      <c r="KA175" s="646">
        <v>12.776684144809099</v>
      </c>
      <c r="KB175" s="646">
        <v>0.44323601338843888</v>
      </c>
      <c r="KC175" s="646">
        <v>3600</v>
      </c>
      <c r="KD175" s="563" t="s">
        <v>67</v>
      </c>
      <c r="KE175" s="563">
        <v>2</v>
      </c>
      <c r="KF175" s="563">
        <v>0</v>
      </c>
      <c r="KG175" s="563">
        <v>0</v>
      </c>
      <c r="KH175" s="563">
        <v>0</v>
      </c>
      <c r="KI175" s="650">
        <v>20516.902696280002</v>
      </c>
      <c r="KJ175" s="563">
        <v>0</v>
      </c>
      <c r="KK175" s="563">
        <v>0</v>
      </c>
      <c r="KL175" s="563">
        <v>0</v>
      </c>
      <c r="KM175" s="650">
        <v>20126.220049558422</v>
      </c>
      <c r="KN175" s="564">
        <v>4000</v>
      </c>
      <c r="KO175" s="566">
        <v>111.421819447318</v>
      </c>
    </row>
    <row r="176" spans="1:301" ht="15" customHeight="1">
      <c r="A176" s="663" t="s">
        <v>925</v>
      </c>
      <c r="B176" s="629" t="s">
        <v>382</v>
      </c>
      <c r="C176" s="629">
        <v>190</v>
      </c>
      <c r="D176" s="629">
        <v>532</v>
      </c>
      <c r="E176" s="629">
        <v>166</v>
      </c>
      <c r="F176" s="629">
        <v>190</v>
      </c>
      <c r="G176" s="629">
        <v>49</v>
      </c>
      <c r="H176" s="629">
        <v>35</v>
      </c>
      <c r="I176" s="629">
        <v>35</v>
      </c>
      <c r="J176" s="629">
        <v>33.03</v>
      </c>
      <c r="K176" s="629">
        <v>71.8</v>
      </c>
      <c r="L176" s="629">
        <v>16</v>
      </c>
      <c r="M176" s="629">
        <v>200</v>
      </c>
      <c r="N176" s="629">
        <v>2</v>
      </c>
      <c r="O176" s="623">
        <v>3.1501123387070633</v>
      </c>
      <c r="P176" s="629">
        <v>2</v>
      </c>
      <c r="Q176" s="623">
        <v>1.9786820727322263</v>
      </c>
      <c r="R176" s="629">
        <v>13.000000000000002</v>
      </c>
      <c r="S176" s="629">
        <v>350.08102233614875</v>
      </c>
      <c r="T176" s="645">
        <v>9.8229068930651415</v>
      </c>
      <c r="U176" s="645">
        <v>52.512153350422309</v>
      </c>
      <c r="V176" s="645">
        <v>47.5</v>
      </c>
      <c r="W176" s="793">
        <v>0.60566721588250194</v>
      </c>
      <c r="X176" s="646">
        <v>0</v>
      </c>
      <c r="Y176" s="646">
        <v>0</v>
      </c>
      <c r="Z176" s="646">
        <v>0</v>
      </c>
      <c r="AA176" s="646">
        <v>0</v>
      </c>
      <c r="AB176" s="647">
        <v>0.87483525942518048</v>
      </c>
      <c r="AC176" s="784">
        <v>4000</v>
      </c>
      <c r="AD176" s="631">
        <v>2.5694522108979307</v>
      </c>
      <c r="AE176" s="631">
        <v>0.6501522626783206</v>
      </c>
      <c r="AF176" s="631">
        <v>-0.17653097600101827</v>
      </c>
      <c r="AG176" s="631">
        <v>0.94378242752724562</v>
      </c>
      <c r="AH176" s="629"/>
      <c r="AI176" s="648">
        <v>1.0564403717923021</v>
      </c>
      <c r="AJ176" s="649">
        <v>2.6376000000000004</v>
      </c>
      <c r="AK176" s="646">
        <v>18.194968520386933</v>
      </c>
      <c r="AL176" s="646">
        <v>0</v>
      </c>
      <c r="AM176" s="646">
        <v>0</v>
      </c>
      <c r="AN176" s="646">
        <v>13.004919730665206</v>
      </c>
      <c r="AO176" s="646">
        <v>0.47830774098843887</v>
      </c>
      <c r="AP176" s="801">
        <v>3600</v>
      </c>
      <c r="AQ176" s="563" t="s">
        <v>71</v>
      </c>
      <c r="AR176" s="563">
        <v>3</v>
      </c>
      <c r="AS176" s="563">
        <v>0</v>
      </c>
      <c r="AT176" s="563">
        <v>0</v>
      </c>
      <c r="AU176" s="563">
        <v>0</v>
      </c>
      <c r="AV176" s="650">
        <v>17201.070949391407</v>
      </c>
      <c r="AW176" s="563">
        <v>0</v>
      </c>
      <c r="AX176" s="563">
        <v>0</v>
      </c>
      <c r="AY176" s="563">
        <v>0</v>
      </c>
      <c r="AZ176" s="650">
        <v>19446.1027201822</v>
      </c>
      <c r="BA176" s="564">
        <v>4000</v>
      </c>
      <c r="BB176" s="565">
        <v>111.421819447318</v>
      </c>
      <c r="BC176" s="649">
        <v>2.6376000000000004</v>
      </c>
      <c r="BD176" s="646">
        <v>18.194968520386933</v>
      </c>
      <c r="BE176" s="646">
        <v>0</v>
      </c>
      <c r="BF176" s="646">
        <v>0</v>
      </c>
      <c r="BG176" s="646">
        <v>13.004919730665206</v>
      </c>
      <c r="BH176" s="646">
        <v>0.47830774098843887</v>
      </c>
      <c r="BI176" s="646">
        <v>3600</v>
      </c>
      <c r="BJ176" s="563" t="s">
        <v>71</v>
      </c>
      <c r="BK176" s="563">
        <v>3</v>
      </c>
      <c r="BL176" s="563">
        <v>0</v>
      </c>
      <c r="BM176" s="563">
        <v>0</v>
      </c>
      <c r="BN176" s="563">
        <v>0</v>
      </c>
      <c r="BO176" s="650">
        <v>17201.070949391407</v>
      </c>
      <c r="BP176" s="563">
        <v>0</v>
      </c>
      <c r="BQ176" s="563">
        <v>0</v>
      </c>
      <c r="BR176" s="563">
        <v>0</v>
      </c>
      <c r="BS176" s="650">
        <v>19446.1027201822</v>
      </c>
      <c r="BT176" s="564">
        <v>4000</v>
      </c>
      <c r="BU176" s="565">
        <v>111.421819447318</v>
      </c>
      <c r="BV176" s="649">
        <v>1.7584000000000002</v>
      </c>
      <c r="BW176" s="646">
        <v>17.315768520386936</v>
      </c>
      <c r="BX176" s="646">
        <v>0</v>
      </c>
      <c r="BY176" s="646">
        <v>0</v>
      </c>
      <c r="BZ176" s="646">
        <v>12.776684144809099</v>
      </c>
      <c r="CA176" s="646">
        <v>0.44323601338843888</v>
      </c>
      <c r="CB176" s="646">
        <v>3600</v>
      </c>
      <c r="CC176" s="563" t="s">
        <v>1584</v>
      </c>
      <c r="CD176" s="563">
        <v>2</v>
      </c>
      <c r="CE176" s="563">
        <v>0</v>
      </c>
      <c r="CF176" s="563">
        <v>0</v>
      </c>
      <c r="CG176" s="563">
        <v>0</v>
      </c>
      <c r="CH176" s="650">
        <v>11661.777949432806</v>
      </c>
      <c r="CI176" s="563">
        <v>0</v>
      </c>
      <c r="CJ176" s="563">
        <v>0</v>
      </c>
      <c r="CK176" s="563">
        <v>0</v>
      </c>
      <c r="CL176" s="650">
        <v>11439.714495595901</v>
      </c>
      <c r="CM176" s="564">
        <v>4000</v>
      </c>
      <c r="CN176" s="565">
        <v>111.421819447318</v>
      </c>
      <c r="CO176" s="649">
        <v>1.7584000000000002</v>
      </c>
      <c r="CP176" s="646">
        <v>17.315768520386936</v>
      </c>
      <c r="CQ176" s="646">
        <v>0</v>
      </c>
      <c r="CR176" s="646">
        <v>0</v>
      </c>
      <c r="CS176" s="646">
        <v>12.776684144809099</v>
      </c>
      <c r="CT176" s="646">
        <v>0.44323601338843888</v>
      </c>
      <c r="CU176" s="646">
        <v>3600</v>
      </c>
      <c r="CV176" s="563" t="s">
        <v>1584</v>
      </c>
      <c r="CW176" s="563">
        <v>2</v>
      </c>
      <c r="CX176" s="563">
        <v>0</v>
      </c>
      <c r="CY176" s="563">
        <v>0</v>
      </c>
      <c r="CZ176" s="563">
        <v>0</v>
      </c>
      <c r="DA176" s="650">
        <v>11661.777949432806</v>
      </c>
      <c r="DB176" s="563">
        <v>0</v>
      </c>
      <c r="DC176" s="563">
        <v>0</v>
      </c>
      <c r="DD176" s="563">
        <v>0</v>
      </c>
      <c r="DE176" s="650">
        <v>11439.714495595901</v>
      </c>
      <c r="DF176" s="564">
        <v>4000</v>
      </c>
      <c r="DG176" s="565">
        <v>111.421819447318</v>
      </c>
      <c r="DH176" s="649">
        <v>1.7584000000000002</v>
      </c>
      <c r="DI176" s="646">
        <v>17.315768520386936</v>
      </c>
      <c r="DJ176" s="646">
        <v>0</v>
      </c>
      <c r="DK176" s="646">
        <v>0</v>
      </c>
      <c r="DL176" s="646">
        <v>12.776684144809099</v>
      </c>
      <c r="DM176" s="646">
        <v>0.44323601338843888</v>
      </c>
      <c r="DN176" s="646">
        <v>3600</v>
      </c>
      <c r="DO176" s="563" t="s">
        <v>1585</v>
      </c>
      <c r="DP176" s="563">
        <v>2</v>
      </c>
      <c r="DQ176" s="563">
        <v>0</v>
      </c>
      <c r="DR176" s="563">
        <v>0</v>
      </c>
      <c r="DS176" s="563">
        <v>0</v>
      </c>
      <c r="DT176" s="650">
        <v>12466.965030689167</v>
      </c>
      <c r="DU176" s="563">
        <v>0</v>
      </c>
      <c r="DV176" s="563">
        <v>0</v>
      </c>
      <c r="DW176" s="563">
        <v>0</v>
      </c>
      <c r="DX176" s="650">
        <v>12229.569212866028</v>
      </c>
      <c r="DY176" s="564">
        <v>4000</v>
      </c>
      <c r="DZ176" s="565">
        <v>111.421819447318</v>
      </c>
      <c r="EA176" s="649">
        <v>1.7584000000000002</v>
      </c>
      <c r="EB176" s="646">
        <v>17.315768520386936</v>
      </c>
      <c r="EC176" s="646">
        <v>0</v>
      </c>
      <c r="ED176" s="646">
        <v>0</v>
      </c>
      <c r="EE176" s="646">
        <v>12.776684144809099</v>
      </c>
      <c r="EF176" s="646">
        <v>0.44323601338843888</v>
      </c>
      <c r="EG176" s="646">
        <v>3600</v>
      </c>
      <c r="EH176" s="563" t="s">
        <v>1585</v>
      </c>
      <c r="EI176" s="563">
        <v>2</v>
      </c>
      <c r="EJ176" s="563">
        <v>0</v>
      </c>
      <c r="EK176" s="563">
        <v>0</v>
      </c>
      <c r="EL176" s="563">
        <v>0</v>
      </c>
      <c r="EM176" s="650">
        <v>12466.965030689167</v>
      </c>
      <c r="EN176" s="563">
        <v>0</v>
      </c>
      <c r="EO176" s="563">
        <v>0</v>
      </c>
      <c r="EP176" s="563">
        <v>0</v>
      </c>
      <c r="EQ176" s="650">
        <v>12229.569212866028</v>
      </c>
      <c r="ER176" s="564">
        <v>4000</v>
      </c>
      <c r="ES176" s="565">
        <v>111.421819447318</v>
      </c>
      <c r="ET176" s="649">
        <v>1.7584000000000002</v>
      </c>
      <c r="EU176" s="646">
        <v>17.315768520386936</v>
      </c>
      <c r="EV176" s="646">
        <v>0</v>
      </c>
      <c r="EW176" s="646">
        <v>0</v>
      </c>
      <c r="EX176" s="646">
        <v>12.776684144809099</v>
      </c>
      <c r="EY176" s="646">
        <v>0.44323601338843888</v>
      </c>
      <c r="EZ176" s="646">
        <v>3600</v>
      </c>
      <c r="FA176" s="563" t="s">
        <v>1586</v>
      </c>
      <c r="FB176" s="563">
        <v>2</v>
      </c>
      <c r="FC176" s="563">
        <v>0</v>
      </c>
      <c r="FD176" s="563">
        <v>0</v>
      </c>
      <c r="FE176" s="563">
        <v>0</v>
      </c>
      <c r="FF176" s="650">
        <v>12724.042902628709</v>
      </c>
      <c r="FG176" s="563">
        <v>0</v>
      </c>
      <c r="FH176" s="563">
        <v>0</v>
      </c>
      <c r="FI176" s="563">
        <v>0</v>
      </c>
      <c r="FJ176" s="650">
        <v>12481.751810654991</v>
      </c>
      <c r="FK176" s="564">
        <v>4000</v>
      </c>
      <c r="FL176" s="565">
        <v>111.421819447318</v>
      </c>
      <c r="FM176" s="649">
        <v>1.7584000000000002</v>
      </c>
      <c r="FN176" s="646">
        <v>17.315768520386936</v>
      </c>
      <c r="FO176" s="646">
        <v>0</v>
      </c>
      <c r="FP176" s="646">
        <v>0</v>
      </c>
      <c r="FQ176" s="646">
        <v>12.776684144809099</v>
      </c>
      <c r="FR176" s="646">
        <v>0.44323601338843888</v>
      </c>
      <c r="FS176" s="646">
        <v>3600</v>
      </c>
      <c r="FT176" s="563" t="s">
        <v>1586</v>
      </c>
      <c r="FU176" s="563">
        <v>2</v>
      </c>
      <c r="FV176" s="563">
        <v>0</v>
      </c>
      <c r="FW176" s="563">
        <v>0</v>
      </c>
      <c r="FX176" s="563">
        <v>0</v>
      </c>
      <c r="FY176" s="650">
        <v>12724.042902628709</v>
      </c>
      <c r="FZ176" s="563">
        <v>0</v>
      </c>
      <c r="GA176" s="563">
        <v>0</v>
      </c>
      <c r="GB176" s="563">
        <v>0</v>
      </c>
      <c r="GC176" s="650">
        <v>12481.751810654991</v>
      </c>
      <c r="GD176" s="564">
        <v>4000</v>
      </c>
      <c r="GE176" s="565">
        <v>111.421819447318</v>
      </c>
      <c r="GF176" s="649">
        <v>1.7584000000000002</v>
      </c>
      <c r="GG176" s="646">
        <v>17.315768520386936</v>
      </c>
      <c r="GH176" s="646">
        <v>0</v>
      </c>
      <c r="GI176" s="646">
        <v>0</v>
      </c>
      <c r="GJ176" s="646">
        <v>12.776684144809099</v>
      </c>
      <c r="GK176" s="646">
        <v>0.44323601338843888</v>
      </c>
      <c r="GL176" s="646">
        <v>3600</v>
      </c>
      <c r="GM176" s="563" t="s">
        <v>1587</v>
      </c>
      <c r="GN176" s="563">
        <v>2</v>
      </c>
      <c r="GO176" s="563">
        <v>0</v>
      </c>
      <c r="GP176" s="563">
        <v>0</v>
      </c>
      <c r="GQ176" s="563">
        <v>0</v>
      </c>
      <c r="GR176" s="650">
        <v>17071.094927341612</v>
      </c>
      <c r="GS176" s="563">
        <v>0</v>
      </c>
      <c r="GT176" s="563">
        <v>0</v>
      </c>
      <c r="GU176" s="563">
        <v>0</v>
      </c>
      <c r="GV176" s="650">
        <v>16746.027316126554</v>
      </c>
      <c r="GW176" s="564">
        <v>4000</v>
      </c>
      <c r="GX176" s="565">
        <v>111.421819447318</v>
      </c>
      <c r="GY176" s="649">
        <v>1.7584000000000002</v>
      </c>
      <c r="GZ176" s="646">
        <v>17.315768520386936</v>
      </c>
      <c r="HA176" s="646">
        <v>0</v>
      </c>
      <c r="HB176" s="646">
        <v>0</v>
      </c>
      <c r="HC176" s="646">
        <v>12.776684144809099</v>
      </c>
      <c r="HD176" s="646">
        <v>0.44323601338843888</v>
      </c>
      <c r="HE176" s="646">
        <v>3600</v>
      </c>
      <c r="HF176" s="563" t="s">
        <v>1587</v>
      </c>
      <c r="HG176" s="563">
        <v>2</v>
      </c>
      <c r="HH176" s="563">
        <v>0</v>
      </c>
      <c r="HI176" s="563">
        <v>0</v>
      </c>
      <c r="HJ176" s="563">
        <v>0</v>
      </c>
      <c r="HK176" s="650">
        <v>17071.094927341612</v>
      </c>
      <c r="HL176" s="563">
        <v>0</v>
      </c>
      <c r="HM176" s="563">
        <v>0</v>
      </c>
      <c r="HN176" s="563">
        <v>0</v>
      </c>
      <c r="HO176" s="650">
        <v>16746.027316126554</v>
      </c>
      <c r="HP176" s="564">
        <v>4000</v>
      </c>
      <c r="HQ176" s="565">
        <v>111.421819447318</v>
      </c>
      <c r="HR176" s="649">
        <v>1.7584000000000002</v>
      </c>
      <c r="HS176" s="646">
        <v>17.315768520386936</v>
      </c>
      <c r="HT176" s="646">
        <v>0</v>
      </c>
      <c r="HU176" s="646">
        <v>0</v>
      </c>
      <c r="HV176" s="646">
        <v>12.776684144809099</v>
      </c>
      <c r="HW176" s="646">
        <v>0.44323601338843888</v>
      </c>
      <c r="HX176" s="646">
        <v>3600</v>
      </c>
      <c r="HY176" s="563" t="s">
        <v>68</v>
      </c>
      <c r="HZ176" s="563">
        <v>2</v>
      </c>
      <c r="IA176" s="563">
        <v>0</v>
      </c>
      <c r="IB176" s="563">
        <v>0</v>
      </c>
      <c r="IC176" s="563">
        <v>0</v>
      </c>
      <c r="ID176" s="650">
        <v>15055.290595130613</v>
      </c>
      <c r="IE176" s="563">
        <v>0</v>
      </c>
      <c r="IF176" s="563">
        <v>0</v>
      </c>
      <c r="IG176" s="563">
        <v>0</v>
      </c>
      <c r="IH176" s="650">
        <v>14768.607908936838</v>
      </c>
      <c r="II176" s="564">
        <v>4000</v>
      </c>
      <c r="IJ176" s="565">
        <v>111.421819447318</v>
      </c>
      <c r="IK176" s="649">
        <v>1.7584000000000002</v>
      </c>
      <c r="IL176" s="646">
        <v>17.315768520386936</v>
      </c>
      <c r="IM176" s="646">
        <v>0</v>
      </c>
      <c r="IN176" s="646">
        <v>0</v>
      </c>
      <c r="IO176" s="646">
        <v>12.776684144809099</v>
      </c>
      <c r="IP176" s="646">
        <v>0.44323601338843888</v>
      </c>
      <c r="IQ176" s="646">
        <v>3600</v>
      </c>
      <c r="IR176" s="563" t="s">
        <v>68</v>
      </c>
      <c r="IS176" s="563">
        <v>2</v>
      </c>
      <c r="IT176" s="563">
        <v>0</v>
      </c>
      <c r="IU176" s="563">
        <v>0</v>
      </c>
      <c r="IV176" s="563">
        <v>0</v>
      </c>
      <c r="IW176" s="650">
        <v>15055.290595130613</v>
      </c>
      <c r="IX176" s="563">
        <v>0</v>
      </c>
      <c r="IY176" s="563">
        <v>0</v>
      </c>
      <c r="IZ176" s="563">
        <v>0</v>
      </c>
      <c r="JA176" s="650">
        <v>14768.607908936838</v>
      </c>
      <c r="JB176" s="564">
        <v>4000</v>
      </c>
      <c r="JC176" s="565">
        <v>111.421819447318</v>
      </c>
      <c r="JD176" s="649">
        <v>1.7584000000000002</v>
      </c>
      <c r="JE176" s="646">
        <v>17.315768520386936</v>
      </c>
      <c r="JF176" s="646">
        <v>0</v>
      </c>
      <c r="JG176" s="646">
        <v>0</v>
      </c>
      <c r="JH176" s="646">
        <v>12.776684144809099</v>
      </c>
      <c r="JI176" s="646">
        <v>0.44323601338843888</v>
      </c>
      <c r="JJ176" s="646">
        <v>3600</v>
      </c>
      <c r="JK176" s="563" t="s">
        <v>67</v>
      </c>
      <c r="JL176" s="563">
        <v>2</v>
      </c>
      <c r="JM176" s="563">
        <v>0</v>
      </c>
      <c r="JN176" s="563">
        <v>0</v>
      </c>
      <c r="JO176" s="563">
        <v>0</v>
      </c>
      <c r="JP176" s="650">
        <v>20516.902696280002</v>
      </c>
      <c r="JQ176" s="563">
        <v>0</v>
      </c>
      <c r="JR176" s="563">
        <v>0</v>
      </c>
      <c r="JS176" s="563">
        <v>0</v>
      </c>
      <c r="JT176" s="650">
        <v>20126.220049558422</v>
      </c>
      <c r="JU176" s="564">
        <v>4000</v>
      </c>
      <c r="JV176" s="565">
        <v>111.421819447318</v>
      </c>
      <c r="JW176" s="649">
        <v>1.7584000000000002</v>
      </c>
      <c r="JX176" s="646">
        <v>17.315768520386936</v>
      </c>
      <c r="JY176" s="646">
        <v>0</v>
      </c>
      <c r="JZ176" s="646">
        <v>0</v>
      </c>
      <c r="KA176" s="646">
        <v>12.776684144809099</v>
      </c>
      <c r="KB176" s="646">
        <v>0.44323601338843888</v>
      </c>
      <c r="KC176" s="646">
        <v>3600</v>
      </c>
      <c r="KD176" s="563" t="s">
        <v>67</v>
      </c>
      <c r="KE176" s="563">
        <v>2</v>
      </c>
      <c r="KF176" s="563">
        <v>0</v>
      </c>
      <c r="KG176" s="563">
        <v>0</v>
      </c>
      <c r="KH176" s="563">
        <v>0</v>
      </c>
      <c r="KI176" s="650">
        <v>20516.902696280002</v>
      </c>
      <c r="KJ176" s="563">
        <v>0</v>
      </c>
      <c r="KK176" s="563">
        <v>0</v>
      </c>
      <c r="KL176" s="563">
        <v>0</v>
      </c>
      <c r="KM176" s="650">
        <v>20126.220049558422</v>
      </c>
      <c r="KN176" s="564">
        <v>4000</v>
      </c>
      <c r="KO176" s="566">
        <v>111.421819447318</v>
      </c>
    </row>
    <row r="177" spans="1:301" ht="15" customHeight="1">
      <c r="A177" s="663" t="s">
        <v>926</v>
      </c>
      <c r="B177" s="629" t="s">
        <v>382</v>
      </c>
      <c r="C177" s="629">
        <v>190</v>
      </c>
      <c r="D177" s="629">
        <v>532</v>
      </c>
      <c r="E177" s="629">
        <v>166</v>
      </c>
      <c r="F177" s="629">
        <v>190</v>
      </c>
      <c r="G177" s="629">
        <v>49</v>
      </c>
      <c r="H177" s="629">
        <v>35</v>
      </c>
      <c r="I177" s="629">
        <v>35</v>
      </c>
      <c r="J177" s="629">
        <v>33.6</v>
      </c>
      <c r="K177" s="629">
        <v>68.510000000000005</v>
      </c>
      <c r="L177" s="629">
        <v>16</v>
      </c>
      <c r="M177" s="629">
        <v>200</v>
      </c>
      <c r="N177" s="629">
        <v>2</v>
      </c>
      <c r="O177" s="623">
        <v>3.1501123387070633</v>
      </c>
      <c r="P177" s="629">
        <v>2</v>
      </c>
      <c r="Q177" s="623">
        <v>1.9725775395145158</v>
      </c>
      <c r="R177" s="629">
        <v>13.000000000000002</v>
      </c>
      <c r="S177" s="629">
        <v>350.7873829004522</v>
      </c>
      <c r="T177" s="645">
        <v>9.8625863589802591</v>
      </c>
      <c r="U177" s="645">
        <v>52.618107435067827</v>
      </c>
      <c r="V177" s="645">
        <v>47.5</v>
      </c>
      <c r="W177" s="793">
        <v>0.60811379833616264</v>
      </c>
      <c r="X177" s="646">
        <v>0</v>
      </c>
      <c r="Y177" s="646">
        <v>0</v>
      </c>
      <c r="Z177" s="646">
        <v>0</v>
      </c>
      <c r="AA177" s="646">
        <v>0</v>
      </c>
      <c r="AB177" s="647">
        <v>0.87598107456177721</v>
      </c>
      <c r="AC177" s="784">
        <v>4000</v>
      </c>
      <c r="AD177" s="631">
        <v>2.2654032689343317</v>
      </c>
      <c r="AE177" s="631">
        <v>0.66439841151314039</v>
      </c>
      <c r="AF177" s="631">
        <v>-0.1585089220046185</v>
      </c>
      <c r="AG177" s="631">
        <v>0.97745245328552666</v>
      </c>
      <c r="AH177" s="629"/>
      <c r="AI177" s="648">
        <v>1.0564403717923021</v>
      </c>
      <c r="AJ177" s="649">
        <v>2.6376000000000004</v>
      </c>
      <c r="AK177" s="646">
        <v>18.230990035537999</v>
      </c>
      <c r="AL177" s="646">
        <v>0</v>
      </c>
      <c r="AM177" s="646">
        <v>0</v>
      </c>
      <c r="AN177" s="646">
        <v>12.996223626706916</v>
      </c>
      <c r="AO177" s="646">
        <v>0.47933852713843206</v>
      </c>
      <c r="AP177" s="801">
        <v>3600</v>
      </c>
      <c r="AQ177" s="563" t="s">
        <v>71</v>
      </c>
      <c r="AR177" s="563">
        <v>3</v>
      </c>
      <c r="AS177" s="563">
        <v>0</v>
      </c>
      <c r="AT177" s="563">
        <v>0</v>
      </c>
      <c r="AU177" s="563">
        <v>0</v>
      </c>
      <c r="AV177" s="650">
        <v>15502.309260006175</v>
      </c>
      <c r="AW177" s="563">
        <v>0</v>
      </c>
      <c r="AX177" s="563">
        <v>0</v>
      </c>
      <c r="AY177" s="563">
        <v>0</v>
      </c>
      <c r="AZ177" s="650">
        <v>12491.172664853473</v>
      </c>
      <c r="BA177" s="564">
        <v>4000</v>
      </c>
      <c r="BB177" s="565">
        <v>111.421819447318</v>
      </c>
      <c r="BC177" s="649">
        <v>2.6376000000000004</v>
      </c>
      <c r="BD177" s="646">
        <v>18.230990035537999</v>
      </c>
      <c r="BE177" s="646">
        <v>0</v>
      </c>
      <c r="BF177" s="646">
        <v>0</v>
      </c>
      <c r="BG177" s="646">
        <v>12.996223626706916</v>
      </c>
      <c r="BH177" s="646">
        <v>0.47933852713843206</v>
      </c>
      <c r="BI177" s="646">
        <v>3600</v>
      </c>
      <c r="BJ177" s="563" t="s">
        <v>71</v>
      </c>
      <c r="BK177" s="563">
        <v>3</v>
      </c>
      <c r="BL177" s="563">
        <v>0</v>
      </c>
      <c r="BM177" s="563">
        <v>0</v>
      </c>
      <c r="BN177" s="563">
        <v>0</v>
      </c>
      <c r="BO177" s="650">
        <v>15502.309260006175</v>
      </c>
      <c r="BP177" s="563">
        <v>0</v>
      </c>
      <c r="BQ177" s="563">
        <v>0</v>
      </c>
      <c r="BR177" s="563">
        <v>0</v>
      </c>
      <c r="BS177" s="650">
        <v>12491.172664853473</v>
      </c>
      <c r="BT177" s="564">
        <v>4000</v>
      </c>
      <c r="BU177" s="565">
        <v>111.421819447318</v>
      </c>
      <c r="BV177" s="649">
        <v>1.7584000000000002</v>
      </c>
      <c r="BW177" s="646">
        <v>17.351790035538002</v>
      </c>
      <c r="BX177" s="646">
        <v>0</v>
      </c>
      <c r="BY177" s="646">
        <v>0</v>
      </c>
      <c r="BZ177" s="646">
        <v>12.768021223422329</v>
      </c>
      <c r="CA177" s="646">
        <v>0.44426679953843207</v>
      </c>
      <c r="CB177" s="646">
        <v>3600</v>
      </c>
      <c r="CC177" s="563" t="s">
        <v>1584</v>
      </c>
      <c r="CD177" s="563">
        <v>2</v>
      </c>
      <c r="CE177" s="563">
        <v>0</v>
      </c>
      <c r="CF177" s="563">
        <v>0</v>
      </c>
      <c r="CG177" s="563">
        <v>0</v>
      </c>
      <c r="CH177" s="650">
        <v>11699.966589578862</v>
      </c>
      <c r="CI177" s="563">
        <v>0</v>
      </c>
      <c r="CJ177" s="563">
        <v>0</v>
      </c>
      <c r="CK177" s="563">
        <v>0</v>
      </c>
      <c r="CL177" s="650">
        <v>7803.4665277645381</v>
      </c>
      <c r="CM177" s="564">
        <v>4000</v>
      </c>
      <c r="CN177" s="565">
        <v>111.421819447318</v>
      </c>
      <c r="CO177" s="649">
        <v>1.7584000000000002</v>
      </c>
      <c r="CP177" s="646">
        <v>17.351790035538002</v>
      </c>
      <c r="CQ177" s="646">
        <v>0</v>
      </c>
      <c r="CR177" s="646">
        <v>0</v>
      </c>
      <c r="CS177" s="646">
        <v>12.768021223422329</v>
      </c>
      <c r="CT177" s="646">
        <v>0.44426679953843207</v>
      </c>
      <c r="CU177" s="646">
        <v>3600</v>
      </c>
      <c r="CV177" s="563" t="s">
        <v>1584</v>
      </c>
      <c r="CW177" s="563">
        <v>2</v>
      </c>
      <c r="CX177" s="563">
        <v>0</v>
      </c>
      <c r="CY177" s="563">
        <v>0</v>
      </c>
      <c r="CZ177" s="563">
        <v>0</v>
      </c>
      <c r="DA177" s="650">
        <v>11699.966589578862</v>
      </c>
      <c r="DB177" s="563">
        <v>0</v>
      </c>
      <c r="DC177" s="563">
        <v>0</v>
      </c>
      <c r="DD177" s="563">
        <v>0</v>
      </c>
      <c r="DE177" s="650">
        <v>7803.4665277645381</v>
      </c>
      <c r="DF177" s="564">
        <v>4000</v>
      </c>
      <c r="DG177" s="565">
        <v>111.421819447318</v>
      </c>
      <c r="DH177" s="649">
        <v>1.7584000000000002</v>
      </c>
      <c r="DI177" s="646">
        <v>17.351790035538002</v>
      </c>
      <c r="DJ177" s="646">
        <v>0</v>
      </c>
      <c r="DK177" s="646">
        <v>0</v>
      </c>
      <c r="DL177" s="646">
        <v>12.768021223422329</v>
      </c>
      <c r="DM177" s="646">
        <v>0.44426679953843207</v>
      </c>
      <c r="DN177" s="646">
        <v>3600</v>
      </c>
      <c r="DO177" s="563" t="s">
        <v>1585</v>
      </c>
      <c r="DP177" s="563">
        <v>2</v>
      </c>
      <c r="DQ177" s="563">
        <v>0</v>
      </c>
      <c r="DR177" s="563">
        <v>0</v>
      </c>
      <c r="DS177" s="563">
        <v>0</v>
      </c>
      <c r="DT177" s="650">
        <v>12507.790404258654</v>
      </c>
      <c r="DU177" s="563">
        <v>0</v>
      </c>
      <c r="DV177" s="563">
        <v>0</v>
      </c>
      <c r="DW177" s="563">
        <v>0</v>
      </c>
      <c r="DX177" s="650">
        <v>8342.2566217295298</v>
      </c>
      <c r="DY177" s="564">
        <v>4000</v>
      </c>
      <c r="DZ177" s="565">
        <v>111.421819447318</v>
      </c>
      <c r="EA177" s="649">
        <v>1.7584000000000002</v>
      </c>
      <c r="EB177" s="646">
        <v>17.351790035538002</v>
      </c>
      <c r="EC177" s="646">
        <v>0</v>
      </c>
      <c r="ED177" s="646">
        <v>0</v>
      </c>
      <c r="EE177" s="646">
        <v>12.768021223422329</v>
      </c>
      <c r="EF177" s="646">
        <v>0.44426679953843207</v>
      </c>
      <c r="EG177" s="646">
        <v>3600</v>
      </c>
      <c r="EH177" s="563" t="s">
        <v>1585</v>
      </c>
      <c r="EI177" s="563">
        <v>2</v>
      </c>
      <c r="EJ177" s="563">
        <v>0</v>
      </c>
      <c r="EK177" s="563">
        <v>0</v>
      </c>
      <c r="EL177" s="563">
        <v>0</v>
      </c>
      <c r="EM177" s="650">
        <v>12507.790404258654</v>
      </c>
      <c r="EN177" s="563">
        <v>0</v>
      </c>
      <c r="EO177" s="563">
        <v>0</v>
      </c>
      <c r="EP177" s="563">
        <v>0</v>
      </c>
      <c r="EQ177" s="650">
        <v>8342.2566217295298</v>
      </c>
      <c r="ER177" s="564">
        <v>4000</v>
      </c>
      <c r="ES177" s="565">
        <v>111.421819447318</v>
      </c>
      <c r="ET177" s="649">
        <v>1.7584000000000002</v>
      </c>
      <c r="EU177" s="646">
        <v>17.351790035538002</v>
      </c>
      <c r="EV177" s="646">
        <v>0</v>
      </c>
      <c r="EW177" s="646">
        <v>0</v>
      </c>
      <c r="EX177" s="646">
        <v>12.768021223422329</v>
      </c>
      <c r="EY177" s="646">
        <v>0.44426679953843207</v>
      </c>
      <c r="EZ177" s="646">
        <v>3600</v>
      </c>
      <c r="FA177" s="563" t="s">
        <v>1586</v>
      </c>
      <c r="FB177" s="563">
        <v>2</v>
      </c>
      <c r="FC177" s="563">
        <v>0</v>
      </c>
      <c r="FD177" s="563">
        <v>0</v>
      </c>
      <c r="FE177" s="563">
        <v>0</v>
      </c>
      <c r="FF177" s="650">
        <v>12765.710125046886</v>
      </c>
      <c r="FG177" s="563">
        <v>0</v>
      </c>
      <c r="FH177" s="563">
        <v>0</v>
      </c>
      <c r="FI177" s="563">
        <v>0</v>
      </c>
      <c r="FJ177" s="650">
        <v>8514.2800110798089</v>
      </c>
      <c r="FK177" s="564">
        <v>4000</v>
      </c>
      <c r="FL177" s="565">
        <v>111.421819447318</v>
      </c>
      <c r="FM177" s="649">
        <v>1.7584000000000002</v>
      </c>
      <c r="FN177" s="646">
        <v>17.351790035538002</v>
      </c>
      <c r="FO177" s="646">
        <v>0</v>
      </c>
      <c r="FP177" s="646">
        <v>0</v>
      </c>
      <c r="FQ177" s="646">
        <v>12.768021223422329</v>
      </c>
      <c r="FR177" s="646">
        <v>0.44426679953843207</v>
      </c>
      <c r="FS177" s="646">
        <v>3600</v>
      </c>
      <c r="FT177" s="563" t="s">
        <v>1586</v>
      </c>
      <c r="FU177" s="563">
        <v>2</v>
      </c>
      <c r="FV177" s="563">
        <v>0</v>
      </c>
      <c r="FW177" s="563">
        <v>0</v>
      </c>
      <c r="FX177" s="563">
        <v>0</v>
      </c>
      <c r="FY177" s="650">
        <v>12765.710125046886</v>
      </c>
      <c r="FZ177" s="563">
        <v>0</v>
      </c>
      <c r="GA177" s="563">
        <v>0</v>
      </c>
      <c r="GB177" s="563">
        <v>0</v>
      </c>
      <c r="GC177" s="650">
        <v>8514.2800110798089</v>
      </c>
      <c r="GD177" s="564">
        <v>4000</v>
      </c>
      <c r="GE177" s="565">
        <v>111.421819447318</v>
      </c>
      <c r="GF177" s="649">
        <v>1.7584000000000002</v>
      </c>
      <c r="GG177" s="646">
        <v>17.351790035538002</v>
      </c>
      <c r="GH177" s="646">
        <v>0</v>
      </c>
      <c r="GI177" s="646">
        <v>0</v>
      </c>
      <c r="GJ177" s="646">
        <v>12.768021223422329</v>
      </c>
      <c r="GK177" s="646">
        <v>0.44426679953843207</v>
      </c>
      <c r="GL177" s="646">
        <v>3600</v>
      </c>
      <c r="GM177" s="563" t="s">
        <v>1587</v>
      </c>
      <c r="GN177" s="563">
        <v>2</v>
      </c>
      <c r="GO177" s="563">
        <v>0</v>
      </c>
      <c r="GP177" s="563">
        <v>0</v>
      </c>
      <c r="GQ177" s="563">
        <v>0</v>
      </c>
      <c r="GR177" s="650">
        <v>17126.997372398124</v>
      </c>
      <c r="GS177" s="563">
        <v>0</v>
      </c>
      <c r="GT177" s="563">
        <v>0</v>
      </c>
      <c r="GU177" s="563">
        <v>0</v>
      </c>
      <c r="GV177" s="650">
        <v>11423.105330545275</v>
      </c>
      <c r="GW177" s="564">
        <v>4000</v>
      </c>
      <c r="GX177" s="565">
        <v>111.421819447318</v>
      </c>
      <c r="GY177" s="649">
        <v>1.7584000000000002</v>
      </c>
      <c r="GZ177" s="646">
        <v>17.351790035538002</v>
      </c>
      <c r="HA177" s="646">
        <v>0</v>
      </c>
      <c r="HB177" s="646">
        <v>0</v>
      </c>
      <c r="HC177" s="646">
        <v>12.768021223422329</v>
      </c>
      <c r="HD177" s="646">
        <v>0.44426679953843207</v>
      </c>
      <c r="HE177" s="646">
        <v>3600</v>
      </c>
      <c r="HF177" s="563" t="s">
        <v>1587</v>
      </c>
      <c r="HG177" s="563">
        <v>2</v>
      </c>
      <c r="HH177" s="563">
        <v>0</v>
      </c>
      <c r="HI177" s="563">
        <v>0</v>
      </c>
      <c r="HJ177" s="563">
        <v>0</v>
      </c>
      <c r="HK177" s="650">
        <v>17126.997372398124</v>
      </c>
      <c r="HL177" s="563">
        <v>0</v>
      </c>
      <c r="HM177" s="563">
        <v>0</v>
      </c>
      <c r="HN177" s="563">
        <v>0</v>
      </c>
      <c r="HO177" s="650">
        <v>11423.105330545275</v>
      </c>
      <c r="HP177" s="564">
        <v>4000</v>
      </c>
      <c r="HQ177" s="565">
        <v>111.421819447318</v>
      </c>
      <c r="HR177" s="649">
        <v>1.7584000000000002</v>
      </c>
      <c r="HS177" s="646">
        <v>17.351790035538002</v>
      </c>
      <c r="HT177" s="646">
        <v>0</v>
      </c>
      <c r="HU177" s="646">
        <v>0</v>
      </c>
      <c r="HV177" s="646">
        <v>12.768021223422329</v>
      </c>
      <c r="HW177" s="646">
        <v>0.44426679953843207</v>
      </c>
      <c r="HX177" s="646">
        <v>3600</v>
      </c>
      <c r="HY177" s="563" t="s">
        <v>68</v>
      </c>
      <c r="HZ177" s="563">
        <v>2</v>
      </c>
      <c r="IA177" s="563">
        <v>0</v>
      </c>
      <c r="IB177" s="563">
        <v>0</v>
      </c>
      <c r="IC177" s="563">
        <v>0</v>
      </c>
      <c r="ID177" s="650">
        <v>15104.591917540711</v>
      </c>
      <c r="IE177" s="563">
        <v>0</v>
      </c>
      <c r="IF177" s="563">
        <v>0</v>
      </c>
      <c r="IG177" s="563">
        <v>0</v>
      </c>
      <c r="IH177" s="650">
        <v>10074.231968238439</v>
      </c>
      <c r="II177" s="564">
        <v>4000</v>
      </c>
      <c r="IJ177" s="565">
        <v>111.421819447318</v>
      </c>
      <c r="IK177" s="649">
        <v>1.7584000000000002</v>
      </c>
      <c r="IL177" s="646">
        <v>17.351790035538002</v>
      </c>
      <c r="IM177" s="646">
        <v>0</v>
      </c>
      <c r="IN177" s="646">
        <v>0</v>
      </c>
      <c r="IO177" s="646">
        <v>12.768021223422329</v>
      </c>
      <c r="IP177" s="646">
        <v>0.44426679953843207</v>
      </c>
      <c r="IQ177" s="646">
        <v>3600</v>
      </c>
      <c r="IR177" s="563" t="s">
        <v>68</v>
      </c>
      <c r="IS177" s="563">
        <v>2</v>
      </c>
      <c r="IT177" s="563">
        <v>0</v>
      </c>
      <c r="IU177" s="563">
        <v>0</v>
      </c>
      <c r="IV177" s="563">
        <v>0</v>
      </c>
      <c r="IW177" s="650">
        <v>15104.591917540711</v>
      </c>
      <c r="IX177" s="563">
        <v>0</v>
      </c>
      <c r="IY177" s="563">
        <v>0</v>
      </c>
      <c r="IZ177" s="563">
        <v>0</v>
      </c>
      <c r="JA177" s="650">
        <v>10074.231968238439</v>
      </c>
      <c r="JB177" s="564">
        <v>4000</v>
      </c>
      <c r="JC177" s="565">
        <v>111.421819447318</v>
      </c>
      <c r="JD177" s="649">
        <v>1.7584000000000002</v>
      </c>
      <c r="JE177" s="646">
        <v>17.351790035538002</v>
      </c>
      <c r="JF177" s="646">
        <v>0</v>
      </c>
      <c r="JG177" s="646">
        <v>0</v>
      </c>
      <c r="JH177" s="646">
        <v>12.768021223422329</v>
      </c>
      <c r="JI177" s="646">
        <v>0.44426679953843207</v>
      </c>
      <c r="JJ177" s="646">
        <v>3600</v>
      </c>
      <c r="JK177" s="563" t="s">
        <v>67</v>
      </c>
      <c r="JL177" s="563">
        <v>2</v>
      </c>
      <c r="JM177" s="563">
        <v>0</v>
      </c>
      <c r="JN177" s="563">
        <v>0</v>
      </c>
      <c r="JO177" s="563">
        <v>0</v>
      </c>
      <c r="JP177" s="650">
        <v>20584.089073638159</v>
      </c>
      <c r="JQ177" s="563">
        <v>0</v>
      </c>
      <c r="JR177" s="563">
        <v>0</v>
      </c>
      <c r="JS177" s="563">
        <v>0</v>
      </c>
      <c r="JT177" s="650">
        <v>13728.863998102297</v>
      </c>
      <c r="JU177" s="564">
        <v>4000</v>
      </c>
      <c r="JV177" s="565">
        <v>111.421819447318</v>
      </c>
      <c r="JW177" s="649">
        <v>1.7584000000000002</v>
      </c>
      <c r="JX177" s="646">
        <v>17.351790035538002</v>
      </c>
      <c r="JY177" s="646">
        <v>0</v>
      </c>
      <c r="JZ177" s="646">
        <v>0</v>
      </c>
      <c r="KA177" s="646">
        <v>12.768021223422329</v>
      </c>
      <c r="KB177" s="646">
        <v>0.44426679953843207</v>
      </c>
      <c r="KC177" s="646">
        <v>3600</v>
      </c>
      <c r="KD177" s="563" t="s">
        <v>67</v>
      </c>
      <c r="KE177" s="563">
        <v>2</v>
      </c>
      <c r="KF177" s="563">
        <v>0</v>
      </c>
      <c r="KG177" s="563">
        <v>0</v>
      </c>
      <c r="KH177" s="563">
        <v>0</v>
      </c>
      <c r="KI177" s="650">
        <v>20584.089073638159</v>
      </c>
      <c r="KJ177" s="563">
        <v>0</v>
      </c>
      <c r="KK177" s="563">
        <v>0</v>
      </c>
      <c r="KL177" s="563">
        <v>0</v>
      </c>
      <c r="KM177" s="650">
        <v>13728.863998102297</v>
      </c>
      <c r="KN177" s="564">
        <v>4000</v>
      </c>
      <c r="KO177" s="566">
        <v>111.421819447318</v>
      </c>
    </row>
    <row r="178" spans="1:301" s="634" customFormat="1" ht="15" customHeight="1">
      <c r="A178" s="663" t="s">
        <v>927</v>
      </c>
      <c r="B178" s="629" t="s">
        <v>382</v>
      </c>
      <c r="C178" s="629">
        <v>226</v>
      </c>
      <c r="D178" s="629">
        <v>532</v>
      </c>
      <c r="E178" s="629">
        <v>208</v>
      </c>
      <c r="F178" s="629">
        <v>226</v>
      </c>
      <c r="G178" s="629">
        <v>48</v>
      </c>
      <c r="H178" s="629">
        <v>45</v>
      </c>
      <c r="I178" s="629">
        <v>45</v>
      </c>
      <c r="J178" s="629">
        <v>47.19</v>
      </c>
      <c r="K178" s="629">
        <v>75.069999999999993</v>
      </c>
      <c r="L178" s="629">
        <v>16</v>
      </c>
      <c r="M178" s="629">
        <v>184</v>
      </c>
      <c r="N178" s="629">
        <v>2</v>
      </c>
      <c r="O178" s="623">
        <v>2.9564208994019037</v>
      </c>
      <c r="P178" s="629">
        <v>2</v>
      </c>
      <c r="Q178" s="623">
        <v>1.7927925289083073</v>
      </c>
      <c r="R178" s="629">
        <v>13.000000000000002</v>
      </c>
      <c r="S178" s="629">
        <v>370.98787528801057</v>
      </c>
      <c r="T178" s="645">
        <v>11.031188927920613</v>
      </c>
      <c r="U178" s="645">
        <v>55.648181293201581</v>
      </c>
      <c r="V178" s="645">
        <v>60</v>
      </c>
      <c r="W178" s="793">
        <v>0.85915990688612465</v>
      </c>
      <c r="X178" s="646">
        <v>0</v>
      </c>
      <c r="Y178" s="646">
        <v>0</v>
      </c>
      <c r="Z178" s="646">
        <v>0</v>
      </c>
      <c r="AA178" s="646">
        <v>0</v>
      </c>
      <c r="AB178" s="647">
        <v>1.1184146925530301</v>
      </c>
      <c r="AC178" s="784">
        <v>4000</v>
      </c>
      <c r="AD178" s="631">
        <v>4.1169474993916966</v>
      </c>
      <c r="AE178" s="631">
        <v>1.0795237663458117</v>
      </c>
      <c r="AF178" s="631">
        <v>-6.0974441642271622E-2</v>
      </c>
      <c r="AG178" s="631">
        <v>0.49981945353229079</v>
      </c>
      <c r="AH178" s="629"/>
      <c r="AI178" s="648">
        <v>1.0738761260022216</v>
      </c>
      <c r="AJ178" s="649">
        <v>3.1199040000000009</v>
      </c>
      <c r="AK178" s="646">
        <v>19.759466263116952</v>
      </c>
      <c r="AL178" s="646">
        <v>0</v>
      </c>
      <c r="AM178" s="646">
        <v>0</v>
      </c>
      <c r="AN178" s="646">
        <v>15.309477200035607</v>
      </c>
      <c r="AO178" s="646">
        <v>0.53492477046197273</v>
      </c>
      <c r="AP178" s="801">
        <v>3600</v>
      </c>
      <c r="AQ178" s="563" t="s">
        <v>71</v>
      </c>
      <c r="AR178" s="563">
        <v>3</v>
      </c>
      <c r="AS178" s="563">
        <v>0</v>
      </c>
      <c r="AT178" s="563">
        <v>0</v>
      </c>
      <c r="AU178" s="563">
        <v>0</v>
      </c>
      <c r="AV178" s="650">
        <v>35078.869443136595</v>
      </c>
      <c r="AW178" s="563">
        <v>0</v>
      </c>
      <c r="AX178" s="563">
        <v>0</v>
      </c>
      <c r="AY178" s="563">
        <v>0</v>
      </c>
      <c r="AZ178" s="650">
        <v>78642.885497174357</v>
      </c>
      <c r="BA178" s="564">
        <v>4000</v>
      </c>
      <c r="BB178" s="565">
        <v>111.421819447318</v>
      </c>
      <c r="BC178" s="649">
        <v>3.1199040000000009</v>
      </c>
      <c r="BD178" s="646">
        <v>19.759466263116952</v>
      </c>
      <c r="BE178" s="646">
        <v>0</v>
      </c>
      <c r="BF178" s="646">
        <v>0</v>
      </c>
      <c r="BG178" s="646">
        <v>15.309477200035607</v>
      </c>
      <c r="BH178" s="646">
        <v>0.53492477046197273</v>
      </c>
      <c r="BI178" s="646">
        <v>3600</v>
      </c>
      <c r="BJ178" s="563" t="s">
        <v>71</v>
      </c>
      <c r="BK178" s="563">
        <v>3</v>
      </c>
      <c r="BL178" s="563">
        <v>0</v>
      </c>
      <c r="BM178" s="563">
        <v>0</v>
      </c>
      <c r="BN178" s="563">
        <v>0</v>
      </c>
      <c r="BO178" s="650">
        <v>35078.869443136595</v>
      </c>
      <c r="BP178" s="563">
        <v>0</v>
      </c>
      <c r="BQ178" s="563">
        <v>0</v>
      </c>
      <c r="BR178" s="563">
        <v>0</v>
      </c>
      <c r="BS178" s="650">
        <v>78642.885497174357</v>
      </c>
      <c r="BT178" s="564">
        <v>4000</v>
      </c>
      <c r="BU178" s="565">
        <v>111.421819447318</v>
      </c>
      <c r="BV178" s="649">
        <v>2.0799360000000005</v>
      </c>
      <c r="BW178" s="646">
        <v>18.71949826311695</v>
      </c>
      <c r="BX178" s="646">
        <v>0</v>
      </c>
      <c r="BY178" s="646">
        <v>0</v>
      </c>
      <c r="BZ178" s="646">
        <v>14.910005295921215</v>
      </c>
      <c r="CA178" s="646">
        <v>0.49149310686197273</v>
      </c>
      <c r="CB178" s="646">
        <v>3600</v>
      </c>
      <c r="CC178" s="563" t="s">
        <v>1584</v>
      </c>
      <c r="CD178" s="563">
        <v>2</v>
      </c>
      <c r="CE178" s="563">
        <v>0</v>
      </c>
      <c r="CF178" s="563">
        <v>0</v>
      </c>
      <c r="CG178" s="563">
        <v>0</v>
      </c>
      <c r="CH178" s="650">
        <v>25667.72188237825</v>
      </c>
      <c r="CI178" s="563">
        <v>0</v>
      </c>
      <c r="CJ178" s="563">
        <v>0</v>
      </c>
      <c r="CK178" s="563">
        <v>0</v>
      </c>
      <c r="CL178" s="650">
        <v>27221.679082269755</v>
      </c>
      <c r="CM178" s="564">
        <v>4000</v>
      </c>
      <c r="CN178" s="565">
        <v>111.421819447318</v>
      </c>
      <c r="CO178" s="649">
        <v>2.0799360000000005</v>
      </c>
      <c r="CP178" s="646">
        <v>18.71949826311695</v>
      </c>
      <c r="CQ178" s="646">
        <v>0</v>
      </c>
      <c r="CR178" s="646">
        <v>0</v>
      </c>
      <c r="CS178" s="646">
        <v>14.910005295921215</v>
      </c>
      <c r="CT178" s="646">
        <v>0.49149310686197273</v>
      </c>
      <c r="CU178" s="646">
        <v>3600</v>
      </c>
      <c r="CV178" s="563" t="s">
        <v>1584</v>
      </c>
      <c r="CW178" s="563">
        <v>2</v>
      </c>
      <c r="CX178" s="563">
        <v>0</v>
      </c>
      <c r="CY178" s="563">
        <v>0</v>
      </c>
      <c r="CZ178" s="563">
        <v>0</v>
      </c>
      <c r="DA178" s="650">
        <v>25667.72188237825</v>
      </c>
      <c r="DB178" s="563">
        <v>0</v>
      </c>
      <c r="DC178" s="563">
        <v>0</v>
      </c>
      <c r="DD178" s="563">
        <v>0</v>
      </c>
      <c r="DE178" s="650">
        <v>27221.679082269755</v>
      </c>
      <c r="DF178" s="564">
        <v>4000</v>
      </c>
      <c r="DG178" s="565">
        <v>111.421819447318</v>
      </c>
      <c r="DH178" s="649">
        <v>2.0799360000000005</v>
      </c>
      <c r="DI178" s="646">
        <v>18.71949826311695</v>
      </c>
      <c r="DJ178" s="646">
        <v>0</v>
      </c>
      <c r="DK178" s="646">
        <v>0</v>
      </c>
      <c r="DL178" s="646">
        <v>14.910005295921215</v>
      </c>
      <c r="DM178" s="646">
        <v>0.49149310686197273</v>
      </c>
      <c r="DN178" s="646">
        <v>3600</v>
      </c>
      <c r="DO178" s="563" t="s">
        <v>1585</v>
      </c>
      <c r="DP178" s="563">
        <v>2</v>
      </c>
      <c r="DQ178" s="563">
        <v>0</v>
      </c>
      <c r="DR178" s="563">
        <v>0</v>
      </c>
      <c r="DS178" s="563">
        <v>0</v>
      </c>
      <c r="DT178" s="650">
        <v>27439.948909388495</v>
      </c>
      <c r="DU178" s="563">
        <v>0</v>
      </c>
      <c r="DV178" s="563">
        <v>0</v>
      </c>
      <c r="DW178" s="563">
        <v>0</v>
      </c>
      <c r="DX178" s="650">
        <v>29101.199033866811</v>
      </c>
      <c r="DY178" s="564">
        <v>4000</v>
      </c>
      <c r="DZ178" s="565">
        <v>111.421819447318</v>
      </c>
      <c r="EA178" s="649">
        <v>2.0799360000000005</v>
      </c>
      <c r="EB178" s="646">
        <v>18.71949826311695</v>
      </c>
      <c r="EC178" s="646">
        <v>0</v>
      </c>
      <c r="ED178" s="646">
        <v>0</v>
      </c>
      <c r="EE178" s="646">
        <v>14.910005295921215</v>
      </c>
      <c r="EF178" s="646">
        <v>0.49149310686197273</v>
      </c>
      <c r="EG178" s="646">
        <v>3600</v>
      </c>
      <c r="EH178" s="563" t="s">
        <v>1585</v>
      </c>
      <c r="EI178" s="563">
        <v>2</v>
      </c>
      <c r="EJ178" s="563">
        <v>0</v>
      </c>
      <c r="EK178" s="563">
        <v>0</v>
      </c>
      <c r="EL178" s="563">
        <v>0</v>
      </c>
      <c r="EM178" s="650">
        <v>27439.948909388495</v>
      </c>
      <c r="EN178" s="563">
        <v>0</v>
      </c>
      <c r="EO178" s="563">
        <v>0</v>
      </c>
      <c r="EP178" s="563">
        <v>0</v>
      </c>
      <c r="EQ178" s="650">
        <v>29101.199033866811</v>
      </c>
      <c r="ER178" s="564">
        <v>4000</v>
      </c>
      <c r="ES178" s="565">
        <v>111.421819447318</v>
      </c>
      <c r="ET178" s="649">
        <v>2.0799360000000005</v>
      </c>
      <c r="EU178" s="646">
        <v>18.71949826311695</v>
      </c>
      <c r="EV178" s="646">
        <v>0</v>
      </c>
      <c r="EW178" s="646">
        <v>0</v>
      </c>
      <c r="EX178" s="646">
        <v>14.910005295921215</v>
      </c>
      <c r="EY178" s="646">
        <v>0.49149310686197273</v>
      </c>
      <c r="EZ178" s="646">
        <v>3600</v>
      </c>
      <c r="FA178" s="563" t="s">
        <v>1586</v>
      </c>
      <c r="FB178" s="563">
        <v>2</v>
      </c>
      <c r="FC178" s="563">
        <v>0</v>
      </c>
      <c r="FD178" s="563">
        <v>0</v>
      </c>
      <c r="FE178" s="563">
        <v>0</v>
      </c>
      <c r="FF178" s="650">
        <v>28005.780581683848</v>
      </c>
      <c r="FG178" s="563">
        <v>0</v>
      </c>
      <c r="FH178" s="563">
        <v>0</v>
      </c>
      <c r="FI178" s="563">
        <v>0</v>
      </c>
      <c r="FJ178" s="650">
        <v>29701.286890026193</v>
      </c>
      <c r="FK178" s="564">
        <v>4000</v>
      </c>
      <c r="FL178" s="565">
        <v>111.421819447318</v>
      </c>
      <c r="FM178" s="649">
        <v>2.0799360000000005</v>
      </c>
      <c r="FN178" s="646">
        <v>18.71949826311695</v>
      </c>
      <c r="FO178" s="646">
        <v>0</v>
      </c>
      <c r="FP178" s="646">
        <v>0</v>
      </c>
      <c r="FQ178" s="646">
        <v>14.910005295921215</v>
      </c>
      <c r="FR178" s="646">
        <v>0.49149310686197273</v>
      </c>
      <c r="FS178" s="646">
        <v>3600</v>
      </c>
      <c r="FT178" s="563" t="s">
        <v>1586</v>
      </c>
      <c r="FU178" s="563">
        <v>2</v>
      </c>
      <c r="FV178" s="563">
        <v>0</v>
      </c>
      <c r="FW178" s="563">
        <v>0</v>
      </c>
      <c r="FX178" s="563">
        <v>0</v>
      </c>
      <c r="FY178" s="650">
        <v>28005.780581683848</v>
      </c>
      <c r="FZ178" s="563">
        <v>0</v>
      </c>
      <c r="GA178" s="563">
        <v>0</v>
      </c>
      <c r="GB178" s="563">
        <v>0</v>
      </c>
      <c r="GC178" s="650">
        <v>29701.286890026193</v>
      </c>
      <c r="GD178" s="564">
        <v>4000</v>
      </c>
      <c r="GE178" s="565">
        <v>111.421819447318</v>
      </c>
      <c r="GF178" s="649">
        <v>2.0799360000000005</v>
      </c>
      <c r="GG178" s="646">
        <v>18.71949826311695</v>
      </c>
      <c r="GH178" s="646">
        <v>0</v>
      </c>
      <c r="GI178" s="646">
        <v>0</v>
      </c>
      <c r="GJ178" s="646">
        <v>14.910005295921215</v>
      </c>
      <c r="GK178" s="646">
        <v>0.49149310686197273</v>
      </c>
      <c r="GL178" s="646">
        <v>3600</v>
      </c>
      <c r="GM178" s="563" t="s">
        <v>1587</v>
      </c>
      <c r="GN178" s="563">
        <v>2</v>
      </c>
      <c r="GO178" s="563">
        <v>0</v>
      </c>
      <c r="GP178" s="563">
        <v>0</v>
      </c>
      <c r="GQ178" s="563">
        <v>0</v>
      </c>
      <c r="GR178" s="650">
        <v>37573.697486138211</v>
      </c>
      <c r="GS178" s="563">
        <v>0</v>
      </c>
      <c r="GT178" s="563">
        <v>0</v>
      </c>
      <c r="GU178" s="563">
        <v>0</v>
      </c>
      <c r="GV178" s="650">
        <v>39848.457903252922</v>
      </c>
      <c r="GW178" s="564">
        <v>4000</v>
      </c>
      <c r="GX178" s="565">
        <v>111.421819447318</v>
      </c>
      <c r="GY178" s="649">
        <v>2.0799360000000005</v>
      </c>
      <c r="GZ178" s="646">
        <v>18.71949826311695</v>
      </c>
      <c r="HA178" s="646">
        <v>0</v>
      </c>
      <c r="HB178" s="646">
        <v>0</v>
      </c>
      <c r="HC178" s="646">
        <v>14.910005295921215</v>
      </c>
      <c r="HD178" s="646">
        <v>0.49149310686197273</v>
      </c>
      <c r="HE178" s="646">
        <v>3600</v>
      </c>
      <c r="HF178" s="563" t="s">
        <v>1587</v>
      </c>
      <c r="HG178" s="563">
        <v>2</v>
      </c>
      <c r="HH178" s="563">
        <v>0</v>
      </c>
      <c r="HI178" s="563">
        <v>0</v>
      </c>
      <c r="HJ178" s="563">
        <v>0</v>
      </c>
      <c r="HK178" s="650">
        <v>37573.697486138211</v>
      </c>
      <c r="HL178" s="563">
        <v>0</v>
      </c>
      <c r="HM178" s="563">
        <v>0</v>
      </c>
      <c r="HN178" s="563">
        <v>0</v>
      </c>
      <c r="HO178" s="650">
        <v>39848.457903252922</v>
      </c>
      <c r="HP178" s="564">
        <v>4000</v>
      </c>
      <c r="HQ178" s="565">
        <v>111.421819447318</v>
      </c>
      <c r="HR178" s="649">
        <v>2.0799360000000005</v>
      </c>
      <c r="HS178" s="646">
        <v>18.71949826311695</v>
      </c>
      <c r="HT178" s="646">
        <v>0</v>
      </c>
      <c r="HU178" s="646">
        <v>0</v>
      </c>
      <c r="HV178" s="646">
        <v>14.910005295921215</v>
      </c>
      <c r="HW178" s="646">
        <v>0.49149310686197273</v>
      </c>
      <c r="HX178" s="646">
        <v>3600</v>
      </c>
      <c r="HY178" s="563" t="s">
        <v>68</v>
      </c>
      <c r="HZ178" s="563">
        <v>2</v>
      </c>
      <c r="IA178" s="563">
        <v>0</v>
      </c>
      <c r="IB178" s="563">
        <v>0</v>
      </c>
      <c r="IC178" s="563">
        <v>0</v>
      </c>
      <c r="ID178" s="650">
        <v>33136.886461844872</v>
      </c>
      <c r="IE178" s="563">
        <v>0</v>
      </c>
      <c r="IF178" s="563">
        <v>0</v>
      </c>
      <c r="IG178" s="563">
        <v>0</v>
      </c>
      <c r="IH178" s="650">
        <v>35143.036580477266</v>
      </c>
      <c r="II178" s="564">
        <v>4000</v>
      </c>
      <c r="IJ178" s="565">
        <v>111.421819447318</v>
      </c>
      <c r="IK178" s="649">
        <v>2.0799360000000005</v>
      </c>
      <c r="IL178" s="646">
        <v>18.71949826311695</v>
      </c>
      <c r="IM178" s="646">
        <v>0</v>
      </c>
      <c r="IN178" s="646">
        <v>0</v>
      </c>
      <c r="IO178" s="646">
        <v>14.910005295921215</v>
      </c>
      <c r="IP178" s="646">
        <v>0.49149310686197273</v>
      </c>
      <c r="IQ178" s="646">
        <v>3600</v>
      </c>
      <c r="IR178" s="563" t="s">
        <v>68</v>
      </c>
      <c r="IS178" s="563">
        <v>2</v>
      </c>
      <c r="IT178" s="563">
        <v>0</v>
      </c>
      <c r="IU178" s="563">
        <v>0</v>
      </c>
      <c r="IV178" s="563">
        <v>0</v>
      </c>
      <c r="IW178" s="650">
        <v>33136.886461844872</v>
      </c>
      <c r="IX178" s="563">
        <v>0</v>
      </c>
      <c r="IY178" s="563">
        <v>0</v>
      </c>
      <c r="IZ178" s="563">
        <v>0</v>
      </c>
      <c r="JA178" s="650">
        <v>35143.036580477266</v>
      </c>
      <c r="JB178" s="564">
        <v>4000</v>
      </c>
      <c r="JC178" s="565">
        <v>111.421819447318</v>
      </c>
      <c r="JD178" s="649">
        <v>2.0799360000000005</v>
      </c>
      <c r="JE178" s="646">
        <v>18.71949826311695</v>
      </c>
      <c r="JF178" s="646">
        <v>0</v>
      </c>
      <c r="JG178" s="646">
        <v>0</v>
      </c>
      <c r="JH178" s="646">
        <v>14.910005295921215</v>
      </c>
      <c r="JI178" s="646">
        <v>0.49149310686197273</v>
      </c>
      <c r="JJ178" s="646">
        <v>3600</v>
      </c>
      <c r="JK178" s="563" t="s">
        <v>67</v>
      </c>
      <c r="JL178" s="563">
        <v>2</v>
      </c>
      <c r="JM178" s="563">
        <v>0</v>
      </c>
      <c r="JN178" s="563">
        <v>0</v>
      </c>
      <c r="JO178" s="563">
        <v>0</v>
      </c>
      <c r="JP178" s="650">
        <v>45157.964298364415</v>
      </c>
      <c r="JQ178" s="563">
        <v>0</v>
      </c>
      <c r="JR178" s="563">
        <v>0</v>
      </c>
      <c r="JS178" s="563">
        <v>0</v>
      </c>
      <c r="JT178" s="650">
        <v>47891.88607278221</v>
      </c>
      <c r="JU178" s="564">
        <v>4000</v>
      </c>
      <c r="JV178" s="565">
        <v>111.421819447318</v>
      </c>
      <c r="JW178" s="649">
        <v>2.0799360000000005</v>
      </c>
      <c r="JX178" s="646">
        <v>18.71949826311695</v>
      </c>
      <c r="JY178" s="646">
        <v>0</v>
      </c>
      <c r="JZ178" s="646">
        <v>0</v>
      </c>
      <c r="KA178" s="646">
        <v>14.910005295921215</v>
      </c>
      <c r="KB178" s="646">
        <v>0.49149310686197273</v>
      </c>
      <c r="KC178" s="646">
        <v>3600</v>
      </c>
      <c r="KD178" s="563" t="s">
        <v>67</v>
      </c>
      <c r="KE178" s="563">
        <v>2</v>
      </c>
      <c r="KF178" s="563">
        <v>0</v>
      </c>
      <c r="KG178" s="563">
        <v>0</v>
      </c>
      <c r="KH178" s="563">
        <v>0</v>
      </c>
      <c r="KI178" s="650">
        <v>45157.964298364415</v>
      </c>
      <c r="KJ178" s="563">
        <v>0</v>
      </c>
      <c r="KK178" s="563">
        <v>0</v>
      </c>
      <c r="KL178" s="563">
        <v>0</v>
      </c>
      <c r="KM178" s="650">
        <v>47891.88607278221</v>
      </c>
      <c r="KN178" s="564">
        <v>4000</v>
      </c>
      <c r="KO178" s="566">
        <v>111.421819447318</v>
      </c>
    </row>
    <row r="179" spans="1:301" s="634" customFormat="1" ht="15" customHeight="1">
      <c r="A179" s="663" t="s">
        <v>928</v>
      </c>
      <c r="B179" s="629" t="s">
        <v>382</v>
      </c>
      <c r="C179" s="629">
        <v>230</v>
      </c>
      <c r="D179" s="629">
        <v>632</v>
      </c>
      <c r="E179" s="629">
        <v>160</v>
      </c>
      <c r="F179" s="629">
        <v>230</v>
      </c>
      <c r="G179" s="629">
        <v>33.817576990160966</v>
      </c>
      <c r="H179" s="629">
        <v>20</v>
      </c>
      <c r="I179" s="629">
        <v>20</v>
      </c>
      <c r="J179" s="629">
        <v>47.19</v>
      </c>
      <c r="K179" s="629">
        <v>75.069999999999993</v>
      </c>
      <c r="L179" s="629">
        <v>16</v>
      </c>
      <c r="M179" s="629">
        <v>220</v>
      </c>
      <c r="N179" s="629">
        <v>2</v>
      </c>
      <c r="O179" s="623">
        <v>4.6095307236320373</v>
      </c>
      <c r="P179" s="629">
        <v>2</v>
      </c>
      <c r="Q179" s="623">
        <v>2.7139653584228842</v>
      </c>
      <c r="R179" s="629">
        <v>13.000000000000002</v>
      </c>
      <c r="S179" s="629">
        <v>423.46980299885394</v>
      </c>
      <c r="T179" s="645">
        <v>14.37301186777206</v>
      </c>
      <c r="U179" s="645">
        <v>63.520470449828089</v>
      </c>
      <c r="V179" s="645">
        <v>60</v>
      </c>
      <c r="W179" s="793">
        <v>1.1194365012399392</v>
      </c>
      <c r="X179" s="646">
        <v>0</v>
      </c>
      <c r="Y179" s="646">
        <v>0</v>
      </c>
      <c r="Z179" s="646">
        <v>0</v>
      </c>
      <c r="AA179" s="646">
        <v>0</v>
      </c>
      <c r="AB179" s="647">
        <v>0.88173912455850523</v>
      </c>
      <c r="AC179" s="784">
        <v>4000</v>
      </c>
      <c r="AD179" s="631">
        <v>2.915995962497318</v>
      </c>
      <c r="AE179" s="631">
        <v>1.0795237663458117</v>
      </c>
      <c r="AF179" s="631">
        <v>-5.5126180286555242E-2</v>
      </c>
      <c r="AG179" s="631">
        <v>0.60601828169989735</v>
      </c>
      <c r="AH179" s="629"/>
      <c r="AI179" s="648">
        <v>1.3125323783799996</v>
      </c>
      <c r="AJ179" s="649">
        <v>1.6579200000000001</v>
      </c>
      <c r="AK179" s="646">
        <v>24.47386445106692</v>
      </c>
      <c r="AL179" s="646">
        <v>0</v>
      </c>
      <c r="AM179" s="646">
        <v>0</v>
      </c>
      <c r="AN179" s="646">
        <v>9.744740250793674</v>
      </c>
      <c r="AO179" s="646">
        <v>0.85715648590719784</v>
      </c>
      <c r="AP179" s="801">
        <v>3600</v>
      </c>
      <c r="AQ179" s="563" t="s">
        <v>71</v>
      </c>
      <c r="AR179" s="563">
        <v>3</v>
      </c>
      <c r="AS179" s="563">
        <v>0</v>
      </c>
      <c r="AT179" s="563">
        <v>0</v>
      </c>
      <c r="AU179" s="563">
        <v>0</v>
      </c>
      <c r="AV179" s="650">
        <v>36562.973116428286</v>
      </c>
      <c r="AW179" s="563">
        <v>0</v>
      </c>
      <c r="AX179" s="563">
        <v>0</v>
      </c>
      <c r="AY179" s="563">
        <v>0</v>
      </c>
      <c r="AZ179" s="650">
        <v>72131.854826416195</v>
      </c>
      <c r="BA179" s="564">
        <v>4000</v>
      </c>
      <c r="BB179" s="565">
        <v>132.36577047124996</v>
      </c>
      <c r="BC179" s="649">
        <v>1.6579200000000001</v>
      </c>
      <c r="BD179" s="646">
        <v>24.47386445106692</v>
      </c>
      <c r="BE179" s="646">
        <v>0</v>
      </c>
      <c r="BF179" s="646">
        <v>0</v>
      </c>
      <c r="BG179" s="646">
        <v>9.744740250793674</v>
      </c>
      <c r="BH179" s="646">
        <v>0.85715648590719784</v>
      </c>
      <c r="BI179" s="646">
        <v>3600</v>
      </c>
      <c r="BJ179" s="563" t="s">
        <v>71</v>
      </c>
      <c r="BK179" s="563">
        <v>3</v>
      </c>
      <c r="BL179" s="563">
        <v>0</v>
      </c>
      <c r="BM179" s="563">
        <v>0</v>
      </c>
      <c r="BN179" s="563">
        <v>0</v>
      </c>
      <c r="BO179" s="650">
        <v>36562.973116428286</v>
      </c>
      <c r="BP179" s="563">
        <v>0</v>
      </c>
      <c r="BQ179" s="563">
        <v>0</v>
      </c>
      <c r="BR179" s="563">
        <v>0</v>
      </c>
      <c r="BS179" s="650">
        <v>72131.854826416195</v>
      </c>
      <c r="BT179" s="564">
        <v>4000</v>
      </c>
      <c r="BU179" s="565">
        <v>132.36577047124996</v>
      </c>
      <c r="BV179" s="649">
        <v>1.10528</v>
      </c>
      <c r="BW179" s="646">
        <v>23.921224451066919</v>
      </c>
      <c r="BX179" s="646">
        <v>0</v>
      </c>
      <c r="BY179" s="646">
        <v>0</v>
      </c>
      <c r="BZ179" s="646">
        <v>9.7388431133753972</v>
      </c>
      <c r="CA179" s="646">
        <v>0.82590994398719775</v>
      </c>
      <c r="CB179" s="646">
        <v>3600</v>
      </c>
      <c r="CC179" s="563" t="s">
        <v>1584</v>
      </c>
      <c r="CD179" s="563">
        <v>2</v>
      </c>
      <c r="CE179" s="563">
        <v>0</v>
      </c>
      <c r="CF179" s="563">
        <v>0</v>
      </c>
      <c r="CG179" s="563">
        <v>0</v>
      </c>
      <c r="CH179" s="650">
        <v>25443.545345198785</v>
      </c>
      <c r="CI179" s="563">
        <v>0</v>
      </c>
      <c r="CJ179" s="563">
        <v>0</v>
      </c>
      <c r="CK179" s="563">
        <v>0</v>
      </c>
      <c r="CL179" s="650">
        <v>24967.931826002532</v>
      </c>
      <c r="CM179" s="564">
        <v>4000</v>
      </c>
      <c r="CN179" s="565">
        <v>132.36577047124996</v>
      </c>
      <c r="CO179" s="649">
        <v>1.10528</v>
      </c>
      <c r="CP179" s="646">
        <v>23.921224451066919</v>
      </c>
      <c r="CQ179" s="646">
        <v>0</v>
      </c>
      <c r="CR179" s="646">
        <v>0</v>
      </c>
      <c r="CS179" s="646">
        <v>9.7388431133753972</v>
      </c>
      <c r="CT179" s="646">
        <v>0.82590994398719775</v>
      </c>
      <c r="CU179" s="646">
        <v>3600</v>
      </c>
      <c r="CV179" s="563" t="s">
        <v>1584</v>
      </c>
      <c r="CW179" s="563">
        <v>2</v>
      </c>
      <c r="CX179" s="563">
        <v>0</v>
      </c>
      <c r="CY179" s="563">
        <v>0</v>
      </c>
      <c r="CZ179" s="563">
        <v>0</v>
      </c>
      <c r="DA179" s="650">
        <v>25443.545345198785</v>
      </c>
      <c r="DB179" s="563">
        <v>0</v>
      </c>
      <c r="DC179" s="563">
        <v>0</v>
      </c>
      <c r="DD179" s="563">
        <v>0</v>
      </c>
      <c r="DE179" s="650">
        <v>24967.931826002532</v>
      </c>
      <c r="DF179" s="564">
        <v>4000</v>
      </c>
      <c r="DG179" s="565">
        <v>132.36577047124996</v>
      </c>
      <c r="DH179" s="649">
        <v>1.10528</v>
      </c>
      <c r="DI179" s="646">
        <v>23.921224451066919</v>
      </c>
      <c r="DJ179" s="646">
        <v>0</v>
      </c>
      <c r="DK179" s="646">
        <v>0</v>
      </c>
      <c r="DL179" s="646">
        <v>9.7388431133753972</v>
      </c>
      <c r="DM179" s="646">
        <v>0.82590994398719775</v>
      </c>
      <c r="DN179" s="646">
        <v>3600</v>
      </c>
      <c r="DO179" s="563" t="s">
        <v>1585</v>
      </c>
      <c r="DP179" s="563">
        <v>2</v>
      </c>
      <c r="DQ179" s="563">
        <v>0</v>
      </c>
      <c r="DR179" s="563">
        <v>0</v>
      </c>
      <c r="DS179" s="563">
        <v>0</v>
      </c>
      <c r="DT179" s="650">
        <v>27200.294110451647</v>
      </c>
      <c r="DU179" s="563">
        <v>0</v>
      </c>
      <c r="DV179" s="563">
        <v>0</v>
      </c>
      <c r="DW179" s="563">
        <v>0</v>
      </c>
      <c r="DX179" s="650">
        <v>26691.841871231296</v>
      </c>
      <c r="DY179" s="564">
        <v>4000</v>
      </c>
      <c r="DZ179" s="565">
        <v>132.36577047124996</v>
      </c>
      <c r="EA179" s="649">
        <v>1.10528</v>
      </c>
      <c r="EB179" s="646">
        <v>23.921224451066919</v>
      </c>
      <c r="EC179" s="646">
        <v>0</v>
      </c>
      <c r="ED179" s="646">
        <v>0</v>
      </c>
      <c r="EE179" s="646">
        <v>9.7388431133753972</v>
      </c>
      <c r="EF179" s="646">
        <v>0.82590994398719775</v>
      </c>
      <c r="EG179" s="646">
        <v>3600</v>
      </c>
      <c r="EH179" s="563" t="s">
        <v>1585</v>
      </c>
      <c r="EI179" s="563">
        <v>2</v>
      </c>
      <c r="EJ179" s="563">
        <v>0</v>
      </c>
      <c r="EK179" s="563">
        <v>0</v>
      </c>
      <c r="EL179" s="563">
        <v>0</v>
      </c>
      <c r="EM179" s="650">
        <v>27200.294110451647</v>
      </c>
      <c r="EN179" s="563">
        <v>0</v>
      </c>
      <c r="EO179" s="563">
        <v>0</v>
      </c>
      <c r="EP179" s="563">
        <v>0</v>
      </c>
      <c r="EQ179" s="650">
        <v>26691.841871231296</v>
      </c>
      <c r="ER179" s="564">
        <v>4000</v>
      </c>
      <c r="ES179" s="565">
        <v>132.36577047124996</v>
      </c>
      <c r="ET179" s="649">
        <v>1.10528</v>
      </c>
      <c r="EU179" s="646">
        <v>23.921224451066919</v>
      </c>
      <c r="EV179" s="646">
        <v>0</v>
      </c>
      <c r="EW179" s="646">
        <v>0</v>
      </c>
      <c r="EX179" s="646">
        <v>9.7388431133753972</v>
      </c>
      <c r="EY179" s="646">
        <v>0.82590994398719775</v>
      </c>
      <c r="EZ179" s="646">
        <v>3600</v>
      </c>
      <c r="FA179" s="563" t="s">
        <v>1586</v>
      </c>
      <c r="FB179" s="563">
        <v>2</v>
      </c>
      <c r="FC179" s="563">
        <v>0</v>
      </c>
      <c r="FD179" s="563">
        <v>0</v>
      </c>
      <c r="FE179" s="563">
        <v>0</v>
      </c>
      <c r="FF179" s="650">
        <v>27761.183926765385</v>
      </c>
      <c r="FG179" s="563">
        <v>0</v>
      </c>
      <c r="FH179" s="563">
        <v>0</v>
      </c>
      <c r="FI179" s="563">
        <v>0</v>
      </c>
      <c r="FJ179" s="650">
        <v>27242.247033131822</v>
      </c>
      <c r="FK179" s="564">
        <v>4000</v>
      </c>
      <c r="FL179" s="565">
        <v>132.36577047124996</v>
      </c>
      <c r="FM179" s="649">
        <v>1.10528</v>
      </c>
      <c r="FN179" s="646">
        <v>23.921224451066919</v>
      </c>
      <c r="FO179" s="646">
        <v>0</v>
      </c>
      <c r="FP179" s="646">
        <v>0</v>
      </c>
      <c r="FQ179" s="646">
        <v>9.7388431133753972</v>
      </c>
      <c r="FR179" s="646">
        <v>0.82590994398719775</v>
      </c>
      <c r="FS179" s="646">
        <v>3600</v>
      </c>
      <c r="FT179" s="563" t="s">
        <v>1586</v>
      </c>
      <c r="FU179" s="563">
        <v>2</v>
      </c>
      <c r="FV179" s="563">
        <v>0</v>
      </c>
      <c r="FW179" s="563">
        <v>0</v>
      </c>
      <c r="FX179" s="563">
        <v>0</v>
      </c>
      <c r="FY179" s="650">
        <v>27761.183926765385</v>
      </c>
      <c r="FZ179" s="563">
        <v>0</v>
      </c>
      <c r="GA179" s="563">
        <v>0</v>
      </c>
      <c r="GB179" s="563">
        <v>0</v>
      </c>
      <c r="GC179" s="650">
        <v>27242.247033131822</v>
      </c>
      <c r="GD179" s="564">
        <v>4000</v>
      </c>
      <c r="GE179" s="565">
        <v>132.36577047124996</v>
      </c>
      <c r="GF179" s="649">
        <v>1.10528</v>
      </c>
      <c r="GG179" s="646">
        <v>23.921224451066919</v>
      </c>
      <c r="GH179" s="646">
        <v>0</v>
      </c>
      <c r="GI179" s="646">
        <v>0</v>
      </c>
      <c r="GJ179" s="646">
        <v>9.7388431133753972</v>
      </c>
      <c r="GK179" s="646">
        <v>0.82590994398719775</v>
      </c>
      <c r="GL179" s="646">
        <v>3600</v>
      </c>
      <c r="GM179" s="563" t="s">
        <v>1587</v>
      </c>
      <c r="GN179" s="563">
        <v>2</v>
      </c>
      <c r="GO179" s="563">
        <v>0</v>
      </c>
      <c r="GP179" s="563">
        <v>0</v>
      </c>
      <c r="GQ179" s="563">
        <v>0</v>
      </c>
      <c r="GR179" s="650">
        <v>37245.536637662954</v>
      </c>
      <c r="GS179" s="563">
        <v>0</v>
      </c>
      <c r="GT179" s="563">
        <v>0</v>
      </c>
      <c r="GU179" s="563">
        <v>0</v>
      </c>
      <c r="GV179" s="650">
        <v>36549.30973555056</v>
      </c>
      <c r="GW179" s="564">
        <v>4000</v>
      </c>
      <c r="GX179" s="565">
        <v>132.36577047124996</v>
      </c>
      <c r="GY179" s="649">
        <v>1.10528</v>
      </c>
      <c r="GZ179" s="646">
        <v>23.921224451066919</v>
      </c>
      <c r="HA179" s="646">
        <v>0</v>
      </c>
      <c r="HB179" s="646">
        <v>0</v>
      </c>
      <c r="HC179" s="646">
        <v>9.7388431133753972</v>
      </c>
      <c r="HD179" s="646">
        <v>0.82590994398719775</v>
      </c>
      <c r="HE179" s="646">
        <v>3600</v>
      </c>
      <c r="HF179" s="563" t="s">
        <v>1587</v>
      </c>
      <c r="HG179" s="563">
        <v>2</v>
      </c>
      <c r="HH179" s="563">
        <v>0</v>
      </c>
      <c r="HI179" s="563">
        <v>0</v>
      </c>
      <c r="HJ179" s="563">
        <v>0</v>
      </c>
      <c r="HK179" s="650">
        <v>37245.536637662954</v>
      </c>
      <c r="HL179" s="563">
        <v>0</v>
      </c>
      <c r="HM179" s="563">
        <v>0</v>
      </c>
      <c r="HN179" s="563">
        <v>0</v>
      </c>
      <c r="HO179" s="650">
        <v>36549.30973555056</v>
      </c>
      <c r="HP179" s="564">
        <v>4000</v>
      </c>
      <c r="HQ179" s="565">
        <v>132.36577047124996</v>
      </c>
      <c r="HR179" s="649">
        <v>1.10528</v>
      </c>
      <c r="HS179" s="646">
        <v>23.921224451066919</v>
      </c>
      <c r="HT179" s="646">
        <v>0</v>
      </c>
      <c r="HU179" s="646">
        <v>0</v>
      </c>
      <c r="HV179" s="646">
        <v>9.7388431133753972</v>
      </c>
      <c r="HW179" s="646">
        <v>0.82590994398719775</v>
      </c>
      <c r="HX179" s="646">
        <v>3600</v>
      </c>
      <c r="HY179" s="563" t="s">
        <v>68</v>
      </c>
      <c r="HZ179" s="563">
        <v>2</v>
      </c>
      <c r="IA179" s="563">
        <v>0</v>
      </c>
      <c r="IB179" s="563">
        <v>0</v>
      </c>
      <c r="IC179" s="563">
        <v>0</v>
      </c>
      <c r="ID179" s="650">
        <v>32847.475796809369</v>
      </c>
      <c r="IE179" s="563">
        <v>0</v>
      </c>
      <c r="IF179" s="563">
        <v>0</v>
      </c>
      <c r="IG179" s="563">
        <v>0</v>
      </c>
      <c r="IH179" s="650">
        <v>32233.461383783328</v>
      </c>
      <c r="II179" s="564">
        <v>4000</v>
      </c>
      <c r="IJ179" s="565">
        <v>132.36577047124996</v>
      </c>
      <c r="IK179" s="649">
        <v>1.10528</v>
      </c>
      <c r="IL179" s="646">
        <v>23.921224451066919</v>
      </c>
      <c r="IM179" s="646">
        <v>0</v>
      </c>
      <c r="IN179" s="646">
        <v>0</v>
      </c>
      <c r="IO179" s="646">
        <v>9.7388431133753972</v>
      </c>
      <c r="IP179" s="646">
        <v>0.82590994398719775</v>
      </c>
      <c r="IQ179" s="646">
        <v>3600</v>
      </c>
      <c r="IR179" s="563" t="s">
        <v>68</v>
      </c>
      <c r="IS179" s="563">
        <v>2</v>
      </c>
      <c r="IT179" s="563">
        <v>0</v>
      </c>
      <c r="IU179" s="563">
        <v>0</v>
      </c>
      <c r="IV179" s="563">
        <v>0</v>
      </c>
      <c r="IW179" s="650">
        <v>32847.475796809369</v>
      </c>
      <c r="IX179" s="563">
        <v>0</v>
      </c>
      <c r="IY179" s="563">
        <v>0</v>
      </c>
      <c r="IZ179" s="563">
        <v>0</v>
      </c>
      <c r="JA179" s="650">
        <v>32233.461383783328</v>
      </c>
      <c r="JB179" s="564">
        <v>4000</v>
      </c>
      <c r="JC179" s="565">
        <v>132.36577047124996</v>
      </c>
      <c r="JD179" s="649">
        <v>1.10528</v>
      </c>
      <c r="JE179" s="646">
        <v>23.921224451066919</v>
      </c>
      <c r="JF179" s="646">
        <v>0</v>
      </c>
      <c r="JG179" s="646">
        <v>0</v>
      </c>
      <c r="JH179" s="646">
        <v>9.7388431133753972</v>
      </c>
      <c r="JI179" s="646">
        <v>0.82590994398719775</v>
      </c>
      <c r="JJ179" s="646">
        <v>3600</v>
      </c>
      <c r="JK179" s="563" t="s">
        <v>67</v>
      </c>
      <c r="JL179" s="563">
        <v>2</v>
      </c>
      <c r="JM179" s="563">
        <v>0</v>
      </c>
      <c r="JN179" s="563">
        <v>0</v>
      </c>
      <c r="JO179" s="563">
        <v>0</v>
      </c>
      <c r="JP179" s="650">
        <v>44763.564043097751</v>
      </c>
      <c r="JQ179" s="563">
        <v>0</v>
      </c>
      <c r="JR179" s="563">
        <v>0</v>
      </c>
      <c r="JS179" s="563">
        <v>0</v>
      </c>
      <c r="JT179" s="650">
        <v>43926.803444774581</v>
      </c>
      <c r="JU179" s="564">
        <v>4000</v>
      </c>
      <c r="JV179" s="565">
        <v>132.36577047124996</v>
      </c>
      <c r="JW179" s="649">
        <v>1.10528</v>
      </c>
      <c r="JX179" s="646">
        <v>23.921224451066919</v>
      </c>
      <c r="JY179" s="646">
        <v>0</v>
      </c>
      <c r="JZ179" s="646">
        <v>0</v>
      </c>
      <c r="KA179" s="646">
        <v>9.7388431133753972</v>
      </c>
      <c r="KB179" s="646">
        <v>0.82590994398719775</v>
      </c>
      <c r="KC179" s="646">
        <v>3600</v>
      </c>
      <c r="KD179" s="563" t="s">
        <v>67</v>
      </c>
      <c r="KE179" s="563">
        <v>2</v>
      </c>
      <c r="KF179" s="563">
        <v>0</v>
      </c>
      <c r="KG179" s="563">
        <v>0</v>
      </c>
      <c r="KH179" s="563">
        <v>0</v>
      </c>
      <c r="KI179" s="650">
        <v>44763.564043097751</v>
      </c>
      <c r="KJ179" s="563">
        <v>0</v>
      </c>
      <c r="KK179" s="563">
        <v>0</v>
      </c>
      <c r="KL179" s="563">
        <v>0</v>
      </c>
      <c r="KM179" s="650">
        <v>43926.803444774581</v>
      </c>
      <c r="KN179" s="564">
        <v>4000</v>
      </c>
      <c r="KO179" s="566">
        <v>132.36577047124996</v>
      </c>
    </row>
    <row r="180" spans="1:301" ht="15" customHeight="1">
      <c r="A180" s="663" t="s">
        <v>929</v>
      </c>
      <c r="B180" s="629" t="s">
        <v>382</v>
      </c>
      <c r="C180" s="629">
        <v>230</v>
      </c>
      <c r="D180" s="629">
        <v>632</v>
      </c>
      <c r="E180" s="629">
        <v>160</v>
      </c>
      <c r="F180" s="629">
        <v>230</v>
      </c>
      <c r="G180" s="629">
        <v>33.817576990160966</v>
      </c>
      <c r="H180" s="629">
        <v>20</v>
      </c>
      <c r="I180" s="629">
        <v>20</v>
      </c>
      <c r="J180" s="629">
        <v>47.19</v>
      </c>
      <c r="K180" s="629">
        <v>75.069999999999993</v>
      </c>
      <c r="L180" s="629">
        <v>16</v>
      </c>
      <c r="M180" s="629">
        <v>220</v>
      </c>
      <c r="N180" s="629">
        <v>2</v>
      </c>
      <c r="O180" s="623">
        <v>4.6095307236320373</v>
      </c>
      <c r="P180" s="629">
        <v>2</v>
      </c>
      <c r="Q180" s="623">
        <v>3.7016791690838842</v>
      </c>
      <c r="R180" s="629">
        <v>10</v>
      </c>
      <c r="S180" s="629">
        <v>315</v>
      </c>
      <c r="T180" s="645">
        <v>6.1175939219042776</v>
      </c>
      <c r="U180" s="645">
        <v>47.25</v>
      </c>
      <c r="V180" s="645">
        <v>60</v>
      </c>
      <c r="W180" s="793">
        <v>0.61940638459280806</v>
      </c>
      <c r="X180" s="646">
        <v>0</v>
      </c>
      <c r="Y180" s="646">
        <v>0</v>
      </c>
      <c r="Z180" s="646">
        <v>0</v>
      </c>
      <c r="AA180" s="646">
        <v>0</v>
      </c>
      <c r="AB180" s="647">
        <v>0.59761375087196178</v>
      </c>
      <c r="AC180" s="784">
        <v>4000</v>
      </c>
      <c r="AD180" s="631"/>
      <c r="AE180" s="631"/>
      <c r="AF180" s="631"/>
      <c r="AG180" s="631"/>
      <c r="AH180" s="629"/>
      <c r="AI180" s="648">
        <v>1.3125323783799996</v>
      </c>
      <c r="AJ180" s="649">
        <v>1.6579200000000001</v>
      </c>
      <c r="AK180" s="646">
        <v>16.706130199213007</v>
      </c>
      <c r="AL180" s="646">
        <v>0</v>
      </c>
      <c r="AM180" s="646">
        <v>0</v>
      </c>
      <c r="AN180" s="646">
        <v>9.6755893113202784</v>
      </c>
      <c r="AO180" s="646">
        <v>0.64524188315580555</v>
      </c>
      <c r="AP180" s="801">
        <v>3600</v>
      </c>
      <c r="AQ180" s="563" t="s">
        <v>71</v>
      </c>
      <c r="AR180" s="563">
        <v>3</v>
      </c>
      <c r="AS180" s="563">
        <v>0</v>
      </c>
      <c r="AT180" s="563">
        <v>0</v>
      </c>
      <c r="AU180" s="563">
        <v>0</v>
      </c>
      <c r="AV180" s="650">
        <v>26077.275691331921</v>
      </c>
      <c r="AW180" s="563">
        <v>0</v>
      </c>
      <c r="AX180" s="563">
        <v>0</v>
      </c>
      <c r="AY180" s="563">
        <v>0</v>
      </c>
      <c r="AZ180" s="650">
        <v>25589.815917376105</v>
      </c>
      <c r="BA180" s="564">
        <v>4000</v>
      </c>
      <c r="BB180" s="565">
        <v>132.36577047124996</v>
      </c>
      <c r="BC180" s="649">
        <v>1.6579200000000001</v>
      </c>
      <c r="BD180" s="646">
        <v>16.706130199213007</v>
      </c>
      <c r="BE180" s="646">
        <v>0</v>
      </c>
      <c r="BF180" s="646">
        <v>0</v>
      </c>
      <c r="BG180" s="646">
        <v>9.6755893113202784</v>
      </c>
      <c r="BH180" s="646">
        <v>0.64524188315580555</v>
      </c>
      <c r="BI180" s="646">
        <v>3600</v>
      </c>
      <c r="BJ180" s="563" t="s">
        <v>71</v>
      </c>
      <c r="BK180" s="563">
        <v>3</v>
      </c>
      <c r="BL180" s="563">
        <v>0</v>
      </c>
      <c r="BM180" s="563">
        <v>0</v>
      </c>
      <c r="BN180" s="563">
        <v>0</v>
      </c>
      <c r="BO180" s="650">
        <v>26077.275691331921</v>
      </c>
      <c r="BP180" s="563">
        <v>0</v>
      </c>
      <c r="BQ180" s="563">
        <v>0</v>
      </c>
      <c r="BR180" s="563">
        <v>0</v>
      </c>
      <c r="BS180" s="650">
        <v>25589.815917376105</v>
      </c>
      <c r="BT180" s="564">
        <v>4000</v>
      </c>
      <c r="BU180" s="565">
        <v>132.36577047124996</v>
      </c>
      <c r="BV180" s="649">
        <v>1.10528</v>
      </c>
      <c r="BW180" s="646">
        <v>16.153490199213007</v>
      </c>
      <c r="BX180" s="646">
        <v>0</v>
      </c>
      <c r="BY180" s="646">
        <v>0</v>
      </c>
      <c r="BZ180" s="646">
        <v>9.6644906372392594</v>
      </c>
      <c r="CA180" s="646">
        <v>0.61399534123580557</v>
      </c>
      <c r="CB180" s="646">
        <v>3600</v>
      </c>
      <c r="CC180" s="563" t="s">
        <v>1584</v>
      </c>
      <c r="CD180" s="563">
        <v>2</v>
      </c>
      <c r="CE180" s="563">
        <v>0</v>
      </c>
      <c r="CF180" s="563">
        <v>0</v>
      </c>
      <c r="CG180" s="563">
        <v>0</v>
      </c>
      <c r="CH180" s="650">
        <v>25443.545345198785</v>
      </c>
      <c r="CI180" s="563">
        <v>0</v>
      </c>
      <c r="CJ180" s="563">
        <v>0</v>
      </c>
      <c r="CK180" s="563">
        <v>0</v>
      </c>
      <c r="CL180" s="650">
        <v>24967.931826002532</v>
      </c>
      <c r="CM180" s="564">
        <v>4000</v>
      </c>
      <c r="CN180" s="565">
        <v>132.36577047124996</v>
      </c>
      <c r="CO180" s="649">
        <v>1.10528</v>
      </c>
      <c r="CP180" s="646">
        <v>16.153490199213007</v>
      </c>
      <c r="CQ180" s="646">
        <v>0</v>
      </c>
      <c r="CR180" s="646">
        <v>0</v>
      </c>
      <c r="CS180" s="646">
        <v>9.6644906372392594</v>
      </c>
      <c r="CT180" s="646">
        <v>0.61399534123580557</v>
      </c>
      <c r="CU180" s="646">
        <v>3600</v>
      </c>
      <c r="CV180" s="563" t="s">
        <v>1584</v>
      </c>
      <c r="CW180" s="563">
        <v>2</v>
      </c>
      <c r="CX180" s="563">
        <v>0</v>
      </c>
      <c r="CY180" s="563">
        <v>0</v>
      </c>
      <c r="CZ180" s="563">
        <v>0</v>
      </c>
      <c r="DA180" s="650">
        <v>25443.545345198785</v>
      </c>
      <c r="DB180" s="563">
        <v>0</v>
      </c>
      <c r="DC180" s="563">
        <v>0</v>
      </c>
      <c r="DD180" s="563">
        <v>0</v>
      </c>
      <c r="DE180" s="650">
        <v>24967.931826002532</v>
      </c>
      <c r="DF180" s="564">
        <v>4000</v>
      </c>
      <c r="DG180" s="565">
        <v>132.36577047124996</v>
      </c>
      <c r="DH180" s="649">
        <v>1.10528</v>
      </c>
      <c r="DI180" s="646">
        <v>16.153490199213007</v>
      </c>
      <c r="DJ180" s="646">
        <v>0</v>
      </c>
      <c r="DK180" s="646">
        <v>0</v>
      </c>
      <c r="DL180" s="646">
        <v>9.6644906372392594</v>
      </c>
      <c r="DM180" s="646">
        <v>0.61399534123580557</v>
      </c>
      <c r="DN180" s="646">
        <v>3600</v>
      </c>
      <c r="DO180" s="563" t="s">
        <v>1585</v>
      </c>
      <c r="DP180" s="563">
        <v>2</v>
      </c>
      <c r="DQ180" s="563">
        <v>0</v>
      </c>
      <c r="DR180" s="563">
        <v>0</v>
      </c>
      <c r="DS180" s="563">
        <v>0</v>
      </c>
      <c r="DT180" s="650">
        <v>27200.294110451647</v>
      </c>
      <c r="DU180" s="563">
        <v>0</v>
      </c>
      <c r="DV180" s="563">
        <v>0</v>
      </c>
      <c r="DW180" s="563">
        <v>0</v>
      </c>
      <c r="DX180" s="650">
        <v>26691.841871231296</v>
      </c>
      <c r="DY180" s="564">
        <v>4000</v>
      </c>
      <c r="DZ180" s="565">
        <v>132.36577047124996</v>
      </c>
      <c r="EA180" s="649">
        <v>1.10528</v>
      </c>
      <c r="EB180" s="646">
        <v>16.153490199213007</v>
      </c>
      <c r="EC180" s="646">
        <v>0</v>
      </c>
      <c r="ED180" s="646">
        <v>0</v>
      </c>
      <c r="EE180" s="646">
        <v>9.6644906372392594</v>
      </c>
      <c r="EF180" s="646">
        <v>0.61399534123580557</v>
      </c>
      <c r="EG180" s="646">
        <v>3600</v>
      </c>
      <c r="EH180" s="563" t="s">
        <v>1585</v>
      </c>
      <c r="EI180" s="563">
        <v>2</v>
      </c>
      <c r="EJ180" s="563">
        <v>0</v>
      </c>
      <c r="EK180" s="563">
        <v>0</v>
      </c>
      <c r="EL180" s="563">
        <v>0</v>
      </c>
      <c r="EM180" s="650">
        <v>27200.294110451647</v>
      </c>
      <c r="EN180" s="563">
        <v>0</v>
      </c>
      <c r="EO180" s="563">
        <v>0</v>
      </c>
      <c r="EP180" s="563">
        <v>0</v>
      </c>
      <c r="EQ180" s="650">
        <v>26691.841871231296</v>
      </c>
      <c r="ER180" s="564">
        <v>4000</v>
      </c>
      <c r="ES180" s="565">
        <v>132.36577047124996</v>
      </c>
      <c r="ET180" s="649">
        <v>1.10528</v>
      </c>
      <c r="EU180" s="646">
        <v>16.153490199213007</v>
      </c>
      <c r="EV180" s="646">
        <v>0</v>
      </c>
      <c r="EW180" s="646">
        <v>0</v>
      </c>
      <c r="EX180" s="646">
        <v>9.6644906372392594</v>
      </c>
      <c r="EY180" s="646">
        <v>0.61399534123580557</v>
      </c>
      <c r="EZ180" s="646">
        <v>3600</v>
      </c>
      <c r="FA180" s="563" t="s">
        <v>1586</v>
      </c>
      <c r="FB180" s="563">
        <v>2</v>
      </c>
      <c r="FC180" s="563">
        <v>0</v>
      </c>
      <c r="FD180" s="563">
        <v>0</v>
      </c>
      <c r="FE180" s="563">
        <v>0</v>
      </c>
      <c r="FF180" s="650">
        <v>27761.183926765385</v>
      </c>
      <c r="FG180" s="563">
        <v>0</v>
      </c>
      <c r="FH180" s="563">
        <v>0</v>
      </c>
      <c r="FI180" s="563">
        <v>0</v>
      </c>
      <c r="FJ180" s="650">
        <v>27242.247033131822</v>
      </c>
      <c r="FK180" s="564">
        <v>4000</v>
      </c>
      <c r="FL180" s="565">
        <v>132.36577047124996</v>
      </c>
      <c r="FM180" s="649">
        <v>1.10528</v>
      </c>
      <c r="FN180" s="646">
        <v>16.153490199213007</v>
      </c>
      <c r="FO180" s="646">
        <v>0</v>
      </c>
      <c r="FP180" s="646">
        <v>0</v>
      </c>
      <c r="FQ180" s="646">
        <v>9.6644906372392594</v>
      </c>
      <c r="FR180" s="646">
        <v>0.61399534123580557</v>
      </c>
      <c r="FS180" s="646">
        <v>3600</v>
      </c>
      <c r="FT180" s="563" t="s">
        <v>1586</v>
      </c>
      <c r="FU180" s="563">
        <v>2</v>
      </c>
      <c r="FV180" s="563">
        <v>0</v>
      </c>
      <c r="FW180" s="563">
        <v>0</v>
      </c>
      <c r="FX180" s="563">
        <v>0</v>
      </c>
      <c r="FY180" s="650">
        <v>27761.183926765385</v>
      </c>
      <c r="FZ180" s="563">
        <v>0</v>
      </c>
      <c r="GA180" s="563">
        <v>0</v>
      </c>
      <c r="GB180" s="563">
        <v>0</v>
      </c>
      <c r="GC180" s="650">
        <v>27242.247033131822</v>
      </c>
      <c r="GD180" s="564">
        <v>4000</v>
      </c>
      <c r="GE180" s="565">
        <v>132.36577047124996</v>
      </c>
      <c r="GF180" s="649">
        <v>1.10528</v>
      </c>
      <c r="GG180" s="646">
        <v>16.153490199213007</v>
      </c>
      <c r="GH180" s="646">
        <v>0</v>
      </c>
      <c r="GI180" s="646">
        <v>0</v>
      </c>
      <c r="GJ180" s="646">
        <v>9.6644906372392594</v>
      </c>
      <c r="GK180" s="646">
        <v>0.61399534123580557</v>
      </c>
      <c r="GL180" s="646">
        <v>3600</v>
      </c>
      <c r="GM180" s="563" t="s">
        <v>1587</v>
      </c>
      <c r="GN180" s="563">
        <v>2</v>
      </c>
      <c r="GO180" s="563">
        <v>0</v>
      </c>
      <c r="GP180" s="563">
        <v>0</v>
      </c>
      <c r="GQ180" s="563">
        <v>0</v>
      </c>
      <c r="GR180" s="650">
        <v>37245.536637662954</v>
      </c>
      <c r="GS180" s="563">
        <v>0</v>
      </c>
      <c r="GT180" s="563">
        <v>0</v>
      </c>
      <c r="GU180" s="563">
        <v>0</v>
      </c>
      <c r="GV180" s="650">
        <v>36549.30973555056</v>
      </c>
      <c r="GW180" s="564">
        <v>4000</v>
      </c>
      <c r="GX180" s="565">
        <v>132.36577047124996</v>
      </c>
      <c r="GY180" s="649">
        <v>1.10528</v>
      </c>
      <c r="GZ180" s="646">
        <v>16.153490199213007</v>
      </c>
      <c r="HA180" s="646">
        <v>0</v>
      </c>
      <c r="HB180" s="646">
        <v>0</v>
      </c>
      <c r="HC180" s="646">
        <v>9.6644906372392594</v>
      </c>
      <c r="HD180" s="646">
        <v>0.61399534123580557</v>
      </c>
      <c r="HE180" s="646">
        <v>3600</v>
      </c>
      <c r="HF180" s="563" t="s">
        <v>1587</v>
      </c>
      <c r="HG180" s="563">
        <v>2</v>
      </c>
      <c r="HH180" s="563">
        <v>0</v>
      </c>
      <c r="HI180" s="563">
        <v>0</v>
      </c>
      <c r="HJ180" s="563">
        <v>0</v>
      </c>
      <c r="HK180" s="650">
        <v>37245.536637662954</v>
      </c>
      <c r="HL180" s="563">
        <v>0</v>
      </c>
      <c r="HM180" s="563">
        <v>0</v>
      </c>
      <c r="HN180" s="563">
        <v>0</v>
      </c>
      <c r="HO180" s="650">
        <v>36549.30973555056</v>
      </c>
      <c r="HP180" s="564">
        <v>4000</v>
      </c>
      <c r="HQ180" s="565">
        <v>132.36577047124996</v>
      </c>
      <c r="HR180" s="649">
        <v>1.10528</v>
      </c>
      <c r="HS180" s="646">
        <v>16.153490199213007</v>
      </c>
      <c r="HT180" s="646">
        <v>0</v>
      </c>
      <c r="HU180" s="646">
        <v>0</v>
      </c>
      <c r="HV180" s="646">
        <v>9.6644906372392594</v>
      </c>
      <c r="HW180" s="646">
        <v>0.61399534123580557</v>
      </c>
      <c r="HX180" s="646">
        <v>3600</v>
      </c>
      <c r="HY180" s="563" t="s">
        <v>68</v>
      </c>
      <c r="HZ180" s="563">
        <v>2</v>
      </c>
      <c r="IA180" s="563">
        <v>0</v>
      </c>
      <c r="IB180" s="563">
        <v>0</v>
      </c>
      <c r="IC180" s="563">
        <v>0</v>
      </c>
      <c r="ID180" s="650">
        <v>32847.475796809369</v>
      </c>
      <c r="IE180" s="563">
        <v>0</v>
      </c>
      <c r="IF180" s="563">
        <v>0</v>
      </c>
      <c r="IG180" s="563">
        <v>0</v>
      </c>
      <c r="IH180" s="650">
        <v>32233.461383783328</v>
      </c>
      <c r="II180" s="564">
        <v>4000</v>
      </c>
      <c r="IJ180" s="565">
        <v>132.36577047124996</v>
      </c>
      <c r="IK180" s="649">
        <v>1.10528</v>
      </c>
      <c r="IL180" s="646">
        <v>16.153490199213007</v>
      </c>
      <c r="IM180" s="646">
        <v>0</v>
      </c>
      <c r="IN180" s="646">
        <v>0</v>
      </c>
      <c r="IO180" s="646">
        <v>9.6644906372392594</v>
      </c>
      <c r="IP180" s="646">
        <v>0.61399534123580557</v>
      </c>
      <c r="IQ180" s="646">
        <v>3600</v>
      </c>
      <c r="IR180" s="563" t="s">
        <v>68</v>
      </c>
      <c r="IS180" s="563">
        <v>2</v>
      </c>
      <c r="IT180" s="563">
        <v>0</v>
      </c>
      <c r="IU180" s="563">
        <v>0</v>
      </c>
      <c r="IV180" s="563">
        <v>0</v>
      </c>
      <c r="IW180" s="650">
        <v>32847.475796809369</v>
      </c>
      <c r="IX180" s="563">
        <v>0</v>
      </c>
      <c r="IY180" s="563">
        <v>0</v>
      </c>
      <c r="IZ180" s="563">
        <v>0</v>
      </c>
      <c r="JA180" s="650">
        <v>32233.461383783328</v>
      </c>
      <c r="JB180" s="564">
        <v>4000</v>
      </c>
      <c r="JC180" s="565">
        <v>132.36577047124996</v>
      </c>
      <c r="JD180" s="649">
        <v>1.10528</v>
      </c>
      <c r="JE180" s="646">
        <v>16.153490199213007</v>
      </c>
      <c r="JF180" s="646">
        <v>0</v>
      </c>
      <c r="JG180" s="646">
        <v>0</v>
      </c>
      <c r="JH180" s="646">
        <v>9.6644906372392594</v>
      </c>
      <c r="JI180" s="646">
        <v>0.61399534123580557</v>
      </c>
      <c r="JJ180" s="646">
        <v>3600</v>
      </c>
      <c r="JK180" s="563" t="s">
        <v>67</v>
      </c>
      <c r="JL180" s="563">
        <v>2</v>
      </c>
      <c r="JM180" s="563">
        <v>0</v>
      </c>
      <c r="JN180" s="563">
        <v>0</v>
      </c>
      <c r="JO180" s="563">
        <v>0</v>
      </c>
      <c r="JP180" s="650">
        <v>44763.564043097751</v>
      </c>
      <c r="JQ180" s="563">
        <v>0</v>
      </c>
      <c r="JR180" s="563">
        <v>0</v>
      </c>
      <c r="JS180" s="563">
        <v>0</v>
      </c>
      <c r="JT180" s="650">
        <v>43926.803444774581</v>
      </c>
      <c r="JU180" s="564">
        <v>4000</v>
      </c>
      <c r="JV180" s="565">
        <v>132.36577047124996</v>
      </c>
      <c r="JW180" s="649">
        <v>1.10528</v>
      </c>
      <c r="JX180" s="646">
        <v>16.153490199213007</v>
      </c>
      <c r="JY180" s="646">
        <v>0</v>
      </c>
      <c r="JZ180" s="646">
        <v>0</v>
      </c>
      <c r="KA180" s="646">
        <v>9.6644906372392594</v>
      </c>
      <c r="KB180" s="646">
        <v>0.61399534123580557</v>
      </c>
      <c r="KC180" s="646">
        <v>3600</v>
      </c>
      <c r="KD180" s="563" t="s">
        <v>67</v>
      </c>
      <c r="KE180" s="563">
        <v>2</v>
      </c>
      <c r="KF180" s="563">
        <v>0</v>
      </c>
      <c r="KG180" s="563">
        <v>0</v>
      </c>
      <c r="KH180" s="563">
        <v>0</v>
      </c>
      <c r="KI180" s="650">
        <v>44763.564043097751</v>
      </c>
      <c r="KJ180" s="563">
        <v>0</v>
      </c>
      <c r="KK180" s="563">
        <v>0</v>
      </c>
      <c r="KL180" s="563">
        <v>0</v>
      </c>
      <c r="KM180" s="650">
        <v>43926.803444774581</v>
      </c>
      <c r="KN180" s="564">
        <v>4000</v>
      </c>
      <c r="KO180" s="566">
        <v>132.36577047124996</v>
      </c>
    </row>
    <row r="181" spans="1:301" ht="15" customHeight="1">
      <c r="A181" s="663" t="s">
        <v>930</v>
      </c>
      <c r="B181" s="629" t="s">
        <v>382</v>
      </c>
      <c r="C181" s="629">
        <v>230</v>
      </c>
      <c r="D181" s="629">
        <v>632</v>
      </c>
      <c r="E181" s="629">
        <v>160</v>
      </c>
      <c r="F181" s="629">
        <v>230</v>
      </c>
      <c r="G181" s="629">
        <v>39</v>
      </c>
      <c r="H181" s="629">
        <v>25</v>
      </c>
      <c r="I181" s="629">
        <v>25</v>
      </c>
      <c r="J181" s="629">
        <v>47.19</v>
      </c>
      <c r="K181" s="629">
        <v>75.069999999999993</v>
      </c>
      <c r="L181" s="629">
        <v>16</v>
      </c>
      <c r="M181" s="629">
        <v>220</v>
      </c>
      <c r="N181" s="629">
        <v>2</v>
      </c>
      <c r="O181" s="623">
        <v>4.6095307236320373</v>
      </c>
      <c r="P181" s="629">
        <v>2</v>
      </c>
      <c r="Q181" s="623">
        <v>3.7016791690838842</v>
      </c>
      <c r="R181" s="629">
        <v>10</v>
      </c>
      <c r="S181" s="629">
        <v>315</v>
      </c>
      <c r="T181" s="645">
        <v>6.1175939219042776</v>
      </c>
      <c r="U181" s="645">
        <v>47.25</v>
      </c>
      <c r="V181" s="645">
        <v>60</v>
      </c>
      <c r="W181" s="793">
        <v>0.61940638459280806</v>
      </c>
      <c r="X181" s="646">
        <v>0</v>
      </c>
      <c r="Y181" s="646">
        <v>0</v>
      </c>
      <c r="Z181" s="646">
        <v>0</v>
      </c>
      <c r="AA181" s="646">
        <v>0</v>
      </c>
      <c r="AB181" s="647">
        <v>0.71730332637574556</v>
      </c>
      <c r="AC181" s="784">
        <v>4000</v>
      </c>
      <c r="AD181" s="631"/>
      <c r="AE181" s="631"/>
      <c r="AF181" s="631"/>
      <c r="AG181" s="631"/>
      <c r="AH181" s="629"/>
      <c r="AI181" s="648">
        <v>1.3477323783799995</v>
      </c>
      <c r="AJ181" s="649">
        <v>2.0724</v>
      </c>
      <c r="AK181" s="646">
        <v>17.120610199213008</v>
      </c>
      <c r="AL181" s="646">
        <v>0</v>
      </c>
      <c r="AM181" s="646">
        <v>0</v>
      </c>
      <c r="AN181" s="646">
        <v>11.332254291737151</v>
      </c>
      <c r="AO181" s="646">
        <v>0.66867678959580557</v>
      </c>
      <c r="AP181" s="801">
        <v>3600</v>
      </c>
      <c r="AQ181" s="563" t="s">
        <v>71</v>
      </c>
      <c r="AR181" s="563">
        <v>3</v>
      </c>
      <c r="AS181" s="563">
        <v>0</v>
      </c>
      <c r="AT181" s="563">
        <v>0</v>
      </c>
      <c r="AU181" s="563">
        <v>0</v>
      </c>
      <c r="AV181" s="650">
        <v>27337.443477177028</v>
      </c>
      <c r="AW181" s="563">
        <v>0</v>
      </c>
      <c r="AX181" s="563">
        <v>0</v>
      </c>
      <c r="AY181" s="563">
        <v>0</v>
      </c>
      <c r="AZ181" s="650">
        <v>26826.427519235382</v>
      </c>
      <c r="BA181" s="564">
        <v>4000</v>
      </c>
      <c r="BB181" s="565">
        <v>132.36577047124996</v>
      </c>
      <c r="BC181" s="649">
        <v>2.0724</v>
      </c>
      <c r="BD181" s="646">
        <v>17.120610199213008</v>
      </c>
      <c r="BE181" s="646">
        <v>0</v>
      </c>
      <c r="BF181" s="646">
        <v>0</v>
      </c>
      <c r="BG181" s="646">
        <v>11.332254291737151</v>
      </c>
      <c r="BH181" s="646">
        <v>0.66867678959580557</v>
      </c>
      <c r="BI181" s="646">
        <v>3600</v>
      </c>
      <c r="BJ181" s="563" t="s">
        <v>71</v>
      </c>
      <c r="BK181" s="563">
        <v>3</v>
      </c>
      <c r="BL181" s="563">
        <v>0</v>
      </c>
      <c r="BM181" s="563">
        <v>0</v>
      </c>
      <c r="BN181" s="563">
        <v>0</v>
      </c>
      <c r="BO181" s="650">
        <v>27337.443477177028</v>
      </c>
      <c r="BP181" s="563">
        <v>0</v>
      </c>
      <c r="BQ181" s="563">
        <v>0</v>
      </c>
      <c r="BR181" s="563">
        <v>0</v>
      </c>
      <c r="BS181" s="650">
        <v>26826.427519235382</v>
      </c>
      <c r="BT181" s="564">
        <v>4000</v>
      </c>
      <c r="BU181" s="565">
        <v>132.36577047124996</v>
      </c>
      <c r="BV181" s="649">
        <v>1.3816000000000002</v>
      </c>
      <c r="BW181" s="646">
        <v>16.429810199213009</v>
      </c>
      <c r="BX181" s="646">
        <v>0</v>
      </c>
      <c r="BY181" s="646">
        <v>0</v>
      </c>
      <c r="BZ181" s="646">
        <v>11.283155810045219</v>
      </c>
      <c r="CA181" s="646">
        <v>0.62961861219580562</v>
      </c>
      <c r="CB181" s="646">
        <v>3600</v>
      </c>
      <c r="CC181" s="563" t="s">
        <v>1584</v>
      </c>
      <c r="CD181" s="563">
        <v>2</v>
      </c>
      <c r="CE181" s="563">
        <v>0</v>
      </c>
      <c r="CF181" s="563">
        <v>0</v>
      </c>
      <c r="CG181" s="563">
        <v>0</v>
      </c>
      <c r="CH181" s="650">
        <v>18288.389565308174</v>
      </c>
      <c r="CI181" s="563">
        <v>0</v>
      </c>
      <c r="CJ181" s="563">
        <v>0</v>
      </c>
      <c r="CK181" s="563">
        <v>0</v>
      </c>
      <c r="CL181" s="650">
        <v>17946.526621147786</v>
      </c>
      <c r="CM181" s="564">
        <v>4000</v>
      </c>
      <c r="CN181" s="565">
        <v>132.36577047124996</v>
      </c>
      <c r="CO181" s="649">
        <v>1.3816000000000002</v>
      </c>
      <c r="CP181" s="646">
        <v>16.429810199213009</v>
      </c>
      <c r="CQ181" s="646">
        <v>0</v>
      </c>
      <c r="CR181" s="646">
        <v>0</v>
      </c>
      <c r="CS181" s="646">
        <v>11.283155810045219</v>
      </c>
      <c r="CT181" s="646">
        <v>0.62961861219580562</v>
      </c>
      <c r="CU181" s="646">
        <v>3600</v>
      </c>
      <c r="CV181" s="563" t="s">
        <v>1584</v>
      </c>
      <c r="CW181" s="563">
        <v>2</v>
      </c>
      <c r="CX181" s="563">
        <v>0</v>
      </c>
      <c r="CY181" s="563">
        <v>0</v>
      </c>
      <c r="CZ181" s="563">
        <v>0</v>
      </c>
      <c r="DA181" s="650">
        <v>18288.389565308174</v>
      </c>
      <c r="DB181" s="563">
        <v>0</v>
      </c>
      <c r="DC181" s="563">
        <v>0</v>
      </c>
      <c r="DD181" s="563">
        <v>0</v>
      </c>
      <c r="DE181" s="650">
        <v>17946.526621147786</v>
      </c>
      <c r="DF181" s="564">
        <v>4000</v>
      </c>
      <c r="DG181" s="565">
        <v>132.36577047124996</v>
      </c>
      <c r="DH181" s="649">
        <v>1.3816000000000002</v>
      </c>
      <c r="DI181" s="646">
        <v>16.429810199213009</v>
      </c>
      <c r="DJ181" s="646">
        <v>0</v>
      </c>
      <c r="DK181" s="646">
        <v>0</v>
      </c>
      <c r="DL181" s="646">
        <v>11.283155810045219</v>
      </c>
      <c r="DM181" s="646">
        <v>0.62961861219580562</v>
      </c>
      <c r="DN181" s="646">
        <v>3600</v>
      </c>
      <c r="DO181" s="563" t="s">
        <v>1585</v>
      </c>
      <c r="DP181" s="563">
        <v>2</v>
      </c>
      <c r="DQ181" s="563">
        <v>0</v>
      </c>
      <c r="DR181" s="563">
        <v>0</v>
      </c>
      <c r="DS181" s="563">
        <v>0</v>
      </c>
      <c r="DT181" s="650">
        <v>19551.110831209855</v>
      </c>
      <c r="DU181" s="563">
        <v>0</v>
      </c>
      <c r="DV181" s="563">
        <v>0</v>
      </c>
      <c r="DW181" s="563">
        <v>0</v>
      </c>
      <c r="DX181" s="650">
        <v>19185.643971129339</v>
      </c>
      <c r="DY181" s="564">
        <v>4000</v>
      </c>
      <c r="DZ181" s="565">
        <v>132.36577047124996</v>
      </c>
      <c r="EA181" s="649">
        <v>1.3816000000000002</v>
      </c>
      <c r="EB181" s="646">
        <v>16.429810199213009</v>
      </c>
      <c r="EC181" s="646">
        <v>0</v>
      </c>
      <c r="ED181" s="646">
        <v>0</v>
      </c>
      <c r="EE181" s="646">
        <v>11.283155810045219</v>
      </c>
      <c r="EF181" s="646">
        <v>0.62961861219580562</v>
      </c>
      <c r="EG181" s="646">
        <v>3600</v>
      </c>
      <c r="EH181" s="563" t="s">
        <v>1585</v>
      </c>
      <c r="EI181" s="563">
        <v>2</v>
      </c>
      <c r="EJ181" s="563">
        <v>0</v>
      </c>
      <c r="EK181" s="563">
        <v>0</v>
      </c>
      <c r="EL181" s="563">
        <v>0</v>
      </c>
      <c r="EM181" s="650">
        <v>19551.110831209855</v>
      </c>
      <c r="EN181" s="563">
        <v>0</v>
      </c>
      <c r="EO181" s="563">
        <v>0</v>
      </c>
      <c r="EP181" s="563">
        <v>0</v>
      </c>
      <c r="EQ181" s="650">
        <v>19185.643971129339</v>
      </c>
      <c r="ER181" s="564">
        <v>4000</v>
      </c>
      <c r="ES181" s="565">
        <v>132.36577047124996</v>
      </c>
      <c r="ET181" s="649">
        <v>1.3816000000000002</v>
      </c>
      <c r="EU181" s="646">
        <v>16.429810199213009</v>
      </c>
      <c r="EV181" s="646">
        <v>0</v>
      </c>
      <c r="EW181" s="646">
        <v>0</v>
      </c>
      <c r="EX181" s="646">
        <v>11.283155810045219</v>
      </c>
      <c r="EY181" s="646">
        <v>0.62961861219580562</v>
      </c>
      <c r="EZ181" s="646">
        <v>3600</v>
      </c>
      <c r="FA181" s="563" t="s">
        <v>1586</v>
      </c>
      <c r="FB181" s="563">
        <v>2</v>
      </c>
      <c r="FC181" s="563">
        <v>0</v>
      </c>
      <c r="FD181" s="563">
        <v>0</v>
      </c>
      <c r="FE181" s="563">
        <v>0</v>
      </c>
      <c r="FF181" s="650">
        <v>19954.268933777166</v>
      </c>
      <c r="FG181" s="563">
        <v>0</v>
      </c>
      <c r="FH181" s="563">
        <v>0</v>
      </c>
      <c r="FI181" s="563">
        <v>0</v>
      </c>
      <c r="FJ181" s="650">
        <v>19581.265881654617</v>
      </c>
      <c r="FK181" s="564">
        <v>4000</v>
      </c>
      <c r="FL181" s="565">
        <v>132.36577047124996</v>
      </c>
      <c r="FM181" s="649">
        <v>1.3816000000000002</v>
      </c>
      <c r="FN181" s="646">
        <v>16.429810199213009</v>
      </c>
      <c r="FO181" s="646">
        <v>0</v>
      </c>
      <c r="FP181" s="646">
        <v>0</v>
      </c>
      <c r="FQ181" s="646">
        <v>11.283155810045219</v>
      </c>
      <c r="FR181" s="646">
        <v>0.62961861219580562</v>
      </c>
      <c r="FS181" s="646">
        <v>3600</v>
      </c>
      <c r="FT181" s="563" t="s">
        <v>1586</v>
      </c>
      <c r="FU181" s="563">
        <v>2</v>
      </c>
      <c r="FV181" s="563">
        <v>0</v>
      </c>
      <c r="FW181" s="563">
        <v>0</v>
      </c>
      <c r="FX181" s="563">
        <v>0</v>
      </c>
      <c r="FY181" s="650">
        <v>19954.268933777166</v>
      </c>
      <c r="FZ181" s="563">
        <v>0</v>
      </c>
      <c r="GA181" s="563">
        <v>0</v>
      </c>
      <c r="GB181" s="563">
        <v>0</v>
      </c>
      <c r="GC181" s="650">
        <v>19581.265881654617</v>
      </c>
      <c r="GD181" s="564">
        <v>4000</v>
      </c>
      <c r="GE181" s="565">
        <v>132.36577047124996</v>
      </c>
      <c r="GF181" s="649">
        <v>1.3816000000000002</v>
      </c>
      <c r="GG181" s="646">
        <v>16.429810199213009</v>
      </c>
      <c r="GH181" s="646">
        <v>0</v>
      </c>
      <c r="GI181" s="646">
        <v>0</v>
      </c>
      <c r="GJ181" s="646">
        <v>11.283155810045219</v>
      </c>
      <c r="GK181" s="646">
        <v>0.62961861219580562</v>
      </c>
      <c r="GL181" s="646">
        <v>3600</v>
      </c>
      <c r="GM181" s="563" t="s">
        <v>1587</v>
      </c>
      <c r="GN181" s="563">
        <v>2</v>
      </c>
      <c r="GO181" s="563">
        <v>0</v>
      </c>
      <c r="GP181" s="563">
        <v>0</v>
      </c>
      <c r="GQ181" s="563">
        <v>0</v>
      </c>
      <c r="GR181" s="650">
        <v>26771.461066343159</v>
      </c>
      <c r="GS181" s="563">
        <v>0</v>
      </c>
      <c r="GT181" s="563">
        <v>0</v>
      </c>
      <c r="GU181" s="563">
        <v>0</v>
      </c>
      <c r="GV181" s="650">
        <v>26271.024958126374</v>
      </c>
      <c r="GW181" s="564">
        <v>4000</v>
      </c>
      <c r="GX181" s="565">
        <v>132.36577047124996</v>
      </c>
      <c r="GY181" s="649">
        <v>1.3816000000000002</v>
      </c>
      <c r="GZ181" s="646">
        <v>16.429810199213009</v>
      </c>
      <c r="HA181" s="646">
        <v>0</v>
      </c>
      <c r="HB181" s="646">
        <v>0</v>
      </c>
      <c r="HC181" s="646">
        <v>11.283155810045219</v>
      </c>
      <c r="HD181" s="646">
        <v>0.62961861219580562</v>
      </c>
      <c r="HE181" s="646">
        <v>3600</v>
      </c>
      <c r="HF181" s="563" t="s">
        <v>1587</v>
      </c>
      <c r="HG181" s="563">
        <v>2</v>
      </c>
      <c r="HH181" s="563">
        <v>0</v>
      </c>
      <c r="HI181" s="563">
        <v>0</v>
      </c>
      <c r="HJ181" s="563">
        <v>0</v>
      </c>
      <c r="HK181" s="650">
        <v>26771.461066343159</v>
      </c>
      <c r="HL181" s="563">
        <v>0</v>
      </c>
      <c r="HM181" s="563">
        <v>0</v>
      </c>
      <c r="HN181" s="563">
        <v>0</v>
      </c>
      <c r="HO181" s="650">
        <v>26271.024958126374</v>
      </c>
      <c r="HP181" s="564">
        <v>4000</v>
      </c>
      <c r="HQ181" s="565">
        <v>132.36577047124996</v>
      </c>
      <c r="HR181" s="649">
        <v>1.3816000000000002</v>
      </c>
      <c r="HS181" s="646">
        <v>16.429810199213009</v>
      </c>
      <c r="HT181" s="646">
        <v>0</v>
      </c>
      <c r="HU181" s="646">
        <v>0</v>
      </c>
      <c r="HV181" s="646">
        <v>11.283155810045219</v>
      </c>
      <c r="HW181" s="646">
        <v>0.62961861219580562</v>
      </c>
      <c r="HX181" s="646">
        <v>3600</v>
      </c>
      <c r="HY181" s="563" t="s">
        <v>68</v>
      </c>
      <c r="HZ181" s="563">
        <v>2</v>
      </c>
      <c r="IA181" s="563">
        <v>0</v>
      </c>
      <c r="IB181" s="563">
        <v>0</v>
      </c>
      <c r="IC181" s="563">
        <v>0</v>
      </c>
      <c r="ID181" s="650">
        <v>23610.209405128451</v>
      </c>
      <c r="IE181" s="563">
        <v>0</v>
      </c>
      <c r="IF181" s="563">
        <v>0</v>
      </c>
      <c r="IG181" s="563">
        <v>0</v>
      </c>
      <c r="IH181" s="650">
        <v>23168.866241984677</v>
      </c>
      <c r="II181" s="564">
        <v>4000</v>
      </c>
      <c r="IJ181" s="565">
        <v>132.36577047124996</v>
      </c>
      <c r="IK181" s="649">
        <v>1.3816000000000002</v>
      </c>
      <c r="IL181" s="646">
        <v>16.429810199213009</v>
      </c>
      <c r="IM181" s="646">
        <v>0</v>
      </c>
      <c r="IN181" s="646">
        <v>0</v>
      </c>
      <c r="IO181" s="646">
        <v>11.283155810045219</v>
      </c>
      <c r="IP181" s="646">
        <v>0.62961861219580562</v>
      </c>
      <c r="IQ181" s="646">
        <v>3600</v>
      </c>
      <c r="IR181" s="563" t="s">
        <v>68</v>
      </c>
      <c r="IS181" s="563">
        <v>2</v>
      </c>
      <c r="IT181" s="563">
        <v>0</v>
      </c>
      <c r="IU181" s="563">
        <v>0</v>
      </c>
      <c r="IV181" s="563">
        <v>0</v>
      </c>
      <c r="IW181" s="650">
        <v>23610.209405128451</v>
      </c>
      <c r="IX181" s="563">
        <v>0</v>
      </c>
      <c r="IY181" s="563">
        <v>0</v>
      </c>
      <c r="IZ181" s="563">
        <v>0</v>
      </c>
      <c r="JA181" s="650">
        <v>23168.866241984677</v>
      </c>
      <c r="JB181" s="564">
        <v>4000</v>
      </c>
      <c r="JC181" s="565">
        <v>132.36577047124996</v>
      </c>
      <c r="JD181" s="649">
        <v>1.3816000000000002</v>
      </c>
      <c r="JE181" s="646">
        <v>16.429810199213009</v>
      </c>
      <c r="JF181" s="646">
        <v>0</v>
      </c>
      <c r="JG181" s="646">
        <v>0</v>
      </c>
      <c r="JH181" s="646">
        <v>11.283155810045219</v>
      </c>
      <c r="JI181" s="646">
        <v>0.62961861219580562</v>
      </c>
      <c r="JJ181" s="646">
        <v>3600</v>
      </c>
      <c r="JK181" s="563" t="s">
        <v>67</v>
      </c>
      <c r="JL181" s="563">
        <v>2</v>
      </c>
      <c r="JM181" s="563">
        <v>0</v>
      </c>
      <c r="JN181" s="563">
        <v>0</v>
      </c>
      <c r="JO181" s="563">
        <v>0</v>
      </c>
      <c r="JP181" s="650">
        <v>32175.291864596042</v>
      </c>
      <c r="JQ181" s="563">
        <v>0</v>
      </c>
      <c r="JR181" s="563">
        <v>0</v>
      </c>
      <c r="JS181" s="563">
        <v>0</v>
      </c>
      <c r="JT181" s="650">
        <v>31573.842515172946</v>
      </c>
      <c r="JU181" s="564">
        <v>4000</v>
      </c>
      <c r="JV181" s="565">
        <v>132.36577047124996</v>
      </c>
      <c r="JW181" s="649">
        <v>1.3816000000000002</v>
      </c>
      <c r="JX181" s="646">
        <v>16.429810199213009</v>
      </c>
      <c r="JY181" s="646">
        <v>0</v>
      </c>
      <c r="JZ181" s="646">
        <v>0</v>
      </c>
      <c r="KA181" s="646">
        <v>11.283155810045219</v>
      </c>
      <c r="KB181" s="646">
        <v>0.62961861219580562</v>
      </c>
      <c r="KC181" s="646">
        <v>3600</v>
      </c>
      <c r="KD181" s="563" t="s">
        <v>67</v>
      </c>
      <c r="KE181" s="563">
        <v>2</v>
      </c>
      <c r="KF181" s="563">
        <v>0</v>
      </c>
      <c r="KG181" s="563">
        <v>0</v>
      </c>
      <c r="KH181" s="563">
        <v>0</v>
      </c>
      <c r="KI181" s="650">
        <v>32175.291864596042</v>
      </c>
      <c r="KJ181" s="563">
        <v>0</v>
      </c>
      <c r="KK181" s="563">
        <v>0</v>
      </c>
      <c r="KL181" s="563">
        <v>0</v>
      </c>
      <c r="KM181" s="650">
        <v>31573.842515172946</v>
      </c>
      <c r="KN181" s="564">
        <v>4000</v>
      </c>
      <c r="KO181" s="566">
        <v>132.36577047124996</v>
      </c>
    </row>
    <row r="182" spans="1:301" ht="15" customHeight="1">
      <c r="A182" s="663" t="s">
        <v>931</v>
      </c>
      <c r="B182" s="629" t="s">
        <v>382</v>
      </c>
      <c r="C182" s="629">
        <v>230</v>
      </c>
      <c r="D182" s="629">
        <v>632</v>
      </c>
      <c r="E182" s="629">
        <v>160</v>
      </c>
      <c r="F182" s="629">
        <v>230</v>
      </c>
      <c r="G182" s="629">
        <v>39</v>
      </c>
      <c r="H182" s="629">
        <v>25</v>
      </c>
      <c r="I182" s="629">
        <v>25</v>
      </c>
      <c r="J182" s="629">
        <v>47.19</v>
      </c>
      <c r="K182" s="629">
        <v>75.069999999999993</v>
      </c>
      <c r="L182" s="629">
        <v>16</v>
      </c>
      <c r="M182" s="629">
        <v>220</v>
      </c>
      <c r="N182" s="629">
        <v>2</v>
      </c>
      <c r="O182" s="623">
        <v>4.6095307236320373</v>
      </c>
      <c r="P182" s="629">
        <v>2</v>
      </c>
      <c r="Q182" s="623">
        <v>2.726154311784303</v>
      </c>
      <c r="R182" s="629">
        <v>13.000000000000002</v>
      </c>
      <c r="S182" s="629">
        <v>422.30104614921703</v>
      </c>
      <c r="T182" s="645">
        <v>14.293783670922839</v>
      </c>
      <c r="U182" s="645">
        <v>63.34515692238255</v>
      </c>
      <c r="V182" s="645">
        <v>60</v>
      </c>
      <c r="W182" s="793">
        <v>1.113265843600721</v>
      </c>
      <c r="X182" s="646">
        <v>0</v>
      </c>
      <c r="Y182" s="646">
        <v>0</v>
      </c>
      <c r="Z182" s="646">
        <v>0</v>
      </c>
      <c r="AA182" s="646">
        <v>0</v>
      </c>
      <c r="AB182" s="647">
        <v>0.99888537730663585</v>
      </c>
      <c r="AC182" s="784">
        <v>4000</v>
      </c>
      <c r="AD182" s="631">
        <v>2.915995962497318</v>
      </c>
      <c r="AE182" s="631">
        <v>1.0795237663458117</v>
      </c>
      <c r="AF182" s="631">
        <v>-6.5552413633073528E-2</v>
      </c>
      <c r="AG182" s="631">
        <v>0.60601828169989735</v>
      </c>
      <c r="AH182" s="629"/>
      <c r="AI182" s="648">
        <v>1.3477323783799995</v>
      </c>
      <c r="AJ182" s="649">
        <v>2.0724</v>
      </c>
      <c r="AK182" s="646">
        <v>24.815134549939899</v>
      </c>
      <c r="AL182" s="646">
        <v>0</v>
      </c>
      <c r="AM182" s="646">
        <v>0</v>
      </c>
      <c r="AN182" s="646">
        <v>10.887589226158745</v>
      </c>
      <c r="AO182" s="646">
        <v>0.87759419474628064</v>
      </c>
      <c r="AP182" s="801">
        <v>3600</v>
      </c>
      <c r="AQ182" s="563" t="s">
        <v>71</v>
      </c>
      <c r="AR182" s="563">
        <v>3</v>
      </c>
      <c r="AS182" s="563">
        <v>0</v>
      </c>
      <c r="AT182" s="563">
        <v>0</v>
      </c>
      <c r="AU182" s="563">
        <v>0</v>
      </c>
      <c r="AV182" s="650">
        <v>26298.95244587749</v>
      </c>
      <c r="AW182" s="563">
        <v>0</v>
      </c>
      <c r="AX182" s="563">
        <v>0</v>
      </c>
      <c r="AY182" s="563">
        <v>0</v>
      </c>
      <c r="AZ182" s="650">
        <v>36284.258932279932</v>
      </c>
      <c r="BA182" s="564">
        <v>4000</v>
      </c>
      <c r="BB182" s="565">
        <v>132.36577047124996</v>
      </c>
      <c r="BC182" s="649">
        <v>2.0724</v>
      </c>
      <c r="BD182" s="646">
        <v>24.815134549939899</v>
      </c>
      <c r="BE182" s="646">
        <v>0</v>
      </c>
      <c r="BF182" s="646">
        <v>0</v>
      </c>
      <c r="BG182" s="646">
        <v>10.887589226158745</v>
      </c>
      <c r="BH182" s="646">
        <v>0.87759419474628064</v>
      </c>
      <c r="BI182" s="646">
        <v>3600</v>
      </c>
      <c r="BJ182" s="563" t="s">
        <v>71</v>
      </c>
      <c r="BK182" s="563">
        <v>3</v>
      </c>
      <c r="BL182" s="563">
        <v>0</v>
      </c>
      <c r="BM182" s="563">
        <v>0</v>
      </c>
      <c r="BN182" s="563">
        <v>0</v>
      </c>
      <c r="BO182" s="650">
        <v>26298.95244587749</v>
      </c>
      <c r="BP182" s="563">
        <v>0</v>
      </c>
      <c r="BQ182" s="563">
        <v>0</v>
      </c>
      <c r="BR182" s="563">
        <v>0</v>
      </c>
      <c r="BS182" s="650">
        <v>36284.258932279932</v>
      </c>
      <c r="BT182" s="564">
        <v>4000</v>
      </c>
      <c r="BU182" s="565">
        <v>132.36577047124996</v>
      </c>
      <c r="BV182" s="649">
        <v>1.3816000000000002</v>
      </c>
      <c r="BW182" s="646">
        <v>24.124334549939899</v>
      </c>
      <c r="BX182" s="646">
        <v>0</v>
      </c>
      <c r="BY182" s="646">
        <v>0</v>
      </c>
      <c r="BZ182" s="646">
        <v>10.841417865026949</v>
      </c>
      <c r="CA182" s="646">
        <v>0.83853601734628069</v>
      </c>
      <c r="CB182" s="646">
        <v>3600</v>
      </c>
      <c r="CC182" s="563" t="s">
        <v>1584</v>
      </c>
      <c r="CD182" s="563">
        <v>2</v>
      </c>
      <c r="CE182" s="563">
        <v>0</v>
      </c>
      <c r="CF182" s="563">
        <v>0</v>
      </c>
      <c r="CG182" s="563">
        <v>0</v>
      </c>
      <c r="CH182" s="650">
        <v>18288.389565308174</v>
      </c>
      <c r="CI182" s="563">
        <v>0</v>
      </c>
      <c r="CJ182" s="563">
        <v>0</v>
      </c>
      <c r="CK182" s="563">
        <v>0</v>
      </c>
      <c r="CL182" s="650">
        <v>17946.526621147786</v>
      </c>
      <c r="CM182" s="564">
        <v>4000</v>
      </c>
      <c r="CN182" s="565">
        <v>132.36577047124996</v>
      </c>
      <c r="CO182" s="649">
        <v>1.3816000000000002</v>
      </c>
      <c r="CP182" s="646">
        <v>24.124334549939899</v>
      </c>
      <c r="CQ182" s="646">
        <v>0</v>
      </c>
      <c r="CR182" s="646">
        <v>0</v>
      </c>
      <c r="CS182" s="646">
        <v>10.841417865026949</v>
      </c>
      <c r="CT182" s="646">
        <v>0.83853601734628069</v>
      </c>
      <c r="CU182" s="646">
        <v>3600</v>
      </c>
      <c r="CV182" s="563" t="s">
        <v>1584</v>
      </c>
      <c r="CW182" s="563">
        <v>2</v>
      </c>
      <c r="CX182" s="563">
        <v>0</v>
      </c>
      <c r="CY182" s="563">
        <v>0</v>
      </c>
      <c r="CZ182" s="563">
        <v>0</v>
      </c>
      <c r="DA182" s="650">
        <v>18288.389565308174</v>
      </c>
      <c r="DB182" s="563">
        <v>0</v>
      </c>
      <c r="DC182" s="563">
        <v>0</v>
      </c>
      <c r="DD182" s="563">
        <v>0</v>
      </c>
      <c r="DE182" s="650">
        <v>17946.526621147786</v>
      </c>
      <c r="DF182" s="564">
        <v>4000</v>
      </c>
      <c r="DG182" s="565">
        <v>132.36577047124996</v>
      </c>
      <c r="DH182" s="649">
        <v>1.3816000000000002</v>
      </c>
      <c r="DI182" s="646">
        <v>24.124334549939899</v>
      </c>
      <c r="DJ182" s="646">
        <v>0</v>
      </c>
      <c r="DK182" s="646">
        <v>0</v>
      </c>
      <c r="DL182" s="646">
        <v>10.841417865026949</v>
      </c>
      <c r="DM182" s="646">
        <v>0.83853601734628069</v>
      </c>
      <c r="DN182" s="646">
        <v>3600</v>
      </c>
      <c r="DO182" s="563" t="s">
        <v>1585</v>
      </c>
      <c r="DP182" s="563">
        <v>2</v>
      </c>
      <c r="DQ182" s="563">
        <v>0</v>
      </c>
      <c r="DR182" s="563">
        <v>0</v>
      </c>
      <c r="DS182" s="563">
        <v>0</v>
      </c>
      <c r="DT182" s="650">
        <v>19551.110831209855</v>
      </c>
      <c r="DU182" s="563">
        <v>0</v>
      </c>
      <c r="DV182" s="563">
        <v>0</v>
      </c>
      <c r="DW182" s="563">
        <v>0</v>
      </c>
      <c r="DX182" s="650">
        <v>19185.643971129339</v>
      </c>
      <c r="DY182" s="564">
        <v>4000</v>
      </c>
      <c r="DZ182" s="565">
        <v>132.36577047124996</v>
      </c>
      <c r="EA182" s="649">
        <v>1.3816000000000002</v>
      </c>
      <c r="EB182" s="646">
        <v>24.124334549939899</v>
      </c>
      <c r="EC182" s="646">
        <v>0</v>
      </c>
      <c r="ED182" s="646">
        <v>0</v>
      </c>
      <c r="EE182" s="646">
        <v>10.841417865026949</v>
      </c>
      <c r="EF182" s="646">
        <v>0.83853601734628069</v>
      </c>
      <c r="EG182" s="646">
        <v>3600</v>
      </c>
      <c r="EH182" s="563" t="s">
        <v>1585</v>
      </c>
      <c r="EI182" s="563">
        <v>2</v>
      </c>
      <c r="EJ182" s="563">
        <v>0</v>
      </c>
      <c r="EK182" s="563">
        <v>0</v>
      </c>
      <c r="EL182" s="563">
        <v>0</v>
      </c>
      <c r="EM182" s="650">
        <v>19551.110831209855</v>
      </c>
      <c r="EN182" s="563">
        <v>0</v>
      </c>
      <c r="EO182" s="563">
        <v>0</v>
      </c>
      <c r="EP182" s="563">
        <v>0</v>
      </c>
      <c r="EQ182" s="650">
        <v>19185.643971129339</v>
      </c>
      <c r="ER182" s="564">
        <v>4000</v>
      </c>
      <c r="ES182" s="565">
        <v>132.36577047124996</v>
      </c>
      <c r="ET182" s="649">
        <v>1.3816000000000002</v>
      </c>
      <c r="EU182" s="646">
        <v>24.124334549939899</v>
      </c>
      <c r="EV182" s="646">
        <v>0</v>
      </c>
      <c r="EW182" s="646">
        <v>0</v>
      </c>
      <c r="EX182" s="646">
        <v>10.841417865026949</v>
      </c>
      <c r="EY182" s="646">
        <v>0.83853601734628069</v>
      </c>
      <c r="EZ182" s="646">
        <v>3600</v>
      </c>
      <c r="FA182" s="563" t="s">
        <v>1586</v>
      </c>
      <c r="FB182" s="563">
        <v>2</v>
      </c>
      <c r="FC182" s="563">
        <v>0</v>
      </c>
      <c r="FD182" s="563">
        <v>0</v>
      </c>
      <c r="FE182" s="563">
        <v>0</v>
      </c>
      <c r="FF182" s="650">
        <v>19954.268933777166</v>
      </c>
      <c r="FG182" s="563">
        <v>0</v>
      </c>
      <c r="FH182" s="563">
        <v>0</v>
      </c>
      <c r="FI182" s="563">
        <v>0</v>
      </c>
      <c r="FJ182" s="650">
        <v>19581.265881654617</v>
      </c>
      <c r="FK182" s="564">
        <v>4000</v>
      </c>
      <c r="FL182" s="565">
        <v>132.36577047124996</v>
      </c>
      <c r="FM182" s="649">
        <v>1.3816000000000002</v>
      </c>
      <c r="FN182" s="646">
        <v>24.124334549939899</v>
      </c>
      <c r="FO182" s="646">
        <v>0</v>
      </c>
      <c r="FP182" s="646">
        <v>0</v>
      </c>
      <c r="FQ182" s="646">
        <v>10.841417865026949</v>
      </c>
      <c r="FR182" s="646">
        <v>0.83853601734628069</v>
      </c>
      <c r="FS182" s="646">
        <v>3600</v>
      </c>
      <c r="FT182" s="563" t="s">
        <v>1586</v>
      </c>
      <c r="FU182" s="563">
        <v>2</v>
      </c>
      <c r="FV182" s="563">
        <v>0</v>
      </c>
      <c r="FW182" s="563">
        <v>0</v>
      </c>
      <c r="FX182" s="563">
        <v>0</v>
      </c>
      <c r="FY182" s="650">
        <v>19954.268933777166</v>
      </c>
      <c r="FZ182" s="563">
        <v>0</v>
      </c>
      <c r="GA182" s="563">
        <v>0</v>
      </c>
      <c r="GB182" s="563">
        <v>0</v>
      </c>
      <c r="GC182" s="650">
        <v>19581.265881654617</v>
      </c>
      <c r="GD182" s="564">
        <v>4000</v>
      </c>
      <c r="GE182" s="565">
        <v>132.36577047124996</v>
      </c>
      <c r="GF182" s="649">
        <v>1.3816000000000002</v>
      </c>
      <c r="GG182" s="646">
        <v>24.124334549939899</v>
      </c>
      <c r="GH182" s="646">
        <v>0</v>
      </c>
      <c r="GI182" s="646">
        <v>0</v>
      </c>
      <c r="GJ182" s="646">
        <v>10.841417865026949</v>
      </c>
      <c r="GK182" s="646">
        <v>0.83853601734628069</v>
      </c>
      <c r="GL182" s="646">
        <v>3600</v>
      </c>
      <c r="GM182" s="563" t="s">
        <v>1587</v>
      </c>
      <c r="GN182" s="563">
        <v>2</v>
      </c>
      <c r="GO182" s="563">
        <v>0</v>
      </c>
      <c r="GP182" s="563">
        <v>0</v>
      </c>
      <c r="GQ182" s="563">
        <v>0</v>
      </c>
      <c r="GR182" s="650">
        <v>26771.461066343159</v>
      </c>
      <c r="GS182" s="563">
        <v>0</v>
      </c>
      <c r="GT182" s="563">
        <v>0</v>
      </c>
      <c r="GU182" s="563">
        <v>0</v>
      </c>
      <c r="GV182" s="650">
        <v>26271.024958126374</v>
      </c>
      <c r="GW182" s="564">
        <v>4000</v>
      </c>
      <c r="GX182" s="565">
        <v>132.36577047124996</v>
      </c>
      <c r="GY182" s="649">
        <v>1.3816000000000002</v>
      </c>
      <c r="GZ182" s="646">
        <v>24.124334549939899</v>
      </c>
      <c r="HA182" s="646">
        <v>0</v>
      </c>
      <c r="HB182" s="646">
        <v>0</v>
      </c>
      <c r="HC182" s="646">
        <v>10.841417865026949</v>
      </c>
      <c r="HD182" s="646">
        <v>0.83853601734628069</v>
      </c>
      <c r="HE182" s="646">
        <v>3600</v>
      </c>
      <c r="HF182" s="563" t="s">
        <v>1587</v>
      </c>
      <c r="HG182" s="563">
        <v>2</v>
      </c>
      <c r="HH182" s="563">
        <v>0</v>
      </c>
      <c r="HI182" s="563">
        <v>0</v>
      </c>
      <c r="HJ182" s="563">
        <v>0</v>
      </c>
      <c r="HK182" s="650">
        <v>26771.461066343159</v>
      </c>
      <c r="HL182" s="563">
        <v>0</v>
      </c>
      <c r="HM182" s="563">
        <v>0</v>
      </c>
      <c r="HN182" s="563">
        <v>0</v>
      </c>
      <c r="HO182" s="650">
        <v>26271.024958126374</v>
      </c>
      <c r="HP182" s="564">
        <v>4000</v>
      </c>
      <c r="HQ182" s="565">
        <v>132.36577047124996</v>
      </c>
      <c r="HR182" s="649">
        <v>1.3816000000000002</v>
      </c>
      <c r="HS182" s="646">
        <v>24.124334549939899</v>
      </c>
      <c r="HT182" s="646">
        <v>0</v>
      </c>
      <c r="HU182" s="646">
        <v>0</v>
      </c>
      <c r="HV182" s="646">
        <v>10.841417865026949</v>
      </c>
      <c r="HW182" s="646">
        <v>0.83853601734628069</v>
      </c>
      <c r="HX182" s="646">
        <v>3600</v>
      </c>
      <c r="HY182" s="563" t="s">
        <v>68</v>
      </c>
      <c r="HZ182" s="563">
        <v>2</v>
      </c>
      <c r="IA182" s="563">
        <v>0</v>
      </c>
      <c r="IB182" s="563">
        <v>0</v>
      </c>
      <c r="IC182" s="563">
        <v>0</v>
      </c>
      <c r="ID182" s="650">
        <v>23610.209405128451</v>
      </c>
      <c r="IE182" s="563">
        <v>0</v>
      </c>
      <c r="IF182" s="563">
        <v>0</v>
      </c>
      <c r="IG182" s="563">
        <v>0</v>
      </c>
      <c r="IH182" s="650">
        <v>23168.866241984677</v>
      </c>
      <c r="II182" s="564">
        <v>4000</v>
      </c>
      <c r="IJ182" s="565">
        <v>132.36577047124996</v>
      </c>
      <c r="IK182" s="649">
        <v>1.3816000000000002</v>
      </c>
      <c r="IL182" s="646">
        <v>24.124334549939899</v>
      </c>
      <c r="IM182" s="646">
        <v>0</v>
      </c>
      <c r="IN182" s="646">
        <v>0</v>
      </c>
      <c r="IO182" s="646">
        <v>10.841417865026949</v>
      </c>
      <c r="IP182" s="646">
        <v>0.83853601734628069</v>
      </c>
      <c r="IQ182" s="646">
        <v>3600</v>
      </c>
      <c r="IR182" s="563" t="s">
        <v>68</v>
      </c>
      <c r="IS182" s="563">
        <v>2</v>
      </c>
      <c r="IT182" s="563">
        <v>0</v>
      </c>
      <c r="IU182" s="563">
        <v>0</v>
      </c>
      <c r="IV182" s="563">
        <v>0</v>
      </c>
      <c r="IW182" s="650">
        <v>23610.209405128451</v>
      </c>
      <c r="IX182" s="563">
        <v>0</v>
      </c>
      <c r="IY182" s="563">
        <v>0</v>
      </c>
      <c r="IZ182" s="563">
        <v>0</v>
      </c>
      <c r="JA182" s="650">
        <v>23168.866241984677</v>
      </c>
      <c r="JB182" s="564">
        <v>4000</v>
      </c>
      <c r="JC182" s="565">
        <v>132.36577047124996</v>
      </c>
      <c r="JD182" s="649">
        <v>1.3816000000000002</v>
      </c>
      <c r="JE182" s="646">
        <v>24.124334549939899</v>
      </c>
      <c r="JF182" s="646">
        <v>0</v>
      </c>
      <c r="JG182" s="646">
        <v>0</v>
      </c>
      <c r="JH182" s="646">
        <v>10.841417865026949</v>
      </c>
      <c r="JI182" s="646">
        <v>0.83853601734628069</v>
      </c>
      <c r="JJ182" s="646">
        <v>3600</v>
      </c>
      <c r="JK182" s="563" t="s">
        <v>67</v>
      </c>
      <c r="JL182" s="563">
        <v>2</v>
      </c>
      <c r="JM182" s="563">
        <v>0</v>
      </c>
      <c r="JN182" s="563">
        <v>0</v>
      </c>
      <c r="JO182" s="563">
        <v>0</v>
      </c>
      <c r="JP182" s="650">
        <v>32175.291864596042</v>
      </c>
      <c r="JQ182" s="563">
        <v>0</v>
      </c>
      <c r="JR182" s="563">
        <v>0</v>
      </c>
      <c r="JS182" s="563">
        <v>0</v>
      </c>
      <c r="JT182" s="650">
        <v>31573.842515172946</v>
      </c>
      <c r="JU182" s="564">
        <v>4000</v>
      </c>
      <c r="JV182" s="565">
        <v>132.36577047124996</v>
      </c>
      <c r="JW182" s="649">
        <v>1.3816000000000002</v>
      </c>
      <c r="JX182" s="646">
        <v>24.124334549939899</v>
      </c>
      <c r="JY182" s="646">
        <v>0</v>
      </c>
      <c r="JZ182" s="646">
        <v>0</v>
      </c>
      <c r="KA182" s="646">
        <v>10.841417865026949</v>
      </c>
      <c r="KB182" s="646">
        <v>0.83853601734628069</v>
      </c>
      <c r="KC182" s="646">
        <v>3600</v>
      </c>
      <c r="KD182" s="563" t="s">
        <v>67</v>
      </c>
      <c r="KE182" s="563">
        <v>2</v>
      </c>
      <c r="KF182" s="563">
        <v>0</v>
      </c>
      <c r="KG182" s="563">
        <v>0</v>
      </c>
      <c r="KH182" s="563">
        <v>0</v>
      </c>
      <c r="KI182" s="650">
        <v>32175.291864596042</v>
      </c>
      <c r="KJ182" s="563">
        <v>0</v>
      </c>
      <c r="KK182" s="563">
        <v>0</v>
      </c>
      <c r="KL182" s="563">
        <v>0</v>
      </c>
      <c r="KM182" s="650">
        <v>31573.842515172946</v>
      </c>
      <c r="KN182" s="564">
        <v>4000</v>
      </c>
      <c r="KO182" s="566">
        <v>132.36577047124996</v>
      </c>
    </row>
    <row r="183" spans="1:301" ht="15" customHeight="1">
      <c r="A183" s="663" t="s">
        <v>932</v>
      </c>
      <c r="B183" s="629" t="s">
        <v>382</v>
      </c>
      <c r="C183" s="629">
        <v>230</v>
      </c>
      <c r="D183" s="629">
        <v>632</v>
      </c>
      <c r="E183" s="629">
        <v>160</v>
      </c>
      <c r="F183" s="629">
        <v>230</v>
      </c>
      <c r="G183" s="629">
        <v>49</v>
      </c>
      <c r="H183" s="629">
        <v>35</v>
      </c>
      <c r="I183" s="629">
        <v>35</v>
      </c>
      <c r="J183" s="629">
        <v>42.34</v>
      </c>
      <c r="K183" s="629">
        <v>73.78</v>
      </c>
      <c r="L183" s="629">
        <v>16</v>
      </c>
      <c r="M183" s="629">
        <v>220</v>
      </c>
      <c r="N183" s="629">
        <v>2</v>
      </c>
      <c r="O183" s="623">
        <v>4.6095307236320373</v>
      </c>
      <c r="P183" s="629">
        <v>2</v>
      </c>
      <c r="Q183" s="623">
        <v>2.7370041762790547</v>
      </c>
      <c r="R183" s="629">
        <v>13.000000000000002</v>
      </c>
      <c r="S183" s="629">
        <v>421.25796207911094</v>
      </c>
      <c r="T183" s="645">
        <v>14.223259551706953</v>
      </c>
      <c r="U183" s="645">
        <v>63.188694311866641</v>
      </c>
      <c r="V183" s="645">
        <v>60</v>
      </c>
      <c r="W183" s="793">
        <v>1.1077730997002528</v>
      </c>
      <c r="X183" s="646">
        <v>0</v>
      </c>
      <c r="Y183" s="646">
        <v>0</v>
      </c>
      <c r="Z183" s="646">
        <v>0</v>
      </c>
      <c r="AA183" s="646">
        <v>0</v>
      </c>
      <c r="AB183" s="647">
        <v>1.2589865499600892</v>
      </c>
      <c r="AC183" s="784">
        <v>4000</v>
      </c>
      <c r="AD183" s="631">
        <v>2.6354212106838908</v>
      </c>
      <c r="AE183" s="631">
        <v>0.91120696519473776</v>
      </c>
      <c r="AF183" s="631">
        <v>-8.9017376206994556E-2</v>
      </c>
      <c r="AG183" s="631">
        <v>0.70058170788089158</v>
      </c>
      <c r="AH183" s="629"/>
      <c r="AI183" s="648">
        <v>1.4181323783799995</v>
      </c>
      <c r="AJ183" s="649">
        <v>2.9013600000000004</v>
      </c>
      <c r="AK183" s="646">
        <v>25.578927551318298</v>
      </c>
      <c r="AL183" s="646">
        <v>0</v>
      </c>
      <c r="AM183" s="646">
        <v>0</v>
      </c>
      <c r="AN183" s="646">
        <v>13.312863054845034</v>
      </c>
      <c r="AO183" s="646">
        <v>0.9218100216713192</v>
      </c>
      <c r="AP183" s="801">
        <v>3600</v>
      </c>
      <c r="AQ183" s="563" t="s">
        <v>71</v>
      </c>
      <c r="AR183" s="563">
        <v>3</v>
      </c>
      <c r="AS183" s="563">
        <v>0</v>
      </c>
      <c r="AT183" s="563">
        <v>0</v>
      </c>
      <c r="AU183" s="563">
        <v>0</v>
      </c>
      <c r="AV183" s="650">
        <v>19818.164825577798</v>
      </c>
      <c r="AW183" s="563">
        <v>0</v>
      </c>
      <c r="AX183" s="563">
        <v>0</v>
      </c>
      <c r="AY183" s="563">
        <v>0</v>
      </c>
      <c r="AZ183" s="650">
        <v>24317.248638032164</v>
      </c>
      <c r="BA183" s="564">
        <v>4000</v>
      </c>
      <c r="BB183" s="565">
        <v>132.36577047124996</v>
      </c>
      <c r="BC183" s="649">
        <v>2.9013600000000004</v>
      </c>
      <c r="BD183" s="646">
        <v>25.578927551318298</v>
      </c>
      <c r="BE183" s="646">
        <v>0</v>
      </c>
      <c r="BF183" s="646">
        <v>0</v>
      </c>
      <c r="BG183" s="646">
        <v>13.312863054845034</v>
      </c>
      <c r="BH183" s="646">
        <v>0.9218100216713192</v>
      </c>
      <c r="BI183" s="646">
        <v>3600</v>
      </c>
      <c r="BJ183" s="563" t="s">
        <v>71</v>
      </c>
      <c r="BK183" s="563">
        <v>3</v>
      </c>
      <c r="BL183" s="563">
        <v>0</v>
      </c>
      <c r="BM183" s="563">
        <v>0</v>
      </c>
      <c r="BN183" s="563">
        <v>0</v>
      </c>
      <c r="BO183" s="650">
        <v>19818.164825577798</v>
      </c>
      <c r="BP183" s="563">
        <v>0</v>
      </c>
      <c r="BQ183" s="563">
        <v>0</v>
      </c>
      <c r="BR183" s="563">
        <v>0</v>
      </c>
      <c r="BS183" s="650">
        <v>24317.248638032164</v>
      </c>
      <c r="BT183" s="564">
        <v>4000</v>
      </c>
      <c r="BU183" s="565">
        <v>132.36577047124996</v>
      </c>
      <c r="BV183" s="649">
        <v>2.9013600000000004</v>
      </c>
      <c r="BW183" s="646">
        <v>25.578927551318298</v>
      </c>
      <c r="BX183" s="646">
        <v>0</v>
      </c>
      <c r="BY183" s="646">
        <v>0</v>
      </c>
      <c r="BZ183" s="646">
        <v>13.312863054845034</v>
      </c>
      <c r="CA183" s="646">
        <v>0.9218100216713192</v>
      </c>
      <c r="CB183" s="646">
        <v>3600</v>
      </c>
      <c r="CC183" s="563" t="s">
        <v>1584</v>
      </c>
      <c r="CD183" s="563">
        <v>3</v>
      </c>
      <c r="CE183" s="563">
        <v>0</v>
      </c>
      <c r="CF183" s="563">
        <v>0</v>
      </c>
      <c r="CG183" s="563">
        <v>0</v>
      </c>
      <c r="CH183" s="650">
        <v>19417.756584415674</v>
      </c>
      <c r="CI183" s="563">
        <v>0</v>
      </c>
      <c r="CJ183" s="563">
        <v>0</v>
      </c>
      <c r="CK183" s="563">
        <v>0</v>
      </c>
      <c r="CL183" s="650">
        <v>23825.940444627198</v>
      </c>
      <c r="CM183" s="564">
        <v>4000</v>
      </c>
      <c r="CN183" s="565">
        <v>132.36577047124996</v>
      </c>
      <c r="CO183" s="649">
        <v>2.9013600000000004</v>
      </c>
      <c r="CP183" s="646">
        <v>25.578927551318298</v>
      </c>
      <c r="CQ183" s="646">
        <v>0</v>
      </c>
      <c r="CR183" s="646">
        <v>0</v>
      </c>
      <c r="CS183" s="646">
        <v>13.312863054845034</v>
      </c>
      <c r="CT183" s="646">
        <v>0.9218100216713192</v>
      </c>
      <c r="CU183" s="646">
        <v>3600</v>
      </c>
      <c r="CV183" s="563" t="s">
        <v>1584</v>
      </c>
      <c r="CW183" s="563">
        <v>3</v>
      </c>
      <c r="CX183" s="563">
        <v>0</v>
      </c>
      <c r="CY183" s="563">
        <v>0</v>
      </c>
      <c r="CZ183" s="563">
        <v>0</v>
      </c>
      <c r="DA183" s="650">
        <v>19417.756584415674</v>
      </c>
      <c r="DB183" s="563">
        <v>0</v>
      </c>
      <c r="DC183" s="563">
        <v>0</v>
      </c>
      <c r="DD183" s="563">
        <v>0</v>
      </c>
      <c r="DE183" s="650">
        <v>23825.940444627198</v>
      </c>
      <c r="DF183" s="564">
        <v>4000</v>
      </c>
      <c r="DG183" s="565">
        <v>132.36577047124996</v>
      </c>
      <c r="DH183" s="649">
        <v>1.9342400000000002</v>
      </c>
      <c r="DI183" s="646">
        <v>24.611807551318297</v>
      </c>
      <c r="DJ183" s="646">
        <v>0</v>
      </c>
      <c r="DK183" s="646">
        <v>0</v>
      </c>
      <c r="DL183" s="646">
        <v>13.148329674923438</v>
      </c>
      <c r="DM183" s="646">
        <v>0.86712857331131921</v>
      </c>
      <c r="DN183" s="646">
        <v>3600</v>
      </c>
      <c r="DO183" s="563" t="s">
        <v>1585</v>
      </c>
      <c r="DP183" s="563">
        <v>2</v>
      </c>
      <c r="DQ183" s="563">
        <v>0</v>
      </c>
      <c r="DR183" s="563">
        <v>0</v>
      </c>
      <c r="DS183" s="563">
        <v>0</v>
      </c>
      <c r="DT183" s="650">
        <v>14469.941958800218</v>
      </c>
      <c r="DU183" s="563">
        <v>0</v>
      </c>
      <c r="DV183" s="563">
        <v>0</v>
      </c>
      <c r="DW183" s="563">
        <v>0</v>
      </c>
      <c r="DX183" s="650">
        <v>16854.953023536418</v>
      </c>
      <c r="DY183" s="564">
        <v>4000</v>
      </c>
      <c r="DZ183" s="565">
        <v>132.36577047124996</v>
      </c>
      <c r="EA183" s="649">
        <v>1.9342400000000002</v>
      </c>
      <c r="EB183" s="646">
        <v>24.611807551318297</v>
      </c>
      <c r="EC183" s="646">
        <v>0</v>
      </c>
      <c r="ED183" s="646">
        <v>0</v>
      </c>
      <c r="EE183" s="646">
        <v>13.148329674923438</v>
      </c>
      <c r="EF183" s="646">
        <v>0.86712857331131921</v>
      </c>
      <c r="EG183" s="646">
        <v>3600</v>
      </c>
      <c r="EH183" s="563" t="s">
        <v>1585</v>
      </c>
      <c r="EI183" s="563">
        <v>2</v>
      </c>
      <c r="EJ183" s="563">
        <v>0</v>
      </c>
      <c r="EK183" s="563">
        <v>0</v>
      </c>
      <c r="EL183" s="563">
        <v>0</v>
      </c>
      <c r="EM183" s="650">
        <v>14469.941958800218</v>
      </c>
      <c r="EN183" s="563">
        <v>0</v>
      </c>
      <c r="EO183" s="563">
        <v>0</v>
      </c>
      <c r="EP183" s="563">
        <v>0</v>
      </c>
      <c r="EQ183" s="650">
        <v>16854.953023536418</v>
      </c>
      <c r="ER183" s="564">
        <v>4000</v>
      </c>
      <c r="ES183" s="565">
        <v>132.36577047124996</v>
      </c>
      <c r="ET183" s="649">
        <v>1.9342400000000002</v>
      </c>
      <c r="EU183" s="646">
        <v>24.611807551318297</v>
      </c>
      <c r="EV183" s="646">
        <v>0</v>
      </c>
      <c r="EW183" s="646">
        <v>0</v>
      </c>
      <c r="EX183" s="646">
        <v>13.148329674923438</v>
      </c>
      <c r="EY183" s="646">
        <v>0.86712857331131921</v>
      </c>
      <c r="EZ183" s="646">
        <v>3600</v>
      </c>
      <c r="FA183" s="563" t="s">
        <v>1586</v>
      </c>
      <c r="FB183" s="563">
        <v>2</v>
      </c>
      <c r="FC183" s="563">
        <v>0</v>
      </c>
      <c r="FD183" s="563">
        <v>0</v>
      </c>
      <c r="FE183" s="563">
        <v>0</v>
      </c>
      <c r="FF183" s="650">
        <v>15187.890648623446</v>
      </c>
      <c r="FG183" s="563">
        <v>0</v>
      </c>
      <c r="FH183" s="563">
        <v>0</v>
      </c>
      <c r="FI183" s="563">
        <v>0</v>
      </c>
      <c r="FJ183" s="650">
        <v>17691.23774912376</v>
      </c>
      <c r="FK183" s="564">
        <v>4000</v>
      </c>
      <c r="FL183" s="565">
        <v>132.36577047124996</v>
      </c>
      <c r="FM183" s="649">
        <v>1.9342400000000002</v>
      </c>
      <c r="FN183" s="646">
        <v>24.611807551318297</v>
      </c>
      <c r="FO183" s="646">
        <v>0</v>
      </c>
      <c r="FP183" s="646">
        <v>0</v>
      </c>
      <c r="FQ183" s="646">
        <v>13.148329674923438</v>
      </c>
      <c r="FR183" s="646">
        <v>0.86712857331131921</v>
      </c>
      <c r="FS183" s="646">
        <v>3600</v>
      </c>
      <c r="FT183" s="563" t="s">
        <v>1586</v>
      </c>
      <c r="FU183" s="563">
        <v>2</v>
      </c>
      <c r="FV183" s="563">
        <v>0</v>
      </c>
      <c r="FW183" s="563">
        <v>0</v>
      </c>
      <c r="FX183" s="563">
        <v>0</v>
      </c>
      <c r="FY183" s="650">
        <v>15187.890648623446</v>
      </c>
      <c r="FZ183" s="563">
        <v>0</v>
      </c>
      <c r="GA183" s="563">
        <v>0</v>
      </c>
      <c r="GB183" s="563">
        <v>0</v>
      </c>
      <c r="GC183" s="650">
        <v>17691.23774912376</v>
      </c>
      <c r="GD183" s="564">
        <v>4000</v>
      </c>
      <c r="GE183" s="565">
        <v>132.36577047124996</v>
      </c>
      <c r="GF183" s="649">
        <v>1.9342400000000002</v>
      </c>
      <c r="GG183" s="646">
        <v>24.611807551318297</v>
      </c>
      <c r="GH183" s="646">
        <v>0</v>
      </c>
      <c r="GI183" s="646">
        <v>0</v>
      </c>
      <c r="GJ183" s="646">
        <v>13.148329674923438</v>
      </c>
      <c r="GK183" s="646">
        <v>0.86712857331131921</v>
      </c>
      <c r="GL183" s="646">
        <v>3600</v>
      </c>
      <c r="GM183" s="563" t="s">
        <v>1587</v>
      </c>
      <c r="GN183" s="563">
        <v>2</v>
      </c>
      <c r="GO183" s="563">
        <v>0</v>
      </c>
      <c r="GP183" s="563">
        <v>0</v>
      </c>
      <c r="GQ183" s="563">
        <v>0</v>
      </c>
      <c r="GR183" s="650">
        <v>17871.542489456388</v>
      </c>
      <c r="GS183" s="563">
        <v>0</v>
      </c>
      <c r="GT183" s="563">
        <v>0</v>
      </c>
      <c r="GU183" s="563">
        <v>0</v>
      </c>
      <c r="GV183" s="650">
        <v>20817.223039013388</v>
      </c>
      <c r="GW183" s="564">
        <v>4000</v>
      </c>
      <c r="GX183" s="565">
        <v>132.36577047124996</v>
      </c>
      <c r="GY183" s="649">
        <v>1.9342400000000002</v>
      </c>
      <c r="GZ183" s="646">
        <v>24.611807551318297</v>
      </c>
      <c r="HA183" s="646">
        <v>0</v>
      </c>
      <c r="HB183" s="646">
        <v>0</v>
      </c>
      <c r="HC183" s="646">
        <v>13.148329674923438</v>
      </c>
      <c r="HD183" s="646">
        <v>0.86712857331131921</v>
      </c>
      <c r="HE183" s="646">
        <v>3600</v>
      </c>
      <c r="HF183" s="563" t="s">
        <v>1587</v>
      </c>
      <c r="HG183" s="563">
        <v>2</v>
      </c>
      <c r="HH183" s="563">
        <v>0</v>
      </c>
      <c r="HI183" s="563">
        <v>0</v>
      </c>
      <c r="HJ183" s="563">
        <v>0</v>
      </c>
      <c r="HK183" s="650">
        <v>17871.542489456388</v>
      </c>
      <c r="HL183" s="563">
        <v>0</v>
      </c>
      <c r="HM183" s="563">
        <v>0</v>
      </c>
      <c r="HN183" s="563">
        <v>0</v>
      </c>
      <c r="HO183" s="650">
        <v>20817.223039013388</v>
      </c>
      <c r="HP183" s="564">
        <v>4000</v>
      </c>
      <c r="HQ183" s="565">
        <v>132.36577047124996</v>
      </c>
      <c r="HR183" s="649">
        <v>1.9342400000000002</v>
      </c>
      <c r="HS183" s="646">
        <v>24.611807551318297</v>
      </c>
      <c r="HT183" s="646">
        <v>0</v>
      </c>
      <c r="HU183" s="646">
        <v>0</v>
      </c>
      <c r="HV183" s="646">
        <v>13.148329674923438</v>
      </c>
      <c r="HW183" s="646">
        <v>0.86712857331131921</v>
      </c>
      <c r="HX183" s="646">
        <v>3600</v>
      </c>
      <c r="HY183" s="563" t="s">
        <v>68</v>
      </c>
      <c r="HZ183" s="563">
        <v>2</v>
      </c>
      <c r="IA183" s="563">
        <v>0</v>
      </c>
      <c r="IB183" s="563">
        <v>0</v>
      </c>
      <c r="IC183" s="563">
        <v>0</v>
      </c>
      <c r="ID183" s="650">
        <v>15761.218990741923</v>
      </c>
      <c r="IE183" s="563">
        <v>0</v>
      </c>
      <c r="IF183" s="563">
        <v>0</v>
      </c>
      <c r="IG183" s="563">
        <v>0</v>
      </c>
      <c r="IH183" s="650">
        <v>18359.06504939789</v>
      </c>
      <c r="II183" s="564">
        <v>4000</v>
      </c>
      <c r="IJ183" s="565">
        <v>132.36577047124996</v>
      </c>
      <c r="IK183" s="649">
        <v>1.9342400000000002</v>
      </c>
      <c r="IL183" s="646">
        <v>24.611807551318297</v>
      </c>
      <c r="IM183" s="646">
        <v>0</v>
      </c>
      <c r="IN183" s="646">
        <v>0</v>
      </c>
      <c r="IO183" s="646">
        <v>13.148329674923438</v>
      </c>
      <c r="IP183" s="646">
        <v>0.86712857331131921</v>
      </c>
      <c r="IQ183" s="646">
        <v>3600</v>
      </c>
      <c r="IR183" s="563" t="s">
        <v>68</v>
      </c>
      <c r="IS183" s="563">
        <v>2</v>
      </c>
      <c r="IT183" s="563">
        <v>0</v>
      </c>
      <c r="IU183" s="563">
        <v>0</v>
      </c>
      <c r="IV183" s="563">
        <v>0</v>
      </c>
      <c r="IW183" s="650">
        <v>15761.218990741923</v>
      </c>
      <c r="IX183" s="563">
        <v>0</v>
      </c>
      <c r="IY183" s="563">
        <v>0</v>
      </c>
      <c r="IZ183" s="563">
        <v>0</v>
      </c>
      <c r="JA183" s="650">
        <v>18359.06504939789</v>
      </c>
      <c r="JB183" s="564">
        <v>4000</v>
      </c>
      <c r="JC183" s="565">
        <v>132.36577047124996</v>
      </c>
      <c r="JD183" s="649">
        <v>1.9342400000000002</v>
      </c>
      <c r="JE183" s="646">
        <v>24.611807551318297</v>
      </c>
      <c r="JF183" s="646">
        <v>0</v>
      </c>
      <c r="JG183" s="646">
        <v>0</v>
      </c>
      <c r="JH183" s="646">
        <v>13.148329674923438</v>
      </c>
      <c r="JI183" s="646">
        <v>0.86712857331131921</v>
      </c>
      <c r="JJ183" s="646">
        <v>3600</v>
      </c>
      <c r="JK183" s="563" t="s">
        <v>67</v>
      </c>
      <c r="JL183" s="563">
        <v>2</v>
      </c>
      <c r="JM183" s="563">
        <v>0</v>
      </c>
      <c r="JN183" s="563">
        <v>0</v>
      </c>
      <c r="JO183" s="563">
        <v>0</v>
      </c>
      <c r="JP183" s="650">
        <v>21478.920939122778</v>
      </c>
      <c r="JQ183" s="563">
        <v>0</v>
      </c>
      <c r="JR183" s="563">
        <v>0</v>
      </c>
      <c r="JS183" s="563">
        <v>0</v>
      </c>
      <c r="JT183" s="650">
        <v>25019.188359977696</v>
      </c>
      <c r="JU183" s="564">
        <v>4000</v>
      </c>
      <c r="JV183" s="565">
        <v>132.36577047124996</v>
      </c>
      <c r="JW183" s="649">
        <v>1.9342400000000002</v>
      </c>
      <c r="JX183" s="646">
        <v>24.611807551318297</v>
      </c>
      <c r="JY183" s="646">
        <v>0</v>
      </c>
      <c r="JZ183" s="646">
        <v>0</v>
      </c>
      <c r="KA183" s="646">
        <v>13.148329674923438</v>
      </c>
      <c r="KB183" s="646">
        <v>0.86712857331131921</v>
      </c>
      <c r="KC183" s="646">
        <v>3600</v>
      </c>
      <c r="KD183" s="563" t="s">
        <v>67</v>
      </c>
      <c r="KE183" s="563">
        <v>2</v>
      </c>
      <c r="KF183" s="563">
        <v>0</v>
      </c>
      <c r="KG183" s="563">
        <v>0</v>
      </c>
      <c r="KH183" s="563">
        <v>0</v>
      </c>
      <c r="KI183" s="650">
        <v>21478.920939122778</v>
      </c>
      <c r="KJ183" s="563">
        <v>0</v>
      </c>
      <c r="KK183" s="563">
        <v>0</v>
      </c>
      <c r="KL183" s="563">
        <v>0</v>
      </c>
      <c r="KM183" s="650">
        <v>25019.188359977696</v>
      </c>
      <c r="KN183" s="564">
        <v>4000</v>
      </c>
      <c r="KO183" s="566">
        <v>132.36577047124996</v>
      </c>
    </row>
    <row r="184" spans="1:301" ht="15" customHeight="1">
      <c r="A184" s="663" t="s">
        <v>933</v>
      </c>
      <c r="B184" s="629" t="s">
        <v>382</v>
      </c>
      <c r="C184" s="629">
        <v>230</v>
      </c>
      <c r="D184" s="629">
        <v>632</v>
      </c>
      <c r="E184" s="629">
        <v>200</v>
      </c>
      <c r="F184" s="629">
        <v>230</v>
      </c>
      <c r="G184" s="629">
        <v>49</v>
      </c>
      <c r="H184" s="629">
        <v>35</v>
      </c>
      <c r="I184" s="629">
        <v>35</v>
      </c>
      <c r="J184" s="629">
        <v>42.34</v>
      </c>
      <c r="K184" s="629">
        <v>73.78</v>
      </c>
      <c r="L184" s="629">
        <v>16</v>
      </c>
      <c r="M184" s="629">
        <v>220</v>
      </c>
      <c r="N184" s="629">
        <v>2</v>
      </c>
      <c r="O184" s="623">
        <v>4.4319679068511419</v>
      </c>
      <c r="P184" s="629">
        <v>2</v>
      </c>
      <c r="Q184" s="623">
        <v>2.746724046721674</v>
      </c>
      <c r="R184" s="629">
        <v>13.000000000000002</v>
      </c>
      <c r="S184" s="629">
        <v>420.32131515901568</v>
      </c>
      <c r="T184" s="645">
        <v>14.160080393829929</v>
      </c>
      <c r="U184" s="645">
        <v>63.048197273852352</v>
      </c>
      <c r="V184" s="645">
        <v>60</v>
      </c>
      <c r="W184" s="793">
        <v>1.1028524152886769</v>
      </c>
      <c r="X184" s="646">
        <v>0</v>
      </c>
      <c r="Y184" s="646">
        <v>0</v>
      </c>
      <c r="Z184" s="646">
        <v>0</v>
      </c>
      <c r="AA184" s="646">
        <v>0</v>
      </c>
      <c r="AB184" s="647">
        <v>1.2339817364530112</v>
      </c>
      <c r="AC184" s="784">
        <v>4000</v>
      </c>
      <c r="AD184" s="631">
        <v>2.6354212106838908</v>
      </c>
      <c r="AE184" s="631">
        <v>0.91120696519473776</v>
      </c>
      <c r="AF184" s="631">
        <v>-9.9261997097223997E-2</v>
      </c>
      <c r="AG184" s="631">
        <v>0.70058170788089158</v>
      </c>
      <c r="AH184" s="629"/>
      <c r="AI184" s="648">
        <v>1.4181323783799995</v>
      </c>
      <c r="AJ184" s="649">
        <v>2.9013600000000004</v>
      </c>
      <c r="AK184" s="646">
        <v>25.342984762691422</v>
      </c>
      <c r="AL184" s="646">
        <v>0</v>
      </c>
      <c r="AM184" s="646">
        <v>0</v>
      </c>
      <c r="AN184" s="646">
        <v>13.16993633269346</v>
      </c>
      <c r="AO184" s="646">
        <v>0.91798757589447788</v>
      </c>
      <c r="AP184" s="801">
        <v>3600</v>
      </c>
      <c r="AQ184" s="563" t="s">
        <v>71</v>
      </c>
      <c r="AR184" s="563">
        <v>3</v>
      </c>
      <c r="AS184" s="563">
        <v>0</v>
      </c>
      <c r="AT184" s="563">
        <v>0</v>
      </c>
      <c r="AU184" s="563">
        <v>0</v>
      </c>
      <c r="AV184" s="650">
        <v>16353.996864763667</v>
      </c>
      <c r="AW184" s="563">
        <v>0</v>
      </c>
      <c r="AX184" s="563">
        <v>0</v>
      </c>
      <c r="AY184" s="563">
        <v>0</v>
      </c>
      <c r="AZ184" s="650">
        <v>18860.560520237905</v>
      </c>
      <c r="BA184" s="564">
        <v>4000</v>
      </c>
      <c r="BB184" s="565">
        <v>132.36577047124996</v>
      </c>
      <c r="BC184" s="649">
        <v>2.9013600000000004</v>
      </c>
      <c r="BD184" s="646">
        <v>25.342984762691422</v>
      </c>
      <c r="BE184" s="646">
        <v>0</v>
      </c>
      <c r="BF184" s="646">
        <v>0</v>
      </c>
      <c r="BG184" s="646">
        <v>13.16993633269346</v>
      </c>
      <c r="BH184" s="646">
        <v>0.91798757589447788</v>
      </c>
      <c r="BI184" s="646">
        <v>3600</v>
      </c>
      <c r="BJ184" s="563" t="s">
        <v>71</v>
      </c>
      <c r="BK184" s="563">
        <v>3</v>
      </c>
      <c r="BL184" s="563">
        <v>0</v>
      </c>
      <c r="BM184" s="563">
        <v>0</v>
      </c>
      <c r="BN184" s="563">
        <v>0</v>
      </c>
      <c r="BO184" s="650">
        <v>16353.996864763667</v>
      </c>
      <c r="BP184" s="563">
        <v>0</v>
      </c>
      <c r="BQ184" s="563">
        <v>0</v>
      </c>
      <c r="BR184" s="563">
        <v>0</v>
      </c>
      <c r="BS184" s="650">
        <v>18860.560520237905</v>
      </c>
      <c r="BT184" s="564">
        <v>4000</v>
      </c>
      <c r="BU184" s="565">
        <v>132.36577047124996</v>
      </c>
      <c r="BV184" s="649">
        <v>2.9013600000000004</v>
      </c>
      <c r="BW184" s="646">
        <v>25.342984762691422</v>
      </c>
      <c r="BX184" s="646">
        <v>0</v>
      </c>
      <c r="BY184" s="646">
        <v>0</v>
      </c>
      <c r="BZ184" s="646">
        <v>13.16993633269346</v>
      </c>
      <c r="CA184" s="646">
        <v>0.91798757589447788</v>
      </c>
      <c r="CB184" s="646">
        <v>3600</v>
      </c>
      <c r="CC184" s="563" t="s">
        <v>1584</v>
      </c>
      <c r="CD184" s="563">
        <v>3</v>
      </c>
      <c r="CE184" s="563">
        <v>0</v>
      </c>
      <c r="CF184" s="563">
        <v>0</v>
      </c>
      <c r="CG184" s="563">
        <v>0</v>
      </c>
      <c r="CH184" s="650">
        <v>16023.579029498742</v>
      </c>
      <c r="CI184" s="563">
        <v>0</v>
      </c>
      <c r="CJ184" s="563">
        <v>0</v>
      </c>
      <c r="CK184" s="563">
        <v>0</v>
      </c>
      <c r="CL184" s="650">
        <v>18479.499814985647</v>
      </c>
      <c r="CM184" s="564">
        <v>4000</v>
      </c>
      <c r="CN184" s="565">
        <v>132.36577047124996</v>
      </c>
      <c r="CO184" s="649">
        <v>2.9013600000000004</v>
      </c>
      <c r="CP184" s="646">
        <v>25.342984762691422</v>
      </c>
      <c r="CQ184" s="646">
        <v>0</v>
      </c>
      <c r="CR184" s="646">
        <v>0</v>
      </c>
      <c r="CS184" s="646">
        <v>13.16993633269346</v>
      </c>
      <c r="CT184" s="646">
        <v>0.91798757589447788</v>
      </c>
      <c r="CU184" s="646">
        <v>3600</v>
      </c>
      <c r="CV184" s="563" t="s">
        <v>1584</v>
      </c>
      <c r="CW184" s="563">
        <v>3</v>
      </c>
      <c r="CX184" s="563">
        <v>0</v>
      </c>
      <c r="CY184" s="563">
        <v>0</v>
      </c>
      <c r="CZ184" s="563">
        <v>0</v>
      </c>
      <c r="DA184" s="650">
        <v>16023.579029498742</v>
      </c>
      <c r="DB184" s="563">
        <v>0</v>
      </c>
      <c r="DC184" s="563">
        <v>0</v>
      </c>
      <c r="DD184" s="563">
        <v>0</v>
      </c>
      <c r="DE184" s="650">
        <v>18479.499814985647</v>
      </c>
      <c r="DF184" s="564">
        <v>4000</v>
      </c>
      <c r="DG184" s="565">
        <v>132.36577047124996</v>
      </c>
      <c r="DH184" s="649">
        <v>1.9342400000000002</v>
      </c>
      <c r="DI184" s="646">
        <v>24.375864762691421</v>
      </c>
      <c r="DJ184" s="646">
        <v>0</v>
      </c>
      <c r="DK184" s="646">
        <v>0</v>
      </c>
      <c r="DL184" s="646">
        <v>12.998139712770667</v>
      </c>
      <c r="DM184" s="646">
        <v>0.86330612753447789</v>
      </c>
      <c r="DN184" s="646">
        <v>3600</v>
      </c>
      <c r="DO184" s="563" t="s">
        <v>1585</v>
      </c>
      <c r="DP184" s="563">
        <v>2</v>
      </c>
      <c r="DQ184" s="563">
        <v>0</v>
      </c>
      <c r="DR184" s="563">
        <v>0</v>
      </c>
      <c r="DS184" s="563">
        <v>0</v>
      </c>
      <c r="DT184" s="650">
        <v>12378.316166199407</v>
      </c>
      <c r="DU184" s="563">
        <v>0</v>
      </c>
      <c r="DV184" s="563">
        <v>0</v>
      </c>
      <c r="DW184" s="563">
        <v>0</v>
      </c>
      <c r="DX184" s="650">
        <v>13861.726051070071</v>
      </c>
      <c r="DY184" s="564">
        <v>4000</v>
      </c>
      <c r="DZ184" s="565">
        <v>132.36577047124996</v>
      </c>
      <c r="EA184" s="649">
        <v>1.9342400000000002</v>
      </c>
      <c r="EB184" s="646">
        <v>24.375864762691421</v>
      </c>
      <c r="EC184" s="646">
        <v>0</v>
      </c>
      <c r="ED184" s="646">
        <v>0</v>
      </c>
      <c r="EE184" s="646">
        <v>12.998139712770667</v>
      </c>
      <c r="EF184" s="646">
        <v>0.86330612753447789</v>
      </c>
      <c r="EG184" s="646">
        <v>3600</v>
      </c>
      <c r="EH184" s="563" t="s">
        <v>1585</v>
      </c>
      <c r="EI184" s="563">
        <v>2</v>
      </c>
      <c r="EJ184" s="563">
        <v>0</v>
      </c>
      <c r="EK184" s="563">
        <v>0</v>
      </c>
      <c r="EL184" s="563">
        <v>0</v>
      </c>
      <c r="EM184" s="650">
        <v>12378.316166199407</v>
      </c>
      <c r="EN184" s="563">
        <v>0</v>
      </c>
      <c r="EO184" s="563">
        <v>0</v>
      </c>
      <c r="EP184" s="563">
        <v>0</v>
      </c>
      <c r="EQ184" s="650">
        <v>13861.726051070071</v>
      </c>
      <c r="ER184" s="564">
        <v>4000</v>
      </c>
      <c r="ES184" s="565">
        <v>132.36577047124996</v>
      </c>
      <c r="ET184" s="649">
        <v>1.9342400000000002</v>
      </c>
      <c r="EU184" s="646">
        <v>24.375864762691421</v>
      </c>
      <c r="EV184" s="646">
        <v>0</v>
      </c>
      <c r="EW184" s="646">
        <v>0</v>
      </c>
      <c r="EX184" s="646">
        <v>12.998139712770667</v>
      </c>
      <c r="EY184" s="646">
        <v>0.86330612753447789</v>
      </c>
      <c r="EZ184" s="646">
        <v>3600</v>
      </c>
      <c r="FA184" s="563" t="s">
        <v>1586</v>
      </c>
      <c r="FB184" s="563">
        <v>2</v>
      </c>
      <c r="FC184" s="563">
        <v>0</v>
      </c>
      <c r="FD184" s="563">
        <v>0</v>
      </c>
      <c r="FE184" s="563">
        <v>0</v>
      </c>
      <c r="FF184" s="650">
        <v>12992.485587130337</v>
      </c>
      <c r="FG184" s="563">
        <v>0</v>
      </c>
      <c r="FH184" s="563">
        <v>0</v>
      </c>
      <c r="FI184" s="563">
        <v>0</v>
      </c>
      <c r="FJ184" s="650">
        <v>14549.497162066247</v>
      </c>
      <c r="FK184" s="564">
        <v>4000</v>
      </c>
      <c r="FL184" s="565">
        <v>132.36577047124996</v>
      </c>
      <c r="FM184" s="649">
        <v>1.9342400000000002</v>
      </c>
      <c r="FN184" s="646">
        <v>24.375864762691421</v>
      </c>
      <c r="FO184" s="646">
        <v>0</v>
      </c>
      <c r="FP184" s="646">
        <v>0</v>
      </c>
      <c r="FQ184" s="646">
        <v>12.998139712770667</v>
      </c>
      <c r="FR184" s="646">
        <v>0.86330612753447789</v>
      </c>
      <c r="FS184" s="646">
        <v>3600</v>
      </c>
      <c r="FT184" s="563" t="s">
        <v>1586</v>
      </c>
      <c r="FU184" s="563">
        <v>2</v>
      </c>
      <c r="FV184" s="563">
        <v>0</v>
      </c>
      <c r="FW184" s="563">
        <v>0</v>
      </c>
      <c r="FX184" s="563">
        <v>0</v>
      </c>
      <c r="FY184" s="650">
        <v>12992.485587130337</v>
      </c>
      <c r="FZ184" s="563">
        <v>0</v>
      </c>
      <c r="GA184" s="563">
        <v>0</v>
      </c>
      <c r="GB184" s="563">
        <v>0</v>
      </c>
      <c r="GC184" s="650">
        <v>14549.497162066247</v>
      </c>
      <c r="GD184" s="564">
        <v>4000</v>
      </c>
      <c r="GE184" s="565">
        <v>132.36577047124996</v>
      </c>
      <c r="GF184" s="649">
        <v>1.9342400000000002</v>
      </c>
      <c r="GG184" s="646">
        <v>24.375864762691421</v>
      </c>
      <c r="GH184" s="646">
        <v>0</v>
      </c>
      <c r="GI184" s="646">
        <v>0</v>
      </c>
      <c r="GJ184" s="646">
        <v>12.998139712770667</v>
      </c>
      <c r="GK184" s="646">
        <v>0.86330612753447789</v>
      </c>
      <c r="GL184" s="646">
        <v>3600</v>
      </c>
      <c r="GM184" s="563" t="s">
        <v>1587</v>
      </c>
      <c r="GN184" s="563">
        <v>2</v>
      </c>
      <c r="GO184" s="563">
        <v>0</v>
      </c>
      <c r="GP184" s="563">
        <v>0</v>
      </c>
      <c r="GQ184" s="563">
        <v>0</v>
      </c>
      <c r="GR184" s="650">
        <v>15288.216355119368</v>
      </c>
      <c r="GS184" s="563">
        <v>0</v>
      </c>
      <c r="GT184" s="563">
        <v>0</v>
      </c>
      <c r="GU184" s="563">
        <v>0</v>
      </c>
      <c r="GV184" s="650">
        <v>17120.346909770458</v>
      </c>
      <c r="GW184" s="564">
        <v>4000</v>
      </c>
      <c r="GX184" s="565">
        <v>132.36577047124996</v>
      </c>
      <c r="GY184" s="649">
        <v>1.9342400000000002</v>
      </c>
      <c r="GZ184" s="646">
        <v>24.375864762691421</v>
      </c>
      <c r="HA184" s="646">
        <v>0</v>
      </c>
      <c r="HB184" s="646">
        <v>0</v>
      </c>
      <c r="HC184" s="646">
        <v>12.998139712770667</v>
      </c>
      <c r="HD184" s="646">
        <v>0.86330612753447789</v>
      </c>
      <c r="HE184" s="646">
        <v>3600</v>
      </c>
      <c r="HF184" s="563" t="s">
        <v>1587</v>
      </c>
      <c r="HG184" s="563">
        <v>2</v>
      </c>
      <c r="HH184" s="563">
        <v>0</v>
      </c>
      <c r="HI184" s="563">
        <v>0</v>
      </c>
      <c r="HJ184" s="563">
        <v>0</v>
      </c>
      <c r="HK184" s="650">
        <v>15288.216355119368</v>
      </c>
      <c r="HL184" s="563">
        <v>0</v>
      </c>
      <c r="HM184" s="563">
        <v>0</v>
      </c>
      <c r="HN184" s="563">
        <v>0</v>
      </c>
      <c r="HO184" s="650">
        <v>17120.346909770458</v>
      </c>
      <c r="HP184" s="564">
        <v>4000</v>
      </c>
      <c r="HQ184" s="565">
        <v>132.36577047124996</v>
      </c>
      <c r="HR184" s="649">
        <v>1.9342400000000002</v>
      </c>
      <c r="HS184" s="646">
        <v>24.375864762691421</v>
      </c>
      <c r="HT184" s="646">
        <v>0</v>
      </c>
      <c r="HU184" s="646">
        <v>0</v>
      </c>
      <c r="HV184" s="646">
        <v>12.998139712770667</v>
      </c>
      <c r="HW184" s="646">
        <v>0.86330612753447789</v>
      </c>
      <c r="HX184" s="646">
        <v>3600</v>
      </c>
      <c r="HY184" s="563" t="s">
        <v>68</v>
      </c>
      <c r="HZ184" s="563">
        <v>2</v>
      </c>
      <c r="IA184" s="563">
        <v>0</v>
      </c>
      <c r="IB184" s="563">
        <v>0</v>
      </c>
      <c r="IC184" s="563">
        <v>0</v>
      </c>
      <c r="ID184" s="650">
        <v>13482.939488465394</v>
      </c>
      <c r="IE184" s="563">
        <v>0</v>
      </c>
      <c r="IF184" s="563">
        <v>0</v>
      </c>
      <c r="IG184" s="563">
        <v>0</v>
      </c>
      <c r="IH184" s="650">
        <v>15098.72676080193</v>
      </c>
      <c r="II184" s="564">
        <v>4000</v>
      </c>
      <c r="IJ184" s="565">
        <v>132.36577047124996</v>
      </c>
      <c r="IK184" s="649">
        <v>1.9342400000000002</v>
      </c>
      <c r="IL184" s="646">
        <v>24.375864762691421</v>
      </c>
      <c r="IM184" s="646">
        <v>0</v>
      </c>
      <c r="IN184" s="646">
        <v>0</v>
      </c>
      <c r="IO184" s="646">
        <v>12.998139712770667</v>
      </c>
      <c r="IP184" s="646">
        <v>0.86330612753447789</v>
      </c>
      <c r="IQ184" s="646">
        <v>3600</v>
      </c>
      <c r="IR184" s="563" t="s">
        <v>68</v>
      </c>
      <c r="IS184" s="563">
        <v>2</v>
      </c>
      <c r="IT184" s="563">
        <v>0</v>
      </c>
      <c r="IU184" s="563">
        <v>0</v>
      </c>
      <c r="IV184" s="563">
        <v>0</v>
      </c>
      <c r="IW184" s="650">
        <v>13482.939488465394</v>
      </c>
      <c r="IX184" s="563">
        <v>0</v>
      </c>
      <c r="IY184" s="563">
        <v>0</v>
      </c>
      <c r="IZ184" s="563">
        <v>0</v>
      </c>
      <c r="JA184" s="650">
        <v>15098.72676080193</v>
      </c>
      <c r="JB184" s="564">
        <v>4000</v>
      </c>
      <c r="JC184" s="565">
        <v>132.36577047124996</v>
      </c>
      <c r="JD184" s="649">
        <v>1.9342400000000002</v>
      </c>
      <c r="JE184" s="646">
        <v>24.375864762691421</v>
      </c>
      <c r="JF184" s="646">
        <v>0</v>
      </c>
      <c r="JG184" s="646">
        <v>0</v>
      </c>
      <c r="JH184" s="646">
        <v>12.998139712770667</v>
      </c>
      <c r="JI184" s="646">
        <v>0.86330612753447789</v>
      </c>
      <c r="JJ184" s="646">
        <v>3600</v>
      </c>
      <c r="JK184" s="563" t="s">
        <v>67</v>
      </c>
      <c r="JL184" s="563">
        <v>2</v>
      </c>
      <c r="JM184" s="563">
        <v>0</v>
      </c>
      <c r="JN184" s="563">
        <v>0</v>
      </c>
      <c r="JO184" s="563">
        <v>0</v>
      </c>
      <c r="JP184" s="650">
        <v>18374.149326256687</v>
      </c>
      <c r="JQ184" s="563">
        <v>0</v>
      </c>
      <c r="JR184" s="563">
        <v>0</v>
      </c>
      <c r="JS184" s="563">
        <v>0</v>
      </c>
      <c r="JT184" s="650">
        <v>20576.096212302946</v>
      </c>
      <c r="JU184" s="564">
        <v>4000</v>
      </c>
      <c r="JV184" s="565">
        <v>132.36577047124996</v>
      </c>
      <c r="JW184" s="649">
        <v>1.9342400000000002</v>
      </c>
      <c r="JX184" s="646">
        <v>24.375864762691421</v>
      </c>
      <c r="JY184" s="646">
        <v>0</v>
      </c>
      <c r="JZ184" s="646">
        <v>0</v>
      </c>
      <c r="KA184" s="646">
        <v>12.998139712770667</v>
      </c>
      <c r="KB184" s="646">
        <v>0.86330612753447789</v>
      </c>
      <c r="KC184" s="646">
        <v>3600</v>
      </c>
      <c r="KD184" s="563" t="s">
        <v>67</v>
      </c>
      <c r="KE184" s="563">
        <v>2</v>
      </c>
      <c r="KF184" s="563">
        <v>0</v>
      </c>
      <c r="KG184" s="563">
        <v>0</v>
      </c>
      <c r="KH184" s="563">
        <v>0</v>
      </c>
      <c r="KI184" s="650">
        <v>18374.149326256687</v>
      </c>
      <c r="KJ184" s="563">
        <v>0</v>
      </c>
      <c r="KK184" s="563">
        <v>0</v>
      </c>
      <c r="KL184" s="563">
        <v>0</v>
      </c>
      <c r="KM184" s="650">
        <v>20576.096212302946</v>
      </c>
      <c r="KN184" s="564">
        <v>4000</v>
      </c>
      <c r="KO184" s="566">
        <v>132.36577047124996</v>
      </c>
    </row>
    <row r="185" spans="1:301" ht="15" customHeight="1">
      <c r="A185" s="663" t="s">
        <v>934</v>
      </c>
      <c r="B185" s="629" t="s">
        <v>382</v>
      </c>
      <c r="C185" s="629">
        <v>230</v>
      </c>
      <c r="D185" s="629">
        <v>632</v>
      </c>
      <c r="E185" s="629">
        <v>200</v>
      </c>
      <c r="F185" s="629">
        <v>230</v>
      </c>
      <c r="G185" s="629">
        <v>44</v>
      </c>
      <c r="H185" s="629">
        <v>30</v>
      </c>
      <c r="I185" s="629">
        <v>30</v>
      </c>
      <c r="J185" s="629">
        <v>51.62</v>
      </c>
      <c r="K185" s="629">
        <v>79.8</v>
      </c>
      <c r="L185" s="629">
        <v>16</v>
      </c>
      <c r="M185" s="629">
        <v>220</v>
      </c>
      <c r="N185" s="629">
        <v>2</v>
      </c>
      <c r="O185" s="623">
        <v>4.4319679068511419</v>
      </c>
      <c r="P185" s="629">
        <v>2</v>
      </c>
      <c r="Q185" s="623">
        <v>2.7554816535667719</v>
      </c>
      <c r="R185" s="629">
        <v>13.000000000000002</v>
      </c>
      <c r="S185" s="629">
        <v>419.4756048331044</v>
      </c>
      <c r="T185" s="645">
        <v>14.103155949336793</v>
      </c>
      <c r="U185" s="645">
        <v>62.92134072496566</v>
      </c>
      <c r="V185" s="645">
        <v>60</v>
      </c>
      <c r="W185" s="793">
        <v>1.0984188768233463</v>
      </c>
      <c r="X185" s="646">
        <v>0</v>
      </c>
      <c r="Y185" s="646">
        <v>0</v>
      </c>
      <c r="Z185" s="646">
        <v>0</v>
      </c>
      <c r="AA185" s="646">
        <v>0</v>
      </c>
      <c r="AB185" s="647">
        <v>1.1004232444672934</v>
      </c>
      <c r="AC185" s="784">
        <v>4000</v>
      </c>
      <c r="AD185" s="631">
        <v>4.1031442458994531</v>
      </c>
      <c r="AE185" s="631">
        <v>1.2625911239513072</v>
      </c>
      <c r="AF185" s="631">
        <v>-7.8709119344876177E-2</v>
      </c>
      <c r="AG185" s="631">
        <v>0.48369376420092686</v>
      </c>
      <c r="AH185" s="629"/>
      <c r="AI185" s="648">
        <v>1.3829323783799996</v>
      </c>
      <c r="AJ185" s="649">
        <v>2.4868800000000002</v>
      </c>
      <c r="AK185" s="646">
        <v>24.87590438657805</v>
      </c>
      <c r="AL185" s="646">
        <v>0</v>
      </c>
      <c r="AM185" s="646">
        <v>0</v>
      </c>
      <c r="AN185" s="646">
        <v>11.965024234257973</v>
      </c>
      <c r="AO185" s="646">
        <v>0.89242953671769476</v>
      </c>
      <c r="AP185" s="801">
        <v>3600</v>
      </c>
      <c r="AQ185" s="563" t="s">
        <v>71</v>
      </c>
      <c r="AR185" s="563">
        <v>3</v>
      </c>
      <c r="AS185" s="563">
        <v>0</v>
      </c>
      <c r="AT185" s="563">
        <v>0</v>
      </c>
      <c r="AU185" s="563">
        <v>0</v>
      </c>
      <c r="AV185" s="650">
        <v>15196.235565723591</v>
      </c>
      <c r="AW185" s="563">
        <v>0</v>
      </c>
      <c r="AX185" s="563">
        <v>0</v>
      </c>
      <c r="AY185" s="563">
        <v>0</v>
      </c>
      <c r="AZ185" s="650">
        <v>19416.989245302331</v>
      </c>
      <c r="BA185" s="564">
        <v>4000</v>
      </c>
      <c r="BB185" s="565">
        <v>132.36577047124996</v>
      </c>
      <c r="BC185" s="649">
        <v>2.4868800000000002</v>
      </c>
      <c r="BD185" s="646">
        <v>24.87590438657805</v>
      </c>
      <c r="BE185" s="646">
        <v>0</v>
      </c>
      <c r="BF185" s="646">
        <v>0</v>
      </c>
      <c r="BG185" s="646">
        <v>11.965024234257973</v>
      </c>
      <c r="BH185" s="646">
        <v>0.89242953671769476</v>
      </c>
      <c r="BI185" s="646">
        <v>3600</v>
      </c>
      <c r="BJ185" s="563" t="s">
        <v>71</v>
      </c>
      <c r="BK185" s="563">
        <v>3</v>
      </c>
      <c r="BL185" s="563">
        <v>0</v>
      </c>
      <c r="BM185" s="563">
        <v>0</v>
      </c>
      <c r="BN185" s="563">
        <v>0</v>
      </c>
      <c r="BO185" s="650">
        <v>15196.235565723591</v>
      </c>
      <c r="BP185" s="563">
        <v>0</v>
      </c>
      <c r="BQ185" s="563">
        <v>0</v>
      </c>
      <c r="BR185" s="563">
        <v>0</v>
      </c>
      <c r="BS185" s="650">
        <v>19416.989245302331</v>
      </c>
      <c r="BT185" s="564">
        <v>4000</v>
      </c>
      <c r="BU185" s="565">
        <v>132.36577047124996</v>
      </c>
      <c r="BV185" s="649">
        <v>2.4868800000000002</v>
      </c>
      <c r="BW185" s="646">
        <v>24.87590438657805</v>
      </c>
      <c r="BX185" s="646">
        <v>0</v>
      </c>
      <c r="BY185" s="646">
        <v>0</v>
      </c>
      <c r="BZ185" s="646">
        <v>11.965024234257973</v>
      </c>
      <c r="CA185" s="646">
        <v>0.89242953671769476</v>
      </c>
      <c r="CB185" s="646">
        <v>3600</v>
      </c>
      <c r="CC185" s="563" t="s">
        <v>1584</v>
      </c>
      <c r="CD185" s="563">
        <v>3</v>
      </c>
      <c r="CE185" s="563">
        <v>0</v>
      </c>
      <c r="CF185" s="563">
        <v>0</v>
      </c>
      <c r="CG185" s="563">
        <v>0</v>
      </c>
      <c r="CH185" s="650">
        <v>14889.209258862744</v>
      </c>
      <c r="CI185" s="563">
        <v>0</v>
      </c>
      <c r="CJ185" s="563">
        <v>0</v>
      </c>
      <c r="CK185" s="563">
        <v>0</v>
      </c>
      <c r="CL185" s="650">
        <v>19024.686396839745</v>
      </c>
      <c r="CM185" s="564">
        <v>4000</v>
      </c>
      <c r="CN185" s="565">
        <v>132.36577047124996</v>
      </c>
      <c r="CO185" s="649">
        <v>2.4868800000000002</v>
      </c>
      <c r="CP185" s="646">
        <v>24.87590438657805</v>
      </c>
      <c r="CQ185" s="646">
        <v>0</v>
      </c>
      <c r="CR185" s="646">
        <v>0</v>
      </c>
      <c r="CS185" s="646">
        <v>11.965024234257973</v>
      </c>
      <c r="CT185" s="646">
        <v>0.89242953671769476</v>
      </c>
      <c r="CU185" s="646">
        <v>3600</v>
      </c>
      <c r="CV185" s="563" t="s">
        <v>1584</v>
      </c>
      <c r="CW185" s="563">
        <v>3</v>
      </c>
      <c r="CX185" s="563">
        <v>0</v>
      </c>
      <c r="CY185" s="563">
        <v>0</v>
      </c>
      <c r="CZ185" s="563">
        <v>0</v>
      </c>
      <c r="DA185" s="650">
        <v>14889.209258862744</v>
      </c>
      <c r="DB185" s="563">
        <v>0</v>
      </c>
      <c r="DC185" s="563">
        <v>0</v>
      </c>
      <c r="DD185" s="563">
        <v>0</v>
      </c>
      <c r="DE185" s="650">
        <v>19024.686396839745</v>
      </c>
      <c r="DF185" s="564">
        <v>4000</v>
      </c>
      <c r="DG185" s="565">
        <v>132.36577047124996</v>
      </c>
      <c r="DH185" s="649">
        <v>1.6579200000000003</v>
      </c>
      <c r="DI185" s="646">
        <v>24.046944386578051</v>
      </c>
      <c r="DJ185" s="646">
        <v>0</v>
      </c>
      <c r="DK185" s="646">
        <v>0</v>
      </c>
      <c r="DL185" s="646">
        <v>11.860400816399787</v>
      </c>
      <c r="DM185" s="646">
        <v>0.84555972383769484</v>
      </c>
      <c r="DN185" s="646">
        <v>3600</v>
      </c>
      <c r="DO185" s="563" t="s">
        <v>1585</v>
      </c>
      <c r="DP185" s="563">
        <v>2</v>
      </c>
      <c r="DQ185" s="563">
        <v>0</v>
      </c>
      <c r="DR185" s="563">
        <v>0</v>
      </c>
      <c r="DS185" s="563">
        <v>0</v>
      </c>
      <c r="DT185" s="650">
        <v>11791.111952149718</v>
      </c>
      <c r="DU185" s="563">
        <v>0</v>
      </c>
      <c r="DV185" s="563">
        <v>0</v>
      </c>
      <c r="DW185" s="563">
        <v>0</v>
      </c>
      <c r="DX185" s="650">
        <v>14791.411110168012</v>
      </c>
      <c r="DY185" s="564">
        <v>4000</v>
      </c>
      <c r="DZ185" s="565">
        <v>132.36577047124996</v>
      </c>
      <c r="EA185" s="649">
        <v>1.6579200000000003</v>
      </c>
      <c r="EB185" s="646">
        <v>24.046944386578051</v>
      </c>
      <c r="EC185" s="646">
        <v>0</v>
      </c>
      <c r="ED185" s="646">
        <v>0</v>
      </c>
      <c r="EE185" s="646">
        <v>11.860400816399787</v>
      </c>
      <c r="EF185" s="646">
        <v>0.84555972383769484</v>
      </c>
      <c r="EG185" s="646">
        <v>3600</v>
      </c>
      <c r="EH185" s="563" t="s">
        <v>1585</v>
      </c>
      <c r="EI185" s="563">
        <v>2</v>
      </c>
      <c r="EJ185" s="563">
        <v>0</v>
      </c>
      <c r="EK185" s="563">
        <v>0</v>
      </c>
      <c r="EL185" s="563">
        <v>0</v>
      </c>
      <c r="EM185" s="650">
        <v>11791.111952149718</v>
      </c>
      <c r="EN185" s="563">
        <v>0</v>
      </c>
      <c r="EO185" s="563">
        <v>0</v>
      </c>
      <c r="EP185" s="563">
        <v>0</v>
      </c>
      <c r="EQ185" s="650">
        <v>14791.411110168012</v>
      </c>
      <c r="ER185" s="564">
        <v>4000</v>
      </c>
      <c r="ES185" s="565">
        <v>132.36577047124996</v>
      </c>
      <c r="ET185" s="649">
        <v>1.6579200000000003</v>
      </c>
      <c r="EU185" s="646">
        <v>24.046944386578051</v>
      </c>
      <c r="EV185" s="646">
        <v>0</v>
      </c>
      <c r="EW185" s="646">
        <v>0</v>
      </c>
      <c r="EX185" s="646">
        <v>11.860400816399787</v>
      </c>
      <c r="EY185" s="646">
        <v>0.84555972383769484</v>
      </c>
      <c r="EZ185" s="646">
        <v>3600</v>
      </c>
      <c r="FA185" s="563" t="s">
        <v>1586</v>
      </c>
      <c r="FB185" s="563">
        <v>2</v>
      </c>
      <c r="FC185" s="563">
        <v>0</v>
      </c>
      <c r="FD185" s="563">
        <v>0</v>
      </c>
      <c r="FE185" s="563">
        <v>0</v>
      </c>
      <c r="FF185" s="650">
        <v>12376.146322136008</v>
      </c>
      <c r="FG185" s="563">
        <v>0</v>
      </c>
      <c r="FH185" s="563">
        <v>0</v>
      </c>
      <c r="FI185" s="563">
        <v>0</v>
      </c>
      <c r="FJ185" s="650">
        <v>15525.309992238048</v>
      </c>
      <c r="FK185" s="564">
        <v>4000</v>
      </c>
      <c r="FL185" s="565">
        <v>132.36577047124996</v>
      </c>
      <c r="FM185" s="649">
        <v>1.6579200000000003</v>
      </c>
      <c r="FN185" s="646">
        <v>24.046944386578051</v>
      </c>
      <c r="FO185" s="646">
        <v>0</v>
      </c>
      <c r="FP185" s="646">
        <v>0</v>
      </c>
      <c r="FQ185" s="646">
        <v>11.860400816399787</v>
      </c>
      <c r="FR185" s="646">
        <v>0.84555972383769484</v>
      </c>
      <c r="FS185" s="646">
        <v>3600</v>
      </c>
      <c r="FT185" s="563" t="s">
        <v>1586</v>
      </c>
      <c r="FU185" s="563">
        <v>2</v>
      </c>
      <c r="FV185" s="563">
        <v>0</v>
      </c>
      <c r="FW185" s="563">
        <v>0</v>
      </c>
      <c r="FX185" s="563">
        <v>0</v>
      </c>
      <c r="FY185" s="650">
        <v>12376.146322136008</v>
      </c>
      <c r="FZ185" s="563">
        <v>0</v>
      </c>
      <c r="GA185" s="563">
        <v>0</v>
      </c>
      <c r="GB185" s="563">
        <v>0</v>
      </c>
      <c r="GC185" s="650">
        <v>15525.309992238048</v>
      </c>
      <c r="GD185" s="564">
        <v>4000</v>
      </c>
      <c r="GE185" s="565">
        <v>132.36577047124996</v>
      </c>
      <c r="GF185" s="649">
        <v>1.6579200000000003</v>
      </c>
      <c r="GG185" s="646">
        <v>24.046944386578051</v>
      </c>
      <c r="GH185" s="646">
        <v>0</v>
      </c>
      <c r="GI185" s="646">
        <v>0</v>
      </c>
      <c r="GJ185" s="646">
        <v>11.860400816399787</v>
      </c>
      <c r="GK185" s="646">
        <v>0.84555972383769484</v>
      </c>
      <c r="GL185" s="646">
        <v>3600</v>
      </c>
      <c r="GM185" s="563" t="s">
        <v>1587</v>
      </c>
      <c r="GN185" s="563">
        <v>2</v>
      </c>
      <c r="GO185" s="563">
        <v>0</v>
      </c>
      <c r="GP185" s="563">
        <v>0</v>
      </c>
      <c r="GQ185" s="563">
        <v>0</v>
      </c>
      <c r="GR185" s="650">
        <v>14562.971907611789</v>
      </c>
      <c r="GS185" s="563">
        <v>0</v>
      </c>
      <c r="GT185" s="563">
        <v>0</v>
      </c>
      <c r="GU185" s="563">
        <v>0</v>
      </c>
      <c r="GV185" s="650">
        <v>18268.582754999738</v>
      </c>
      <c r="GW185" s="564">
        <v>4000</v>
      </c>
      <c r="GX185" s="565">
        <v>132.36577047124996</v>
      </c>
      <c r="GY185" s="649">
        <v>1.6579200000000003</v>
      </c>
      <c r="GZ185" s="646">
        <v>24.046944386578051</v>
      </c>
      <c r="HA185" s="646">
        <v>0</v>
      </c>
      <c r="HB185" s="646">
        <v>0</v>
      </c>
      <c r="HC185" s="646">
        <v>11.860400816399787</v>
      </c>
      <c r="HD185" s="646">
        <v>0.84555972383769484</v>
      </c>
      <c r="HE185" s="646">
        <v>3600</v>
      </c>
      <c r="HF185" s="563" t="s">
        <v>1587</v>
      </c>
      <c r="HG185" s="563">
        <v>2</v>
      </c>
      <c r="HH185" s="563">
        <v>0</v>
      </c>
      <c r="HI185" s="563">
        <v>0</v>
      </c>
      <c r="HJ185" s="563">
        <v>0</v>
      </c>
      <c r="HK185" s="650">
        <v>14562.971907611789</v>
      </c>
      <c r="HL185" s="563">
        <v>0</v>
      </c>
      <c r="HM185" s="563">
        <v>0</v>
      </c>
      <c r="HN185" s="563">
        <v>0</v>
      </c>
      <c r="HO185" s="650">
        <v>18268.582754999738</v>
      </c>
      <c r="HP185" s="564">
        <v>4000</v>
      </c>
      <c r="HQ185" s="565">
        <v>132.36577047124996</v>
      </c>
      <c r="HR185" s="649">
        <v>1.6579200000000003</v>
      </c>
      <c r="HS185" s="646">
        <v>24.046944386578051</v>
      </c>
      <c r="HT185" s="646">
        <v>0</v>
      </c>
      <c r="HU185" s="646">
        <v>0</v>
      </c>
      <c r="HV185" s="646">
        <v>11.860400816399787</v>
      </c>
      <c r="HW185" s="646">
        <v>0.84555972383769484</v>
      </c>
      <c r="HX185" s="646">
        <v>3600</v>
      </c>
      <c r="HY185" s="563" t="s">
        <v>68</v>
      </c>
      <c r="HZ185" s="563">
        <v>2</v>
      </c>
      <c r="IA185" s="563">
        <v>0</v>
      </c>
      <c r="IB185" s="563">
        <v>0</v>
      </c>
      <c r="IC185" s="563">
        <v>0</v>
      </c>
      <c r="ID185" s="650">
        <v>12843.334005853563</v>
      </c>
      <c r="IE185" s="563">
        <v>0</v>
      </c>
      <c r="IF185" s="563">
        <v>0</v>
      </c>
      <c r="IG185" s="563">
        <v>0</v>
      </c>
      <c r="IH185" s="650">
        <v>16111.375591777505</v>
      </c>
      <c r="II185" s="564">
        <v>4000</v>
      </c>
      <c r="IJ185" s="565">
        <v>132.36577047124996</v>
      </c>
      <c r="IK185" s="649">
        <v>1.6579200000000003</v>
      </c>
      <c r="IL185" s="646">
        <v>24.046944386578051</v>
      </c>
      <c r="IM185" s="646">
        <v>0</v>
      </c>
      <c r="IN185" s="646">
        <v>0</v>
      </c>
      <c r="IO185" s="646">
        <v>11.860400816399787</v>
      </c>
      <c r="IP185" s="646">
        <v>0.84555972383769484</v>
      </c>
      <c r="IQ185" s="646">
        <v>3600</v>
      </c>
      <c r="IR185" s="563" t="s">
        <v>68</v>
      </c>
      <c r="IS185" s="563">
        <v>2</v>
      </c>
      <c r="IT185" s="563">
        <v>0</v>
      </c>
      <c r="IU185" s="563">
        <v>0</v>
      </c>
      <c r="IV185" s="563">
        <v>0</v>
      </c>
      <c r="IW185" s="650">
        <v>12843.334005853563</v>
      </c>
      <c r="IX185" s="563">
        <v>0</v>
      </c>
      <c r="IY185" s="563">
        <v>0</v>
      </c>
      <c r="IZ185" s="563">
        <v>0</v>
      </c>
      <c r="JA185" s="650">
        <v>16111.375591777505</v>
      </c>
      <c r="JB185" s="564">
        <v>4000</v>
      </c>
      <c r="JC185" s="565">
        <v>132.36577047124996</v>
      </c>
      <c r="JD185" s="649">
        <v>1.6579200000000003</v>
      </c>
      <c r="JE185" s="646">
        <v>24.046944386578051</v>
      </c>
      <c r="JF185" s="646">
        <v>0</v>
      </c>
      <c r="JG185" s="646">
        <v>0</v>
      </c>
      <c r="JH185" s="646">
        <v>11.860400816399787</v>
      </c>
      <c r="JI185" s="646">
        <v>0.84555972383769484</v>
      </c>
      <c r="JJ185" s="646">
        <v>3600</v>
      </c>
      <c r="JK185" s="563" t="s">
        <v>67</v>
      </c>
      <c r="JL185" s="563">
        <v>2</v>
      </c>
      <c r="JM185" s="563">
        <v>0</v>
      </c>
      <c r="JN185" s="563">
        <v>0</v>
      </c>
      <c r="JO185" s="563">
        <v>0</v>
      </c>
      <c r="JP185" s="650">
        <v>17502.513978678642</v>
      </c>
      <c r="JQ185" s="563">
        <v>0</v>
      </c>
      <c r="JR185" s="563">
        <v>0</v>
      </c>
      <c r="JS185" s="563">
        <v>0</v>
      </c>
      <c r="JT185" s="650">
        <v>21956.103951069577</v>
      </c>
      <c r="JU185" s="564">
        <v>4000</v>
      </c>
      <c r="JV185" s="565">
        <v>132.36577047124996</v>
      </c>
      <c r="JW185" s="649">
        <v>1.6579200000000003</v>
      </c>
      <c r="JX185" s="646">
        <v>24.046944386578051</v>
      </c>
      <c r="JY185" s="646">
        <v>0</v>
      </c>
      <c r="JZ185" s="646">
        <v>0</v>
      </c>
      <c r="KA185" s="646">
        <v>11.860400816399787</v>
      </c>
      <c r="KB185" s="646">
        <v>0.84555972383769484</v>
      </c>
      <c r="KC185" s="646">
        <v>3600</v>
      </c>
      <c r="KD185" s="563" t="s">
        <v>67</v>
      </c>
      <c r="KE185" s="563">
        <v>2</v>
      </c>
      <c r="KF185" s="563">
        <v>0</v>
      </c>
      <c r="KG185" s="563">
        <v>0</v>
      </c>
      <c r="KH185" s="563">
        <v>0</v>
      </c>
      <c r="KI185" s="650">
        <v>17502.513978678642</v>
      </c>
      <c r="KJ185" s="563">
        <v>0</v>
      </c>
      <c r="KK185" s="563">
        <v>0</v>
      </c>
      <c r="KL185" s="563">
        <v>0</v>
      </c>
      <c r="KM185" s="650">
        <v>21956.103951069577</v>
      </c>
      <c r="KN185" s="564">
        <v>4000</v>
      </c>
      <c r="KO185" s="566">
        <v>132.36577047124996</v>
      </c>
    </row>
    <row r="186" spans="1:301" ht="15" customHeight="1">
      <c r="A186" s="663" t="s">
        <v>935</v>
      </c>
      <c r="B186" s="629" t="s">
        <v>382</v>
      </c>
      <c r="C186" s="629">
        <v>190</v>
      </c>
      <c r="D186" s="629">
        <v>702</v>
      </c>
      <c r="E186" s="629">
        <v>160</v>
      </c>
      <c r="F186" s="629">
        <v>190</v>
      </c>
      <c r="G186" s="629">
        <v>34</v>
      </c>
      <c r="H186" s="629">
        <v>20</v>
      </c>
      <c r="I186" s="629">
        <v>20</v>
      </c>
      <c r="J186" s="629">
        <v>51.62</v>
      </c>
      <c r="K186" s="629">
        <v>79.8</v>
      </c>
      <c r="L186" s="629">
        <v>16</v>
      </c>
      <c r="M186" s="629">
        <v>270</v>
      </c>
      <c r="N186" s="629">
        <v>2</v>
      </c>
      <c r="O186" s="623">
        <v>5.7609762674514808</v>
      </c>
      <c r="P186" s="629">
        <v>2</v>
      </c>
      <c r="Q186" s="623">
        <v>3.7092203840257509</v>
      </c>
      <c r="R186" s="629">
        <v>13.000000000000002</v>
      </c>
      <c r="S186" s="629">
        <v>438.17053996915155</v>
      </c>
      <c r="T186" s="645">
        <v>15.388250236179813</v>
      </c>
      <c r="U186" s="645">
        <v>65.725580995372724</v>
      </c>
      <c r="V186" s="645">
        <v>47.5</v>
      </c>
      <c r="W186" s="793">
        <v>0.94881879461060592</v>
      </c>
      <c r="X186" s="646">
        <v>0</v>
      </c>
      <c r="Y186" s="646">
        <v>0</v>
      </c>
      <c r="Z186" s="646">
        <v>0</v>
      </c>
      <c r="AA186" s="646">
        <v>0</v>
      </c>
      <c r="AB186" s="647">
        <v>0.9680401390946648</v>
      </c>
      <c r="AC186" s="784">
        <v>4000</v>
      </c>
      <c r="AD186" s="631">
        <v>2.7886362388683139</v>
      </c>
      <c r="AE186" s="631">
        <v>1.2625911239513072</v>
      </c>
      <c r="AF186" s="631">
        <v>-5.9992942510175812E-2</v>
      </c>
      <c r="AG186" s="631">
        <v>0.66071877531676104</v>
      </c>
      <c r="AH186" s="629"/>
      <c r="AI186" s="648">
        <v>1.6642836786623685</v>
      </c>
      <c r="AJ186" s="649">
        <v>2.0347200000000001</v>
      </c>
      <c r="AK186" s="646">
        <v>27.841985682267651</v>
      </c>
      <c r="AL186" s="646">
        <v>0</v>
      </c>
      <c r="AM186" s="646">
        <v>0</v>
      </c>
      <c r="AN186" s="646">
        <v>9.4042868072799184</v>
      </c>
      <c r="AO186" s="646">
        <v>1.1946490084661014</v>
      </c>
      <c r="AP186" s="801">
        <v>3600</v>
      </c>
      <c r="AQ186" s="563" t="s">
        <v>71</v>
      </c>
      <c r="AR186" s="563">
        <v>3</v>
      </c>
      <c r="AS186" s="563">
        <v>0</v>
      </c>
      <c r="AT186" s="563">
        <v>0</v>
      </c>
      <c r="AU186" s="563">
        <v>0</v>
      </c>
      <c r="AV186" s="650">
        <v>44018.197116946161</v>
      </c>
      <c r="AW186" s="563">
        <v>0</v>
      </c>
      <c r="AX186" s="563">
        <v>0</v>
      </c>
      <c r="AY186" s="563">
        <v>0</v>
      </c>
      <c r="AZ186" s="650">
        <v>82539.793482822119</v>
      </c>
      <c r="BA186" s="564">
        <v>4000</v>
      </c>
      <c r="BB186" s="565">
        <v>147.02653618800232</v>
      </c>
      <c r="BC186" s="649">
        <v>2.0347200000000001</v>
      </c>
      <c r="BD186" s="646">
        <v>27.841985682267651</v>
      </c>
      <c r="BE186" s="646">
        <v>0</v>
      </c>
      <c r="BF186" s="646">
        <v>0</v>
      </c>
      <c r="BG186" s="646">
        <v>9.4042868072799184</v>
      </c>
      <c r="BH186" s="646">
        <v>1.1946490084661014</v>
      </c>
      <c r="BI186" s="646">
        <v>3600</v>
      </c>
      <c r="BJ186" s="563" t="s">
        <v>71</v>
      </c>
      <c r="BK186" s="563">
        <v>3</v>
      </c>
      <c r="BL186" s="563">
        <v>0</v>
      </c>
      <c r="BM186" s="563">
        <v>0</v>
      </c>
      <c r="BN186" s="563">
        <v>0</v>
      </c>
      <c r="BO186" s="650">
        <v>44018.197116946161</v>
      </c>
      <c r="BP186" s="563">
        <v>0</v>
      </c>
      <c r="BQ186" s="563">
        <v>0</v>
      </c>
      <c r="BR186" s="563">
        <v>0</v>
      </c>
      <c r="BS186" s="650">
        <v>82539.793482822119</v>
      </c>
      <c r="BT186" s="564">
        <v>4000</v>
      </c>
      <c r="BU186" s="565">
        <v>147.02653618800232</v>
      </c>
      <c r="BV186" s="649">
        <v>2.0347200000000001</v>
      </c>
      <c r="BW186" s="646">
        <v>27.841985682267651</v>
      </c>
      <c r="BX186" s="646">
        <v>0</v>
      </c>
      <c r="BY186" s="646">
        <v>0</v>
      </c>
      <c r="BZ186" s="646">
        <v>9.4042868072799184</v>
      </c>
      <c r="CA186" s="646">
        <v>1.1946490084661014</v>
      </c>
      <c r="CB186" s="646">
        <v>3600</v>
      </c>
      <c r="CC186" s="563" t="s">
        <v>1584</v>
      </c>
      <c r="CD186" s="563">
        <v>3</v>
      </c>
      <c r="CE186" s="563">
        <v>0</v>
      </c>
      <c r="CF186" s="563">
        <v>0</v>
      </c>
      <c r="CG186" s="563">
        <v>0</v>
      </c>
      <c r="CH186" s="650">
        <v>43128.848933507055</v>
      </c>
      <c r="CI186" s="563">
        <v>0</v>
      </c>
      <c r="CJ186" s="563">
        <v>0</v>
      </c>
      <c r="CK186" s="563">
        <v>0</v>
      </c>
      <c r="CL186" s="650">
        <v>80872.151003045859</v>
      </c>
      <c r="CM186" s="564">
        <v>4000</v>
      </c>
      <c r="CN186" s="565">
        <v>147.02653618800232</v>
      </c>
      <c r="CO186" s="649">
        <v>2.0347200000000001</v>
      </c>
      <c r="CP186" s="646">
        <v>27.841985682267651</v>
      </c>
      <c r="CQ186" s="646">
        <v>0</v>
      </c>
      <c r="CR186" s="646">
        <v>0</v>
      </c>
      <c r="CS186" s="646">
        <v>9.4042868072799184</v>
      </c>
      <c r="CT186" s="646">
        <v>1.1946490084661014</v>
      </c>
      <c r="CU186" s="646">
        <v>3600</v>
      </c>
      <c r="CV186" s="563" t="s">
        <v>1584</v>
      </c>
      <c r="CW186" s="563">
        <v>3</v>
      </c>
      <c r="CX186" s="563">
        <v>0</v>
      </c>
      <c r="CY186" s="563">
        <v>0</v>
      </c>
      <c r="CZ186" s="563">
        <v>0</v>
      </c>
      <c r="DA186" s="650">
        <v>43128.848933507055</v>
      </c>
      <c r="DB186" s="563">
        <v>0</v>
      </c>
      <c r="DC186" s="563">
        <v>0</v>
      </c>
      <c r="DD186" s="563">
        <v>0</v>
      </c>
      <c r="DE186" s="650">
        <v>80872.151003045859</v>
      </c>
      <c r="DF186" s="564">
        <v>4000</v>
      </c>
      <c r="DG186" s="565">
        <v>147.02653618800232</v>
      </c>
      <c r="DH186" s="649">
        <v>1.3564800000000001</v>
      </c>
      <c r="DI186" s="646">
        <v>27.163745682267653</v>
      </c>
      <c r="DJ186" s="646">
        <v>0</v>
      </c>
      <c r="DK186" s="646">
        <v>0</v>
      </c>
      <c r="DL186" s="646">
        <v>9.3894126982171819</v>
      </c>
      <c r="DM186" s="646">
        <v>1.1498085273461016</v>
      </c>
      <c r="DN186" s="646">
        <v>3600</v>
      </c>
      <c r="DO186" s="563" t="s">
        <v>1585</v>
      </c>
      <c r="DP186" s="563">
        <v>2</v>
      </c>
      <c r="DQ186" s="563">
        <v>0</v>
      </c>
      <c r="DR186" s="563">
        <v>0</v>
      </c>
      <c r="DS186" s="563">
        <v>0</v>
      </c>
      <c r="DT186" s="650">
        <v>26848.6234276736</v>
      </c>
      <c r="DU186" s="563">
        <v>0</v>
      </c>
      <c r="DV186" s="563">
        <v>0</v>
      </c>
      <c r="DW186" s="563">
        <v>0</v>
      </c>
      <c r="DX186" s="650">
        <v>35694.306926137739</v>
      </c>
      <c r="DY186" s="564">
        <v>4000</v>
      </c>
      <c r="DZ186" s="565">
        <v>147.02653618800232</v>
      </c>
      <c r="EA186" s="649">
        <v>1.3564800000000001</v>
      </c>
      <c r="EB186" s="646">
        <v>27.163745682267653</v>
      </c>
      <c r="EC186" s="646">
        <v>0</v>
      </c>
      <c r="ED186" s="646">
        <v>0</v>
      </c>
      <c r="EE186" s="646">
        <v>9.3894126982171819</v>
      </c>
      <c r="EF186" s="646">
        <v>1.1498085273461016</v>
      </c>
      <c r="EG186" s="646">
        <v>3600</v>
      </c>
      <c r="EH186" s="563" t="s">
        <v>1585</v>
      </c>
      <c r="EI186" s="563">
        <v>2</v>
      </c>
      <c r="EJ186" s="563">
        <v>0</v>
      </c>
      <c r="EK186" s="563">
        <v>0</v>
      </c>
      <c r="EL186" s="563">
        <v>0</v>
      </c>
      <c r="EM186" s="650">
        <v>26848.6234276736</v>
      </c>
      <c r="EN186" s="563">
        <v>0</v>
      </c>
      <c r="EO186" s="563">
        <v>0</v>
      </c>
      <c r="EP186" s="563">
        <v>0</v>
      </c>
      <c r="EQ186" s="650">
        <v>35694.306926137739</v>
      </c>
      <c r="ER186" s="564">
        <v>4000</v>
      </c>
      <c r="ES186" s="565">
        <v>147.02653618800232</v>
      </c>
      <c r="ET186" s="649">
        <v>1.3564800000000001</v>
      </c>
      <c r="EU186" s="646">
        <v>27.163745682267653</v>
      </c>
      <c r="EV186" s="646">
        <v>0</v>
      </c>
      <c r="EW186" s="646">
        <v>0</v>
      </c>
      <c r="EX186" s="646">
        <v>9.3894126982171819</v>
      </c>
      <c r="EY186" s="646">
        <v>1.1498085273461016</v>
      </c>
      <c r="EZ186" s="646">
        <v>3600</v>
      </c>
      <c r="FA186" s="563" t="s">
        <v>1586</v>
      </c>
      <c r="FB186" s="563">
        <v>2</v>
      </c>
      <c r="FC186" s="563">
        <v>0</v>
      </c>
      <c r="FD186" s="563">
        <v>0</v>
      </c>
      <c r="FE186" s="563">
        <v>0</v>
      </c>
      <c r="FF186" s="650">
        <v>28180.759663488439</v>
      </c>
      <c r="FG186" s="563">
        <v>0</v>
      </c>
      <c r="FH186" s="563">
        <v>0</v>
      </c>
      <c r="FI186" s="563">
        <v>0</v>
      </c>
      <c r="FJ186" s="650">
        <v>37465.335515245744</v>
      </c>
      <c r="FK186" s="564">
        <v>4000</v>
      </c>
      <c r="FL186" s="565">
        <v>147.02653618800232</v>
      </c>
      <c r="FM186" s="649">
        <v>1.3564800000000001</v>
      </c>
      <c r="FN186" s="646">
        <v>27.163745682267653</v>
      </c>
      <c r="FO186" s="646">
        <v>0</v>
      </c>
      <c r="FP186" s="646">
        <v>0</v>
      </c>
      <c r="FQ186" s="646">
        <v>9.3894126982171819</v>
      </c>
      <c r="FR186" s="646">
        <v>1.1498085273461016</v>
      </c>
      <c r="FS186" s="646">
        <v>3600</v>
      </c>
      <c r="FT186" s="563" t="s">
        <v>1586</v>
      </c>
      <c r="FU186" s="563">
        <v>2</v>
      </c>
      <c r="FV186" s="563">
        <v>0</v>
      </c>
      <c r="FW186" s="563">
        <v>0</v>
      </c>
      <c r="FX186" s="563">
        <v>0</v>
      </c>
      <c r="FY186" s="650">
        <v>28180.759663488439</v>
      </c>
      <c r="FZ186" s="563">
        <v>0</v>
      </c>
      <c r="GA186" s="563">
        <v>0</v>
      </c>
      <c r="GB186" s="563">
        <v>0</v>
      </c>
      <c r="GC186" s="650">
        <v>37465.335515245744</v>
      </c>
      <c r="GD186" s="564">
        <v>4000</v>
      </c>
      <c r="GE186" s="565">
        <v>147.02653618800232</v>
      </c>
      <c r="GF186" s="649">
        <v>1.3564800000000001</v>
      </c>
      <c r="GG186" s="646">
        <v>27.163745682267653</v>
      </c>
      <c r="GH186" s="646">
        <v>0</v>
      </c>
      <c r="GI186" s="646">
        <v>0</v>
      </c>
      <c r="GJ186" s="646">
        <v>9.3894126982171819</v>
      </c>
      <c r="GK186" s="646">
        <v>1.1498085273461016</v>
      </c>
      <c r="GL186" s="646">
        <v>3600</v>
      </c>
      <c r="GM186" s="563" t="s">
        <v>1587</v>
      </c>
      <c r="GN186" s="563">
        <v>2</v>
      </c>
      <c r="GO186" s="563">
        <v>0</v>
      </c>
      <c r="GP186" s="563">
        <v>0</v>
      </c>
      <c r="GQ186" s="563">
        <v>0</v>
      </c>
      <c r="GR186" s="650">
        <v>33160.210022768297</v>
      </c>
      <c r="GS186" s="563">
        <v>0</v>
      </c>
      <c r="GT186" s="563">
        <v>0</v>
      </c>
      <c r="GU186" s="563">
        <v>0</v>
      </c>
      <c r="GV186" s="650">
        <v>44085.340817432028</v>
      </c>
      <c r="GW186" s="564">
        <v>4000</v>
      </c>
      <c r="GX186" s="565">
        <v>147.02653618800232</v>
      </c>
      <c r="GY186" s="649">
        <v>1.3564800000000001</v>
      </c>
      <c r="GZ186" s="646">
        <v>27.163745682267653</v>
      </c>
      <c r="HA186" s="646">
        <v>0</v>
      </c>
      <c r="HB186" s="646">
        <v>0</v>
      </c>
      <c r="HC186" s="646">
        <v>9.3894126982171819</v>
      </c>
      <c r="HD186" s="646">
        <v>1.1498085273461016</v>
      </c>
      <c r="HE186" s="646">
        <v>3600</v>
      </c>
      <c r="HF186" s="563" t="s">
        <v>1587</v>
      </c>
      <c r="HG186" s="563">
        <v>2</v>
      </c>
      <c r="HH186" s="563">
        <v>0</v>
      </c>
      <c r="HI186" s="563">
        <v>0</v>
      </c>
      <c r="HJ186" s="563">
        <v>0</v>
      </c>
      <c r="HK186" s="650">
        <v>33160.210022768297</v>
      </c>
      <c r="HL186" s="563">
        <v>0</v>
      </c>
      <c r="HM186" s="563">
        <v>0</v>
      </c>
      <c r="HN186" s="563">
        <v>0</v>
      </c>
      <c r="HO186" s="650">
        <v>44085.340817432028</v>
      </c>
      <c r="HP186" s="564">
        <v>4000</v>
      </c>
      <c r="HQ186" s="565">
        <v>147.02653618800232</v>
      </c>
      <c r="HR186" s="649">
        <v>1.3564800000000001</v>
      </c>
      <c r="HS186" s="646">
        <v>27.163745682267653</v>
      </c>
      <c r="HT186" s="646">
        <v>0</v>
      </c>
      <c r="HU186" s="646">
        <v>0</v>
      </c>
      <c r="HV186" s="646">
        <v>9.3894126982171819</v>
      </c>
      <c r="HW186" s="646">
        <v>1.1498085273461016</v>
      </c>
      <c r="HX186" s="646">
        <v>3600</v>
      </c>
      <c r="HY186" s="563" t="s">
        <v>68</v>
      </c>
      <c r="HZ186" s="563">
        <v>2</v>
      </c>
      <c r="IA186" s="563">
        <v>0</v>
      </c>
      <c r="IB186" s="563">
        <v>0</v>
      </c>
      <c r="IC186" s="563">
        <v>0</v>
      </c>
      <c r="ID186" s="650">
        <v>29244.556380972146</v>
      </c>
      <c r="IE186" s="563">
        <v>0</v>
      </c>
      <c r="IF186" s="563">
        <v>0</v>
      </c>
      <c r="IG186" s="563">
        <v>0</v>
      </c>
      <c r="IH186" s="650">
        <v>38879.616088816714</v>
      </c>
      <c r="II186" s="564">
        <v>4000</v>
      </c>
      <c r="IJ186" s="565">
        <v>147.02653618800232</v>
      </c>
      <c r="IK186" s="649">
        <v>1.3564800000000001</v>
      </c>
      <c r="IL186" s="646">
        <v>27.163745682267653</v>
      </c>
      <c r="IM186" s="646">
        <v>0</v>
      </c>
      <c r="IN186" s="646">
        <v>0</v>
      </c>
      <c r="IO186" s="646">
        <v>9.3894126982171819</v>
      </c>
      <c r="IP186" s="646">
        <v>1.1498085273461016</v>
      </c>
      <c r="IQ186" s="646">
        <v>3600</v>
      </c>
      <c r="IR186" s="563" t="s">
        <v>68</v>
      </c>
      <c r="IS186" s="563">
        <v>2</v>
      </c>
      <c r="IT186" s="563">
        <v>0</v>
      </c>
      <c r="IU186" s="563">
        <v>0</v>
      </c>
      <c r="IV186" s="563">
        <v>0</v>
      </c>
      <c r="IW186" s="650">
        <v>29244.556380972146</v>
      </c>
      <c r="IX186" s="563">
        <v>0</v>
      </c>
      <c r="IY186" s="563">
        <v>0</v>
      </c>
      <c r="IZ186" s="563">
        <v>0</v>
      </c>
      <c r="JA186" s="650">
        <v>38879.616088816714</v>
      </c>
      <c r="JB186" s="564">
        <v>4000</v>
      </c>
      <c r="JC186" s="565">
        <v>147.02653618800232</v>
      </c>
      <c r="JD186" s="649">
        <v>1.3564800000000001</v>
      </c>
      <c r="JE186" s="646">
        <v>27.163745682267653</v>
      </c>
      <c r="JF186" s="646">
        <v>0</v>
      </c>
      <c r="JG186" s="646">
        <v>0</v>
      </c>
      <c r="JH186" s="646">
        <v>9.3894126982171819</v>
      </c>
      <c r="JI186" s="646">
        <v>1.1498085273461016</v>
      </c>
      <c r="JJ186" s="646">
        <v>3600</v>
      </c>
      <c r="JK186" s="563" t="s">
        <v>67</v>
      </c>
      <c r="JL186" s="563">
        <v>2</v>
      </c>
      <c r="JM186" s="563">
        <v>0</v>
      </c>
      <c r="JN186" s="563">
        <v>0</v>
      </c>
      <c r="JO186" s="563">
        <v>0</v>
      </c>
      <c r="JP186" s="650">
        <v>39853.612514082015</v>
      </c>
      <c r="JQ186" s="563">
        <v>0</v>
      </c>
      <c r="JR186" s="563">
        <v>0</v>
      </c>
      <c r="JS186" s="563">
        <v>0</v>
      </c>
      <c r="JT186" s="650">
        <v>52983.985604518923</v>
      </c>
      <c r="JU186" s="564">
        <v>4000</v>
      </c>
      <c r="JV186" s="565">
        <v>147.02653618800232</v>
      </c>
      <c r="JW186" s="649">
        <v>1.3564800000000001</v>
      </c>
      <c r="JX186" s="646">
        <v>27.163745682267653</v>
      </c>
      <c r="JY186" s="646">
        <v>0</v>
      </c>
      <c r="JZ186" s="646">
        <v>0</v>
      </c>
      <c r="KA186" s="646">
        <v>9.3894126982171819</v>
      </c>
      <c r="KB186" s="646">
        <v>1.1498085273461016</v>
      </c>
      <c r="KC186" s="646">
        <v>3600</v>
      </c>
      <c r="KD186" s="563" t="s">
        <v>67</v>
      </c>
      <c r="KE186" s="563">
        <v>2</v>
      </c>
      <c r="KF186" s="563">
        <v>0</v>
      </c>
      <c r="KG186" s="563">
        <v>0</v>
      </c>
      <c r="KH186" s="563">
        <v>0</v>
      </c>
      <c r="KI186" s="650">
        <v>39853.612514082015</v>
      </c>
      <c r="KJ186" s="563">
        <v>0</v>
      </c>
      <c r="KK186" s="563">
        <v>0</v>
      </c>
      <c r="KL186" s="563">
        <v>0</v>
      </c>
      <c r="KM186" s="650">
        <v>52983.985604518923</v>
      </c>
      <c r="KN186" s="564">
        <v>4000</v>
      </c>
      <c r="KO186" s="566">
        <v>147.02653618800232</v>
      </c>
    </row>
    <row r="187" spans="1:301" ht="15" customHeight="1">
      <c r="A187" s="663" t="s">
        <v>936</v>
      </c>
      <c r="B187" s="629" t="s">
        <v>382</v>
      </c>
      <c r="C187" s="629">
        <v>190</v>
      </c>
      <c r="D187" s="629">
        <v>702</v>
      </c>
      <c r="E187" s="629">
        <v>160</v>
      </c>
      <c r="F187" s="629">
        <v>190</v>
      </c>
      <c r="G187" s="629">
        <v>34</v>
      </c>
      <c r="H187" s="629">
        <v>20</v>
      </c>
      <c r="I187" s="629">
        <v>20</v>
      </c>
      <c r="J187" s="629">
        <v>51.62</v>
      </c>
      <c r="K187" s="629">
        <v>79.8</v>
      </c>
      <c r="L187" s="629">
        <v>16</v>
      </c>
      <c r="M187" s="629">
        <v>270</v>
      </c>
      <c r="N187" s="629">
        <v>2</v>
      </c>
      <c r="O187" s="623">
        <v>5.7609762674514808</v>
      </c>
      <c r="P187" s="629">
        <v>2</v>
      </c>
      <c r="Q187" s="623">
        <v>3.7092203840257509</v>
      </c>
      <c r="R187" s="629">
        <v>13.000000000000002</v>
      </c>
      <c r="S187" s="629">
        <v>438.17053996915155</v>
      </c>
      <c r="T187" s="645">
        <v>15.388250236179813</v>
      </c>
      <c r="U187" s="645">
        <v>65.725580995372724</v>
      </c>
      <c r="V187" s="645">
        <v>47.5</v>
      </c>
      <c r="W187" s="793">
        <v>0.94881879461060592</v>
      </c>
      <c r="X187" s="646">
        <v>0</v>
      </c>
      <c r="Y187" s="646">
        <v>0</v>
      </c>
      <c r="Z187" s="646">
        <v>0</v>
      </c>
      <c r="AA187" s="646">
        <v>0</v>
      </c>
      <c r="AB187" s="647">
        <v>0.9680401390946648</v>
      </c>
      <c r="AC187" s="784">
        <v>4000</v>
      </c>
      <c r="AD187" s="631">
        <v>2.7886362388683139</v>
      </c>
      <c r="AE187" s="631">
        <v>1.2625911239513072</v>
      </c>
      <c r="AF187" s="631">
        <v>-5.9992942510175812E-2</v>
      </c>
      <c r="AG187" s="631">
        <v>0.66071877531676104</v>
      </c>
      <c r="AH187" s="629"/>
      <c r="AI187" s="648">
        <v>1.6642836786623685</v>
      </c>
      <c r="AJ187" s="649">
        <v>2.0347200000000001</v>
      </c>
      <c r="AK187" s="646">
        <v>27.841985682267651</v>
      </c>
      <c r="AL187" s="646">
        <v>0</v>
      </c>
      <c r="AM187" s="646">
        <v>0</v>
      </c>
      <c r="AN187" s="646">
        <v>9.4042868072799184</v>
      </c>
      <c r="AO187" s="646">
        <v>1.1946490084661014</v>
      </c>
      <c r="AP187" s="801">
        <v>3600</v>
      </c>
      <c r="AQ187" s="563" t="s">
        <v>71</v>
      </c>
      <c r="AR187" s="563">
        <v>3</v>
      </c>
      <c r="AS187" s="563">
        <v>0</v>
      </c>
      <c r="AT187" s="563">
        <v>0</v>
      </c>
      <c r="AU187" s="563">
        <v>0</v>
      </c>
      <c r="AV187" s="650">
        <v>44018.197116946161</v>
      </c>
      <c r="AW187" s="563">
        <v>0</v>
      </c>
      <c r="AX187" s="563">
        <v>0</v>
      </c>
      <c r="AY187" s="563">
        <v>0</v>
      </c>
      <c r="AZ187" s="650">
        <v>82539.793482822119</v>
      </c>
      <c r="BA187" s="564">
        <v>4000</v>
      </c>
      <c r="BB187" s="565">
        <v>147.02653618800232</v>
      </c>
      <c r="BC187" s="649">
        <v>2.0347200000000001</v>
      </c>
      <c r="BD187" s="646">
        <v>27.841985682267651</v>
      </c>
      <c r="BE187" s="646">
        <v>0</v>
      </c>
      <c r="BF187" s="646">
        <v>0</v>
      </c>
      <c r="BG187" s="646">
        <v>9.4042868072799184</v>
      </c>
      <c r="BH187" s="646">
        <v>1.1946490084661014</v>
      </c>
      <c r="BI187" s="646">
        <v>3600</v>
      </c>
      <c r="BJ187" s="563" t="s">
        <v>71</v>
      </c>
      <c r="BK187" s="563">
        <v>3</v>
      </c>
      <c r="BL187" s="563">
        <v>0</v>
      </c>
      <c r="BM187" s="563">
        <v>0</v>
      </c>
      <c r="BN187" s="563">
        <v>0</v>
      </c>
      <c r="BO187" s="650">
        <v>44018.197116946161</v>
      </c>
      <c r="BP187" s="563">
        <v>0</v>
      </c>
      <c r="BQ187" s="563">
        <v>0</v>
      </c>
      <c r="BR187" s="563">
        <v>0</v>
      </c>
      <c r="BS187" s="650">
        <v>82539.793482822119</v>
      </c>
      <c r="BT187" s="564">
        <v>4000</v>
      </c>
      <c r="BU187" s="565">
        <v>147.02653618800232</v>
      </c>
      <c r="BV187" s="649">
        <v>2.0347200000000001</v>
      </c>
      <c r="BW187" s="646">
        <v>27.841985682267651</v>
      </c>
      <c r="BX187" s="646">
        <v>0</v>
      </c>
      <c r="BY187" s="646">
        <v>0</v>
      </c>
      <c r="BZ187" s="646">
        <v>9.4042868072799184</v>
      </c>
      <c r="CA187" s="646">
        <v>1.1946490084661014</v>
      </c>
      <c r="CB187" s="646">
        <v>3600</v>
      </c>
      <c r="CC187" s="563" t="s">
        <v>1584</v>
      </c>
      <c r="CD187" s="563">
        <v>3</v>
      </c>
      <c r="CE187" s="563">
        <v>0</v>
      </c>
      <c r="CF187" s="563">
        <v>0</v>
      </c>
      <c r="CG187" s="563">
        <v>0</v>
      </c>
      <c r="CH187" s="650">
        <v>43128.848933507055</v>
      </c>
      <c r="CI187" s="563">
        <v>0</v>
      </c>
      <c r="CJ187" s="563">
        <v>0</v>
      </c>
      <c r="CK187" s="563">
        <v>0</v>
      </c>
      <c r="CL187" s="650">
        <v>80872.151003045859</v>
      </c>
      <c r="CM187" s="564">
        <v>4000</v>
      </c>
      <c r="CN187" s="565">
        <v>147.02653618800232</v>
      </c>
      <c r="CO187" s="649">
        <v>2.0347200000000001</v>
      </c>
      <c r="CP187" s="646">
        <v>27.841985682267651</v>
      </c>
      <c r="CQ187" s="646">
        <v>0</v>
      </c>
      <c r="CR187" s="646">
        <v>0</v>
      </c>
      <c r="CS187" s="646">
        <v>9.4042868072799184</v>
      </c>
      <c r="CT187" s="646">
        <v>1.1946490084661014</v>
      </c>
      <c r="CU187" s="646">
        <v>3600</v>
      </c>
      <c r="CV187" s="563" t="s">
        <v>1584</v>
      </c>
      <c r="CW187" s="563">
        <v>3</v>
      </c>
      <c r="CX187" s="563">
        <v>0</v>
      </c>
      <c r="CY187" s="563">
        <v>0</v>
      </c>
      <c r="CZ187" s="563">
        <v>0</v>
      </c>
      <c r="DA187" s="650">
        <v>43128.848933507055</v>
      </c>
      <c r="DB187" s="563">
        <v>0</v>
      </c>
      <c r="DC187" s="563">
        <v>0</v>
      </c>
      <c r="DD187" s="563">
        <v>0</v>
      </c>
      <c r="DE187" s="650">
        <v>80872.151003045859</v>
      </c>
      <c r="DF187" s="564">
        <v>4000</v>
      </c>
      <c r="DG187" s="565">
        <v>147.02653618800232</v>
      </c>
      <c r="DH187" s="649">
        <v>1.3564800000000001</v>
      </c>
      <c r="DI187" s="646">
        <v>27.163745682267653</v>
      </c>
      <c r="DJ187" s="646">
        <v>0</v>
      </c>
      <c r="DK187" s="646">
        <v>0</v>
      </c>
      <c r="DL187" s="646">
        <v>9.3894126982171819</v>
      </c>
      <c r="DM187" s="646">
        <v>1.1498085273461016</v>
      </c>
      <c r="DN187" s="646">
        <v>3600</v>
      </c>
      <c r="DO187" s="563" t="s">
        <v>1585</v>
      </c>
      <c r="DP187" s="563">
        <v>2</v>
      </c>
      <c r="DQ187" s="563">
        <v>0</v>
      </c>
      <c r="DR187" s="563">
        <v>0</v>
      </c>
      <c r="DS187" s="563">
        <v>0</v>
      </c>
      <c r="DT187" s="650">
        <v>26848.6234276736</v>
      </c>
      <c r="DU187" s="563">
        <v>0</v>
      </c>
      <c r="DV187" s="563">
        <v>0</v>
      </c>
      <c r="DW187" s="563">
        <v>0</v>
      </c>
      <c r="DX187" s="650">
        <v>35694.306926137739</v>
      </c>
      <c r="DY187" s="564">
        <v>4000</v>
      </c>
      <c r="DZ187" s="565">
        <v>147.02653618800232</v>
      </c>
      <c r="EA187" s="649">
        <v>1.3564800000000001</v>
      </c>
      <c r="EB187" s="646">
        <v>27.163745682267653</v>
      </c>
      <c r="EC187" s="646">
        <v>0</v>
      </c>
      <c r="ED187" s="646">
        <v>0</v>
      </c>
      <c r="EE187" s="646">
        <v>9.3894126982171819</v>
      </c>
      <c r="EF187" s="646">
        <v>1.1498085273461016</v>
      </c>
      <c r="EG187" s="646">
        <v>3600</v>
      </c>
      <c r="EH187" s="563" t="s">
        <v>1585</v>
      </c>
      <c r="EI187" s="563">
        <v>2</v>
      </c>
      <c r="EJ187" s="563">
        <v>0</v>
      </c>
      <c r="EK187" s="563">
        <v>0</v>
      </c>
      <c r="EL187" s="563">
        <v>0</v>
      </c>
      <c r="EM187" s="650">
        <v>26848.6234276736</v>
      </c>
      <c r="EN187" s="563">
        <v>0</v>
      </c>
      <c r="EO187" s="563">
        <v>0</v>
      </c>
      <c r="EP187" s="563">
        <v>0</v>
      </c>
      <c r="EQ187" s="650">
        <v>35694.306926137739</v>
      </c>
      <c r="ER187" s="564">
        <v>4000</v>
      </c>
      <c r="ES187" s="565">
        <v>147.02653618800232</v>
      </c>
      <c r="ET187" s="649">
        <v>1.3564800000000001</v>
      </c>
      <c r="EU187" s="646">
        <v>27.163745682267653</v>
      </c>
      <c r="EV187" s="646">
        <v>0</v>
      </c>
      <c r="EW187" s="646">
        <v>0</v>
      </c>
      <c r="EX187" s="646">
        <v>9.3894126982171819</v>
      </c>
      <c r="EY187" s="646">
        <v>1.1498085273461016</v>
      </c>
      <c r="EZ187" s="646">
        <v>3600</v>
      </c>
      <c r="FA187" s="563" t="s">
        <v>1586</v>
      </c>
      <c r="FB187" s="563">
        <v>2</v>
      </c>
      <c r="FC187" s="563">
        <v>0</v>
      </c>
      <c r="FD187" s="563">
        <v>0</v>
      </c>
      <c r="FE187" s="563">
        <v>0</v>
      </c>
      <c r="FF187" s="650">
        <v>28180.759663488439</v>
      </c>
      <c r="FG187" s="563">
        <v>0</v>
      </c>
      <c r="FH187" s="563">
        <v>0</v>
      </c>
      <c r="FI187" s="563">
        <v>0</v>
      </c>
      <c r="FJ187" s="650">
        <v>37465.335515245744</v>
      </c>
      <c r="FK187" s="564">
        <v>4000</v>
      </c>
      <c r="FL187" s="565">
        <v>147.02653618800232</v>
      </c>
      <c r="FM187" s="649">
        <v>1.3564800000000001</v>
      </c>
      <c r="FN187" s="646">
        <v>27.163745682267653</v>
      </c>
      <c r="FO187" s="646">
        <v>0</v>
      </c>
      <c r="FP187" s="646">
        <v>0</v>
      </c>
      <c r="FQ187" s="646">
        <v>9.3894126982171819</v>
      </c>
      <c r="FR187" s="646">
        <v>1.1498085273461016</v>
      </c>
      <c r="FS187" s="646">
        <v>3600</v>
      </c>
      <c r="FT187" s="563" t="s">
        <v>1586</v>
      </c>
      <c r="FU187" s="563">
        <v>2</v>
      </c>
      <c r="FV187" s="563">
        <v>0</v>
      </c>
      <c r="FW187" s="563">
        <v>0</v>
      </c>
      <c r="FX187" s="563">
        <v>0</v>
      </c>
      <c r="FY187" s="650">
        <v>28180.759663488439</v>
      </c>
      <c r="FZ187" s="563">
        <v>0</v>
      </c>
      <c r="GA187" s="563">
        <v>0</v>
      </c>
      <c r="GB187" s="563">
        <v>0</v>
      </c>
      <c r="GC187" s="650">
        <v>37465.335515245744</v>
      </c>
      <c r="GD187" s="564">
        <v>4000</v>
      </c>
      <c r="GE187" s="565">
        <v>147.02653618800232</v>
      </c>
      <c r="GF187" s="649">
        <v>1.3564800000000001</v>
      </c>
      <c r="GG187" s="646">
        <v>27.163745682267653</v>
      </c>
      <c r="GH187" s="646">
        <v>0</v>
      </c>
      <c r="GI187" s="646">
        <v>0</v>
      </c>
      <c r="GJ187" s="646">
        <v>9.3894126982171819</v>
      </c>
      <c r="GK187" s="646">
        <v>1.1498085273461016</v>
      </c>
      <c r="GL187" s="646">
        <v>3600</v>
      </c>
      <c r="GM187" s="563" t="s">
        <v>1587</v>
      </c>
      <c r="GN187" s="563">
        <v>2</v>
      </c>
      <c r="GO187" s="563">
        <v>0</v>
      </c>
      <c r="GP187" s="563">
        <v>0</v>
      </c>
      <c r="GQ187" s="563">
        <v>0</v>
      </c>
      <c r="GR187" s="650">
        <v>33160.210022768297</v>
      </c>
      <c r="GS187" s="563">
        <v>0</v>
      </c>
      <c r="GT187" s="563">
        <v>0</v>
      </c>
      <c r="GU187" s="563">
        <v>0</v>
      </c>
      <c r="GV187" s="650">
        <v>44085.340817432028</v>
      </c>
      <c r="GW187" s="564">
        <v>4000</v>
      </c>
      <c r="GX187" s="565">
        <v>147.02653618800232</v>
      </c>
      <c r="GY187" s="649">
        <v>1.3564800000000001</v>
      </c>
      <c r="GZ187" s="646">
        <v>27.163745682267653</v>
      </c>
      <c r="HA187" s="646">
        <v>0</v>
      </c>
      <c r="HB187" s="646">
        <v>0</v>
      </c>
      <c r="HC187" s="646">
        <v>9.3894126982171819</v>
      </c>
      <c r="HD187" s="646">
        <v>1.1498085273461016</v>
      </c>
      <c r="HE187" s="646">
        <v>3600</v>
      </c>
      <c r="HF187" s="563" t="s">
        <v>1587</v>
      </c>
      <c r="HG187" s="563">
        <v>2</v>
      </c>
      <c r="HH187" s="563">
        <v>0</v>
      </c>
      <c r="HI187" s="563">
        <v>0</v>
      </c>
      <c r="HJ187" s="563">
        <v>0</v>
      </c>
      <c r="HK187" s="650">
        <v>33160.210022768297</v>
      </c>
      <c r="HL187" s="563">
        <v>0</v>
      </c>
      <c r="HM187" s="563">
        <v>0</v>
      </c>
      <c r="HN187" s="563">
        <v>0</v>
      </c>
      <c r="HO187" s="650">
        <v>44085.340817432028</v>
      </c>
      <c r="HP187" s="564">
        <v>4000</v>
      </c>
      <c r="HQ187" s="565">
        <v>147.02653618800232</v>
      </c>
      <c r="HR187" s="649">
        <v>1.3564800000000001</v>
      </c>
      <c r="HS187" s="646">
        <v>27.163745682267653</v>
      </c>
      <c r="HT187" s="646">
        <v>0</v>
      </c>
      <c r="HU187" s="646">
        <v>0</v>
      </c>
      <c r="HV187" s="646">
        <v>9.3894126982171819</v>
      </c>
      <c r="HW187" s="646">
        <v>1.1498085273461016</v>
      </c>
      <c r="HX187" s="646">
        <v>3600</v>
      </c>
      <c r="HY187" s="563" t="s">
        <v>68</v>
      </c>
      <c r="HZ187" s="563">
        <v>2</v>
      </c>
      <c r="IA187" s="563">
        <v>0</v>
      </c>
      <c r="IB187" s="563">
        <v>0</v>
      </c>
      <c r="IC187" s="563">
        <v>0</v>
      </c>
      <c r="ID187" s="650">
        <v>29244.556380972146</v>
      </c>
      <c r="IE187" s="563">
        <v>0</v>
      </c>
      <c r="IF187" s="563">
        <v>0</v>
      </c>
      <c r="IG187" s="563">
        <v>0</v>
      </c>
      <c r="IH187" s="650">
        <v>38879.616088816714</v>
      </c>
      <c r="II187" s="564">
        <v>4000</v>
      </c>
      <c r="IJ187" s="565">
        <v>147.02653618800232</v>
      </c>
      <c r="IK187" s="649">
        <v>1.3564800000000001</v>
      </c>
      <c r="IL187" s="646">
        <v>27.163745682267653</v>
      </c>
      <c r="IM187" s="646">
        <v>0</v>
      </c>
      <c r="IN187" s="646">
        <v>0</v>
      </c>
      <c r="IO187" s="646">
        <v>9.3894126982171819</v>
      </c>
      <c r="IP187" s="646">
        <v>1.1498085273461016</v>
      </c>
      <c r="IQ187" s="646">
        <v>3600</v>
      </c>
      <c r="IR187" s="563" t="s">
        <v>68</v>
      </c>
      <c r="IS187" s="563">
        <v>2</v>
      </c>
      <c r="IT187" s="563">
        <v>0</v>
      </c>
      <c r="IU187" s="563">
        <v>0</v>
      </c>
      <c r="IV187" s="563">
        <v>0</v>
      </c>
      <c r="IW187" s="650">
        <v>29244.556380972146</v>
      </c>
      <c r="IX187" s="563">
        <v>0</v>
      </c>
      <c r="IY187" s="563">
        <v>0</v>
      </c>
      <c r="IZ187" s="563">
        <v>0</v>
      </c>
      <c r="JA187" s="650">
        <v>38879.616088816714</v>
      </c>
      <c r="JB187" s="564">
        <v>4000</v>
      </c>
      <c r="JC187" s="565">
        <v>147.02653618800232</v>
      </c>
      <c r="JD187" s="649">
        <v>1.3564800000000001</v>
      </c>
      <c r="JE187" s="646">
        <v>27.163745682267653</v>
      </c>
      <c r="JF187" s="646">
        <v>0</v>
      </c>
      <c r="JG187" s="646">
        <v>0</v>
      </c>
      <c r="JH187" s="646">
        <v>9.3894126982171819</v>
      </c>
      <c r="JI187" s="646">
        <v>1.1498085273461016</v>
      </c>
      <c r="JJ187" s="646">
        <v>3600</v>
      </c>
      <c r="JK187" s="563" t="s">
        <v>67</v>
      </c>
      <c r="JL187" s="563">
        <v>2</v>
      </c>
      <c r="JM187" s="563">
        <v>0</v>
      </c>
      <c r="JN187" s="563">
        <v>0</v>
      </c>
      <c r="JO187" s="563">
        <v>0</v>
      </c>
      <c r="JP187" s="650">
        <v>39853.612514082015</v>
      </c>
      <c r="JQ187" s="563">
        <v>0</v>
      </c>
      <c r="JR187" s="563">
        <v>0</v>
      </c>
      <c r="JS187" s="563">
        <v>0</v>
      </c>
      <c r="JT187" s="650">
        <v>52983.985604518923</v>
      </c>
      <c r="JU187" s="564">
        <v>4000</v>
      </c>
      <c r="JV187" s="565">
        <v>147.02653618800232</v>
      </c>
      <c r="JW187" s="649">
        <v>1.3564800000000001</v>
      </c>
      <c r="JX187" s="646">
        <v>27.163745682267653</v>
      </c>
      <c r="JY187" s="646">
        <v>0</v>
      </c>
      <c r="JZ187" s="646">
        <v>0</v>
      </c>
      <c r="KA187" s="646">
        <v>9.3894126982171819</v>
      </c>
      <c r="KB187" s="646">
        <v>1.1498085273461016</v>
      </c>
      <c r="KC187" s="646">
        <v>3600</v>
      </c>
      <c r="KD187" s="563" t="s">
        <v>67</v>
      </c>
      <c r="KE187" s="563">
        <v>2</v>
      </c>
      <c r="KF187" s="563">
        <v>0</v>
      </c>
      <c r="KG187" s="563">
        <v>0</v>
      </c>
      <c r="KH187" s="563">
        <v>0</v>
      </c>
      <c r="KI187" s="650">
        <v>39853.612514082015</v>
      </c>
      <c r="KJ187" s="563">
        <v>0</v>
      </c>
      <c r="KK187" s="563">
        <v>0</v>
      </c>
      <c r="KL187" s="563">
        <v>0</v>
      </c>
      <c r="KM187" s="650">
        <v>52983.985604518923</v>
      </c>
      <c r="KN187" s="564">
        <v>4000</v>
      </c>
      <c r="KO187" s="566">
        <v>147.02653618800232</v>
      </c>
    </row>
    <row r="188" spans="1:301" ht="15" customHeight="1">
      <c r="A188" s="663" t="s">
        <v>937</v>
      </c>
      <c r="B188" s="629" t="s">
        <v>382</v>
      </c>
      <c r="C188" s="629">
        <v>190</v>
      </c>
      <c r="D188" s="629">
        <v>702</v>
      </c>
      <c r="E188" s="629">
        <v>160</v>
      </c>
      <c r="F188" s="629">
        <v>190</v>
      </c>
      <c r="G188" s="629">
        <v>39</v>
      </c>
      <c r="H188" s="629">
        <v>25</v>
      </c>
      <c r="I188" s="629">
        <v>25</v>
      </c>
      <c r="J188" s="629">
        <v>51.62</v>
      </c>
      <c r="K188" s="629">
        <v>79.8</v>
      </c>
      <c r="L188" s="629">
        <v>16</v>
      </c>
      <c r="M188" s="629">
        <v>270</v>
      </c>
      <c r="N188" s="629">
        <v>2</v>
      </c>
      <c r="O188" s="623">
        <v>5.7609762674514808</v>
      </c>
      <c r="P188" s="629">
        <v>2</v>
      </c>
      <c r="Q188" s="623">
        <v>4.8531247129033277</v>
      </c>
      <c r="R188" s="629">
        <v>10</v>
      </c>
      <c r="S188" s="629">
        <v>315</v>
      </c>
      <c r="T188" s="645">
        <v>6.1175939219042776</v>
      </c>
      <c r="U188" s="645">
        <v>47.25</v>
      </c>
      <c r="V188" s="645">
        <v>47.5</v>
      </c>
      <c r="W188" s="793">
        <v>0.49036338780263977</v>
      </c>
      <c r="X188" s="646">
        <v>0</v>
      </c>
      <c r="Y188" s="646">
        <v>0</v>
      </c>
      <c r="Z188" s="646">
        <v>0</v>
      </c>
      <c r="AA188" s="646">
        <v>0</v>
      </c>
      <c r="AB188" s="647">
        <v>0.82411043283318841</v>
      </c>
      <c r="AC188" s="784">
        <v>4000</v>
      </c>
      <c r="AD188" s="631"/>
      <c r="AE188" s="631"/>
      <c r="AF188" s="631"/>
      <c r="AG188" s="631"/>
      <c r="AH188" s="629"/>
      <c r="AI188" s="648">
        <v>1.7074836786623684</v>
      </c>
      <c r="AJ188" s="649">
        <v>2.5434000000000001</v>
      </c>
      <c r="AK188" s="646">
        <v>19.765458290061723</v>
      </c>
      <c r="AL188" s="646">
        <v>0</v>
      </c>
      <c r="AM188" s="646">
        <v>0</v>
      </c>
      <c r="AN188" s="646">
        <v>11.277458291017869</v>
      </c>
      <c r="AO188" s="646">
        <v>0.97649205026353914</v>
      </c>
      <c r="AP188" s="801">
        <v>3600</v>
      </c>
      <c r="AQ188" s="563" t="s">
        <v>71</v>
      </c>
      <c r="AR188" s="563">
        <v>3</v>
      </c>
      <c r="AS188" s="563">
        <v>0</v>
      </c>
      <c r="AT188" s="563">
        <v>0</v>
      </c>
      <c r="AU188" s="563">
        <v>0</v>
      </c>
      <c r="AV188" s="650">
        <v>31265.795410243023</v>
      </c>
      <c r="AW188" s="563">
        <v>0</v>
      </c>
      <c r="AX188" s="563">
        <v>0</v>
      </c>
      <c r="AY188" s="563">
        <v>0</v>
      </c>
      <c r="AZ188" s="650">
        <v>29282.18227808741</v>
      </c>
      <c r="BA188" s="564">
        <v>4000</v>
      </c>
      <c r="BB188" s="565">
        <v>147.02653618800232</v>
      </c>
      <c r="BC188" s="649">
        <v>2.5434000000000001</v>
      </c>
      <c r="BD188" s="646">
        <v>19.765458290061723</v>
      </c>
      <c r="BE188" s="646">
        <v>0</v>
      </c>
      <c r="BF188" s="646">
        <v>0</v>
      </c>
      <c r="BG188" s="646">
        <v>11.277458291017869</v>
      </c>
      <c r="BH188" s="646">
        <v>0.97649205026353914</v>
      </c>
      <c r="BI188" s="646">
        <v>3600</v>
      </c>
      <c r="BJ188" s="563" t="s">
        <v>71</v>
      </c>
      <c r="BK188" s="563">
        <v>3</v>
      </c>
      <c r="BL188" s="563">
        <v>0</v>
      </c>
      <c r="BM188" s="563">
        <v>0</v>
      </c>
      <c r="BN188" s="563">
        <v>0</v>
      </c>
      <c r="BO188" s="650">
        <v>31265.795410243023</v>
      </c>
      <c r="BP188" s="563">
        <v>0</v>
      </c>
      <c r="BQ188" s="563">
        <v>0</v>
      </c>
      <c r="BR188" s="563">
        <v>0</v>
      </c>
      <c r="BS188" s="650">
        <v>29282.18227808741</v>
      </c>
      <c r="BT188" s="564">
        <v>4000</v>
      </c>
      <c r="BU188" s="565">
        <v>147.02653618800232</v>
      </c>
      <c r="BV188" s="649">
        <v>2.5434000000000001</v>
      </c>
      <c r="BW188" s="646">
        <v>19.765458290061723</v>
      </c>
      <c r="BX188" s="646">
        <v>0</v>
      </c>
      <c r="BY188" s="646">
        <v>0</v>
      </c>
      <c r="BZ188" s="646">
        <v>11.277458291017869</v>
      </c>
      <c r="CA188" s="646">
        <v>0.97649205026353914</v>
      </c>
      <c r="CB188" s="646">
        <v>3600</v>
      </c>
      <c r="CC188" s="563" t="s">
        <v>1584</v>
      </c>
      <c r="CD188" s="563">
        <v>3</v>
      </c>
      <c r="CE188" s="563">
        <v>0</v>
      </c>
      <c r="CF188" s="563">
        <v>0</v>
      </c>
      <c r="CG188" s="563">
        <v>0</v>
      </c>
      <c r="CH188" s="650">
        <v>30634.098062939061</v>
      </c>
      <c r="CI188" s="563">
        <v>0</v>
      </c>
      <c r="CJ188" s="563">
        <v>0</v>
      </c>
      <c r="CK188" s="563">
        <v>0</v>
      </c>
      <c r="CL188" s="650">
        <v>28690.562054592985</v>
      </c>
      <c r="CM188" s="564">
        <v>4000</v>
      </c>
      <c r="CN188" s="565">
        <v>147.02653618800232</v>
      </c>
      <c r="CO188" s="649">
        <v>2.5434000000000001</v>
      </c>
      <c r="CP188" s="646">
        <v>19.765458290061723</v>
      </c>
      <c r="CQ188" s="646">
        <v>0</v>
      </c>
      <c r="CR188" s="646">
        <v>0</v>
      </c>
      <c r="CS188" s="646">
        <v>11.277458291017869</v>
      </c>
      <c r="CT188" s="646">
        <v>0.97649205026353914</v>
      </c>
      <c r="CU188" s="646">
        <v>3600</v>
      </c>
      <c r="CV188" s="563" t="s">
        <v>1584</v>
      </c>
      <c r="CW188" s="563">
        <v>3</v>
      </c>
      <c r="CX188" s="563">
        <v>0</v>
      </c>
      <c r="CY188" s="563">
        <v>0</v>
      </c>
      <c r="CZ188" s="563">
        <v>0</v>
      </c>
      <c r="DA188" s="650">
        <v>30634.098062939061</v>
      </c>
      <c r="DB188" s="563">
        <v>0</v>
      </c>
      <c r="DC188" s="563">
        <v>0</v>
      </c>
      <c r="DD188" s="563">
        <v>0</v>
      </c>
      <c r="DE188" s="650">
        <v>28690.562054592985</v>
      </c>
      <c r="DF188" s="564">
        <v>4000</v>
      </c>
      <c r="DG188" s="565">
        <v>147.02653618800232</v>
      </c>
      <c r="DH188" s="649">
        <v>1.6956000000000002</v>
      </c>
      <c r="DI188" s="646">
        <v>18.917658290061723</v>
      </c>
      <c r="DJ188" s="646">
        <v>0</v>
      </c>
      <c r="DK188" s="646">
        <v>0</v>
      </c>
      <c r="DL188" s="646">
        <v>11.222669751919478</v>
      </c>
      <c r="DM188" s="646">
        <v>0.92044144886353918</v>
      </c>
      <c r="DN188" s="646">
        <v>3600</v>
      </c>
      <c r="DO188" s="563" t="s">
        <v>1585</v>
      </c>
      <c r="DP188" s="563">
        <v>2</v>
      </c>
      <c r="DQ188" s="563">
        <v>0</v>
      </c>
      <c r="DR188" s="563">
        <v>0</v>
      </c>
      <c r="DS188" s="563">
        <v>0</v>
      </c>
      <c r="DT188" s="650">
        <v>31610.194275137197</v>
      </c>
      <c r="DU188" s="563">
        <v>0</v>
      </c>
      <c r="DV188" s="563">
        <v>0</v>
      </c>
      <c r="DW188" s="563">
        <v>0</v>
      </c>
      <c r="DX188" s="650">
        <v>46871.63699433217</v>
      </c>
      <c r="DY188" s="564">
        <v>4000</v>
      </c>
      <c r="DZ188" s="565">
        <v>147.02653618800232</v>
      </c>
      <c r="EA188" s="649">
        <v>1.6956000000000002</v>
      </c>
      <c r="EB188" s="646">
        <v>18.917658290061723</v>
      </c>
      <c r="EC188" s="646">
        <v>0</v>
      </c>
      <c r="ED188" s="646">
        <v>0</v>
      </c>
      <c r="EE188" s="646">
        <v>11.222669751919478</v>
      </c>
      <c r="EF188" s="646">
        <v>0.92044144886353918</v>
      </c>
      <c r="EG188" s="646">
        <v>3600</v>
      </c>
      <c r="EH188" s="563" t="s">
        <v>1585</v>
      </c>
      <c r="EI188" s="563">
        <v>2</v>
      </c>
      <c r="EJ188" s="563">
        <v>0</v>
      </c>
      <c r="EK188" s="563">
        <v>0</v>
      </c>
      <c r="EL188" s="563">
        <v>0</v>
      </c>
      <c r="EM188" s="650">
        <v>31610.194275137197</v>
      </c>
      <c r="EN188" s="563">
        <v>0</v>
      </c>
      <c r="EO188" s="563">
        <v>0</v>
      </c>
      <c r="EP188" s="563">
        <v>0</v>
      </c>
      <c r="EQ188" s="650">
        <v>46871.63699433217</v>
      </c>
      <c r="ER188" s="564">
        <v>4000</v>
      </c>
      <c r="ES188" s="565">
        <v>147.02653618800232</v>
      </c>
      <c r="ET188" s="649">
        <v>1.6956000000000002</v>
      </c>
      <c r="EU188" s="646">
        <v>18.917658290061723</v>
      </c>
      <c r="EV188" s="646">
        <v>0</v>
      </c>
      <c r="EW188" s="646">
        <v>0</v>
      </c>
      <c r="EX188" s="646">
        <v>11.222669751919478</v>
      </c>
      <c r="EY188" s="646">
        <v>0.92044144886353918</v>
      </c>
      <c r="EZ188" s="646">
        <v>3600</v>
      </c>
      <c r="FA188" s="563" t="s">
        <v>1586</v>
      </c>
      <c r="FB188" s="563">
        <v>2</v>
      </c>
      <c r="FC188" s="563">
        <v>0</v>
      </c>
      <c r="FD188" s="563">
        <v>0</v>
      </c>
      <c r="FE188" s="563">
        <v>0</v>
      </c>
      <c r="FF188" s="650">
        <v>33178.583258970692</v>
      </c>
      <c r="FG188" s="563">
        <v>0</v>
      </c>
      <c r="FH188" s="563">
        <v>0</v>
      </c>
      <c r="FI188" s="563">
        <v>0</v>
      </c>
      <c r="FJ188" s="650">
        <v>49197.246210026671</v>
      </c>
      <c r="FK188" s="564">
        <v>4000</v>
      </c>
      <c r="FL188" s="565">
        <v>147.02653618800232</v>
      </c>
      <c r="FM188" s="649">
        <v>1.6956000000000002</v>
      </c>
      <c r="FN188" s="646">
        <v>18.917658290061723</v>
      </c>
      <c r="FO188" s="646">
        <v>0</v>
      </c>
      <c r="FP188" s="646">
        <v>0</v>
      </c>
      <c r="FQ188" s="646">
        <v>11.222669751919478</v>
      </c>
      <c r="FR188" s="646">
        <v>0.92044144886353918</v>
      </c>
      <c r="FS188" s="646">
        <v>3600</v>
      </c>
      <c r="FT188" s="563" t="s">
        <v>1586</v>
      </c>
      <c r="FU188" s="563">
        <v>2</v>
      </c>
      <c r="FV188" s="563">
        <v>0</v>
      </c>
      <c r="FW188" s="563">
        <v>0</v>
      </c>
      <c r="FX188" s="563">
        <v>0</v>
      </c>
      <c r="FY188" s="650">
        <v>33178.583258970692</v>
      </c>
      <c r="FZ188" s="563">
        <v>0</v>
      </c>
      <c r="GA188" s="563">
        <v>0</v>
      </c>
      <c r="GB188" s="563">
        <v>0</v>
      </c>
      <c r="GC188" s="650">
        <v>49197.246210026671</v>
      </c>
      <c r="GD188" s="564">
        <v>4000</v>
      </c>
      <c r="GE188" s="565">
        <v>147.02653618800232</v>
      </c>
      <c r="GF188" s="649">
        <v>1.6956000000000002</v>
      </c>
      <c r="GG188" s="646">
        <v>18.917658290061723</v>
      </c>
      <c r="GH188" s="646">
        <v>0</v>
      </c>
      <c r="GI188" s="646">
        <v>0</v>
      </c>
      <c r="GJ188" s="646">
        <v>11.222669751919478</v>
      </c>
      <c r="GK188" s="646">
        <v>0.92044144886353918</v>
      </c>
      <c r="GL188" s="646">
        <v>3600</v>
      </c>
      <c r="GM188" s="563" t="s">
        <v>1587</v>
      </c>
      <c r="GN188" s="563">
        <v>2</v>
      </c>
      <c r="GO188" s="563">
        <v>0</v>
      </c>
      <c r="GP188" s="563">
        <v>0</v>
      </c>
      <c r="GQ188" s="563">
        <v>0</v>
      </c>
      <c r="GR188" s="650">
        <v>39041.133108658731</v>
      </c>
      <c r="GS188" s="563">
        <v>0</v>
      </c>
      <c r="GT188" s="563">
        <v>0</v>
      </c>
      <c r="GU188" s="563">
        <v>0</v>
      </c>
      <c r="GV188" s="650">
        <v>57890.242716912624</v>
      </c>
      <c r="GW188" s="564">
        <v>4000</v>
      </c>
      <c r="GX188" s="565">
        <v>147.02653618800232</v>
      </c>
      <c r="GY188" s="649">
        <v>1.6956000000000002</v>
      </c>
      <c r="GZ188" s="646">
        <v>18.917658290061723</v>
      </c>
      <c r="HA188" s="646">
        <v>0</v>
      </c>
      <c r="HB188" s="646">
        <v>0</v>
      </c>
      <c r="HC188" s="646">
        <v>11.222669751919478</v>
      </c>
      <c r="HD188" s="646">
        <v>0.92044144886353918</v>
      </c>
      <c r="HE188" s="646">
        <v>3600</v>
      </c>
      <c r="HF188" s="563" t="s">
        <v>1587</v>
      </c>
      <c r="HG188" s="563">
        <v>2</v>
      </c>
      <c r="HH188" s="563">
        <v>0</v>
      </c>
      <c r="HI188" s="563">
        <v>0</v>
      </c>
      <c r="HJ188" s="563">
        <v>0</v>
      </c>
      <c r="HK188" s="650">
        <v>39041.133108658731</v>
      </c>
      <c r="HL188" s="563">
        <v>0</v>
      </c>
      <c r="HM188" s="563">
        <v>0</v>
      </c>
      <c r="HN188" s="563">
        <v>0</v>
      </c>
      <c r="HO188" s="650">
        <v>57890.242716912624</v>
      </c>
      <c r="HP188" s="564">
        <v>4000</v>
      </c>
      <c r="HQ188" s="565">
        <v>147.02653618800232</v>
      </c>
      <c r="HR188" s="649">
        <v>1.6956000000000002</v>
      </c>
      <c r="HS188" s="646">
        <v>18.917658290061723</v>
      </c>
      <c r="HT188" s="646">
        <v>0</v>
      </c>
      <c r="HU188" s="646">
        <v>0</v>
      </c>
      <c r="HV188" s="646">
        <v>11.222669751919478</v>
      </c>
      <c r="HW188" s="646">
        <v>0.92044144886353918</v>
      </c>
      <c r="HX188" s="646">
        <v>3600</v>
      </c>
      <c r="HY188" s="563" t="s">
        <v>68</v>
      </c>
      <c r="HZ188" s="563">
        <v>2</v>
      </c>
      <c r="IA188" s="563">
        <v>0</v>
      </c>
      <c r="IB188" s="563">
        <v>0</v>
      </c>
      <c r="IC188" s="563">
        <v>0</v>
      </c>
      <c r="ID188" s="650">
        <v>34431.043035893665</v>
      </c>
      <c r="IE188" s="563">
        <v>0</v>
      </c>
      <c r="IF188" s="563">
        <v>0</v>
      </c>
      <c r="IG188" s="563">
        <v>0</v>
      </c>
      <c r="IH188" s="650">
        <v>51054.395188706301</v>
      </c>
      <c r="II188" s="564">
        <v>4000</v>
      </c>
      <c r="IJ188" s="565">
        <v>147.02653618800232</v>
      </c>
      <c r="IK188" s="649">
        <v>1.6956000000000002</v>
      </c>
      <c r="IL188" s="646">
        <v>18.917658290061723</v>
      </c>
      <c r="IM188" s="646">
        <v>0</v>
      </c>
      <c r="IN188" s="646">
        <v>0</v>
      </c>
      <c r="IO188" s="646">
        <v>11.222669751919478</v>
      </c>
      <c r="IP188" s="646">
        <v>0.92044144886353918</v>
      </c>
      <c r="IQ188" s="646">
        <v>3600</v>
      </c>
      <c r="IR188" s="563" t="s">
        <v>68</v>
      </c>
      <c r="IS188" s="563">
        <v>2</v>
      </c>
      <c r="IT188" s="563">
        <v>0</v>
      </c>
      <c r="IU188" s="563">
        <v>0</v>
      </c>
      <c r="IV188" s="563">
        <v>0</v>
      </c>
      <c r="IW188" s="650">
        <v>34431.043035893665</v>
      </c>
      <c r="IX188" s="563">
        <v>0</v>
      </c>
      <c r="IY188" s="563">
        <v>0</v>
      </c>
      <c r="IZ188" s="563">
        <v>0</v>
      </c>
      <c r="JA188" s="650">
        <v>51054.395188706301</v>
      </c>
      <c r="JB188" s="564">
        <v>4000</v>
      </c>
      <c r="JC188" s="565">
        <v>147.02653618800232</v>
      </c>
      <c r="JD188" s="649">
        <v>1.6956000000000002</v>
      </c>
      <c r="JE188" s="646">
        <v>18.917658290061723</v>
      </c>
      <c r="JF188" s="646">
        <v>0</v>
      </c>
      <c r="JG188" s="646">
        <v>0</v>
      </c>
      <c r="JH188" s="646">
        <v>11.222669751919478</v>
      </c>
      <c r="JI188" s="646">
        <v>0.92044144886353918</v>
      </c>
      <c r="JJ188" s="646">
        <v>3600</v>
      </c>
      <c r="JK188" s="563" t="s">
        <v>67</v>
      </c>
      <c r="JL188" s="563">
        <v>2</v>
      </c>
      <c r="JM188" s="563">
        <v>0</v>
      </c>
      <c r="JN188" s="563">
        <v>0</v>
      </c>
      <c r="JO188" s="563">
        <v>0</v>
      </c>
      <c r="JP188" s="650">
        <v>46921.602425161269</v>
      </c>
      <c r="JQ188" s="563">
        <v>0</v>
      </c>
      <c r="JR188" s="563">
        <v>0</v>
      </c>
      <c r="JS188" s="563">
        <v>0</v>
      </c>
      <c r="JT188" s="650">
        <v>69575.412821628095</v>
      </c>
      <c r="JU188" s="564">
        <v>4000</v>
      </c>
      <c r="JV188" s="565">
        <v>147.02653618800232</v>
      </c>
      <c r="JW188" s="649">
        <v>1.6956000000000002</v>
      </c>
      <c r="JX188" s="646">
        <v>18.917658290061723</v>
      </c>
      <c r="JY188" s="646">
        <v>0</v>
      </c>
      <c r="JZ188" s="646">
        <v>0</v>
      </c>
      <c r="KA188" s="646">
        <v>11.222669751919478</v>
      </c>
      <c r="KB188" s="646">
        <v>0.92044144886353918</v>
      </c>
      <c r="KC188" s="646">
        <v>3600</v>
      </c>
      <c r="KD188" s="563" t="s">
        <v>67</v>
      </c>
      <c r="KE188" s="563">
        <v>2</v>
      </c>
      <c r="KF188" s="563">
        <v>0</v>
      </c>
      <c r="KG188" s="563">
        <v>0</v>
      </c>
      <c r="KH188" s="563">
        <v>0</v>
      </c>
      <c r="KI188" s="650">
        <v>46921.602425161269</v>
      </c>
      <c r="KJ188" s="563">
        <v>0</v>
      </c>
      <c r="KK188" s="563">
        <v>0</v>
      </c>
      <c r="KL188" s="563">
        <v>0</v>
      </c>
      <c r="KM188" s="650">
        <v>69575.412821628095</v>
      </c>
      <c r="KN188" s="564">
        <v>4000</v>
      </c>
      <c r="KO188" s="566">
        <v>147.02653618800232</v>
      </c>
    </row>
    <row r="189" spans="1:301" ht="15" customHeight="1">
      <c r="A189" s="663" t="s">
        <v>938</v>
      </c>
      <c r="B189" s="629" t="s">
        <v>382</v>
      </c>
      <c r="C189" s="629">
        <v>190</v>
      </c>
      <c r="D189" s="629">
        <v>702</v>
      </c>
      <c r="E189" s="629">
        <v>160</v>
      </c>
      <c r="F189" s="629">
        <v>190</v>
      </c>
      <c r="G189" s="629">
        <v>39</v>
      </c>
      <c r="H189" s="629">
        <v>25</v>
      </c>
      <c r="I189" s="629">
        <v>25</v>
      </c>
      <c r="J189" s="629">
        <v>51.62</v>
      </c>
      <c r="K189" s="629">
        <v>79.8</v>
      </c>
      <c r="L189" s="629">
        <v>16</v>
      </c>
      <c r="M189" s="629">
        <v>270</v>
      </c>
      <c r="N189" s="629">
        <v>2</v>
      </c>
      <c r="O189" s="623">
        <v>5.7609762674514808</v>
      </c>
      <c r="P189" s="629">
        <v>2</v>
      </c>
      <c r="Q189" s="623">
        <v>4.8531247129033277</v>
      </c>
      <c r="R189" s="629">
        <v>10</v>
      </c>
      <c r="S189" s="629">
        <v>315</v>
      </c>
      <c r="T189" s="645">
        <v>6.1175939219042776</v>
      </c>
      <c r="U189" s="645">
        <v>47.25</v>
      </c>
      <c r="V189" s="645">
        <v>47.5</v>
      </c>
      <c r="W189" s="793">
        <v>0.49036338780263977</v>
      </c>
      <c r="X189" s="646">
        <v>0</v>
      </c>
      <c r="Y189" s="646">
        <v>0</v>
      </c>
      <c r="Z189" s="646">
        <v>0</v>
      </c>
      <c r="AA189" s="646">
        <v>0</v>
      </c>
      <c r="AB189" s="647">
        <v>0.82411043283318841</v>
      </c>
      <c r="AC189" s="784">
        <v>4000</v>
      </c>
      <c r="AD189" s="631"/>
      <c r="AE189" s="631"/>
      <c r="AF189" s="631"/>
      <c r="AG189" s="631"/>
      <c r="AH189" s="629"/>
      <c r="AI189" s="648">
        <v>1.7074836786623684</v>
      </c>
      <c r="AJ189" s="649">
        <v>2.5434000000000001</v>
      </c>
      <c r="AK189" s="646">
        <v>19.765458290061723</v>
      </c>
      <c r="AL189" s="646">
        <v>0</v>
      </c>
      <c r="AM189" s="646">
        <v>0</v>
      </c>
      <c r="AN189" s="646">
        <v>11.277458291017869</v>
      </c>
      <c r="AO189" s="646">
        <v>0.97649205026353914</v>
      </c>
      <c r="AP189" s="801">
        <v>3600</v>
      </c>
      <c r="AQ189" s="563" t="s">
        <v>71</v>
      </c>
      <c r="AR189" s="563">
        <v>3</v>
      </c>
      <c r="AS189" s="563">
        <v>0</v>
      </c>
      <c r="AT189" s="563">
        <v>0</v>
      </c>
      <c r="AU189" s="563">
        <v>0</v>
      </c>
      <c r="AV189" s="650">
        <v>31265.795410243023</v>
      </c>
      <c r="AW189" s="563">
        <v>0</v>
      </c>
      <c r="AX189" s="563">
        <v>0</v>
      </c>
      <c r="AY189" s="563">
        <v>0</v>
      </c>
      <c r="AZ189" s="650">
        <v>29282.18227808741</v>
      </c>
      <c r="BA189" s="564">
        <v>4000</v>
      </c>
      <c r="BB189" s="565">
        <v>147.02653618800232</v>
      </c>
      <c r="BC189" s="649">
        <v>2.5434000000000001</v>
      </c>
      <c r="BD189" s="646">
        <v>19.765458290061723</v>
      </c>
      <c r="BE189" s="646">
        <v>0</v>
      </c>
      <c r="BF189" s="646">
        <v>0</v>
      </c>
      <c r="BG189" s="646">
        <v>11.277458291017869</v>
      </c>
      <c r="BH189" s="646">
        <v>0.97649205026353914</v>
      </c>
      <c r="BI189" s="646">
        <v>3600</v>
      </c>
      <c r="BJ189" s="563" t="s">
        <v>71</v>
      </c>
      <c r="BK189" s="563">
        <v>3</v>
      </c>
      <c r="BL189" s="563">
        <v>0</v>
      </c>
      <c r="BM189" s="563">
        <v>0</v>
      </c>
      <c r="BN189" s="563">
        <v>0</v>
      </c>
      <c r="BO189" s="650">
        <v>31265.795410243023</v>
      </c>
      <c r="BP189" s="563">
        <v>0</v>
      </c>
      <c r="BQ189" s="563">
        <v>0</v>
      </c>
      <c r="BR189" s="563">
        <v>0</v>
      </c>
      <c r="BS189" s="650">
        <v>29282.18227808741</v>
      </c>
      <c r="BT189" s="564">
        <v>4000</v>
      </c>
      <c r="BU189" s="565">
        <v>147.02653618800232</v>
      </c>
      <c r="BV189" s="649">
        <v>2.5434000000000001</v>
      </c>
      <c r="BW189" s="646">
        <v>19.765458290061723</v>
      </c>
      <c r="BX189" s="646">
        <v>0</v>
      </c>
      <c r="BY189" s="646">
        <v>0</v>
      </c>
      <c r="BZ189" s="646">
        <v>11.277458291017869</v>
      </c>
      <c r="CA189" s="646">
        <v>0.97649205026353914</v>
      </c>
      <c r="CB189" s="646">
        <v>3600</v>
      </c>
      <c r="CC189" s="563" t="s">
        <v>1584</v>
      </c>
      <c r="CD189" s="563">
        <v>3</v>
      </c>
      <c r="CE189" s="563">
        <v>0</v>
      </c>
      <c r="CF189" s="563">
        <v>0</v>
      </c>
      <c r="CG189" s="563">
        <v>0</v>
      </c>
      <c r="CH189" s="650">
        <v>30634.098062939061</v>
      </c>
      <c r="CI189" s="563">
        <v>0</v>
      </c>
      <c r="CJ189" s="563">
        <v>0</v>
      </c>
      <c r="CK189" s="563">
        <v>0</v>
      </c>
      <c r="CL189" s="650">
        <v>28690.562054592985</v>
      </c>
      <c r="CM189" s="564">
        <v>4000</v>
      </c>
      <c r="CN189" s="565">
        <v>147.02653618800232</v>
      </c>
      <c r="CO189" s="649">
        <v>2.5434000000000001</v>
      </c>
      <c r="CP189" s="646">
        <v>19.765458290061723</v>
      </c>
      <c r="CQ189" s="646">
        <v>0</v>
      </c>
      <c r="CR189" s="646">
        <v>0</v>
      </c>
      <c r="CS189" s="646">
        <v>11.277458291017869</v>
      </c>
      <c r="CT189" s="646">
        <v>0.97649205026353914</v>
      </c>
      <c r="CU189" s="646">
        <v>3600</v>
      </c>
      <c r="CV189" s="563" t="s">
        <v>1584</v>
      </c>
      <c r="CW189" s="563">
        <v>3</v>
      </c>
      <c r="CX189" s="563">
        <v>0</v>
      </c>
      <c r="CY189" s="563">
        <v>0</v>
      </c>
      <c r="CZ189" s="563">
        <v>0</v>
      </c>
      <c r="DA189" s="650">
        <v>30634.098062939061</v>
      </c>
      <c r="DB189" s="563">
        <v>0</v>
      </c>
      <c r="DC189" s="563">
        <v>0</v>
      </c>
      <c r="DD189" s="563">
        <v>0</v>
      </c>
      <c r="DE189" s="650">
        <v>28690.562054592985</v>
      </c>
      <c r="DF189" s="564">
        <v>4000</v>
      </c>
      <c r="DG189" s="565">
        <v>147.02653618800232</v>
      </c>
      <c r="DH189" s="649">
        <v>1.6956000000000002</v>
      </c>
      <c r="DI189" s="646">
        <v>18.917658290061723</v>
      </c>
      <c r="DJ189" s="646">
        <v>0</v>
      </c>
      <c r="DK189" s="646">
        <v>0</v>
      </c>
      <c r="DL189" s="646">
        <v>11.222669751919478</v>
      </c>
      <c r="DM189" s="646">
        <v>0.92044144886353918</v>
      </c>
      <c r="DN189" s="646">
        <v>3600</v>
      </c>
      <c r="DO189" s="563" t="s">
        <v>1585</v>
      </c>
      <c r="DP189" s="563">
        <v>2</v>
      </c>
      <c r="DQ189" s="563">
        <v>0</v>
      </c>
      <c r="DR189" s="563">
        <v>0</v>
      </c>
      <c r="DS189" s="563">
        <v>0</v>
      </c>
      <c r="DT189" s="650">
        <v>31610.194275137197</v>
      </c>
      <c r="DU189" s="563">
        <v>0</v>
      </c>
      <c r="DV189" s="563">
        <v>0</v>
      </c>
      <c r="DW189" s="563">
        <v>0</v>
      </c>
      <c r="DX189" s="650">
        <v>46871.63699433217</v>
      </c>
      <c r="DY189" s="564">
        <v>4000</v>
      </c>
      <c r="DZ189" s="565">
        <v>147.02653618800232</v>
      </c>
      <c r="EA189" s="649">
        <v>1.6956000000000002</v>
      </c>
      <c r="EB189" s="646">
        <v>18.917658290061723</v>
      </c>
      <c r="EC189" s="646">
        <v>0</v>
      </c>
      <c r="ED189" s="646">
        <v>0</v>
      </c>
      <c r="EE189" s="646">
        <v>11.222669751919478</v>
      </c>
      <c r="EF189" s="646">
        <v>0.92044144886353918</v>
      </c>
      <c r="EG189" s="646">
        <v>3600</v>
      </c>
      <c r="EH189" s="563" t="s">
        <v>1585</v>
      </c>
      <c r="EI189" s="563">
        <v>2</v>
      </c>
      <c r="EJ189" s="563">
        <v>0</v>
      </c>
      <c r="EK189" s="563">
        <v>0</v>
      </c>
      <c r="EL189" s="563">
        <v>0</v>
      </c>
      <c r="EM189" s="650">
        <v>31610.194275137197</v>
      </c>
      <c r="EN189" s="563">
        <v>0</v>
      </c>
      <c r="EO189" s="563">
        <v>0</v>
      </c>
      <c r="EP189" s="563">
        <v>0</v>
      </c>
      <c r="EQ189" s="650">
        <v>46871.63699433217</v>
      </c>
      <c r="ER189" s="564">
        <v>4000</v>
      </c>
      <c r="ES189" s="565">
        <v>147.02653618800232</v>
      </c>
      <c r="ET189" s="649">
        <v>1.6956000000000002</v>
      </c>
      <c r="EU189" s="646">
        <v>18.917658290061723</v>
      </c>
      <c r="EV189" s="646">
        <v>0</v>
      </c>
      <c r="EW189" s="646">
        <v>0</v>
      </c>
      <c r="EX189" s="646">
        <v>11.222669751919478</v>
      </c>
      <c r="EY189" s="646">
        <v>0.92044144886353918</v>
      </c>
      <c r="EZ189" s="646">
        <v>3600</v>
      </c>
      <c r="FA189" s="563" t="s">
        <v>1586</v>
      </c>
      <c r="FB189" s="563">
        <v>2</v>
      </c>
      <c r="FC189" s="563">
        <v>0</v>
      </c>
      <c r="FD189" s="563">
        <v>0</v>
      </c>
      <c r="FE189" s="563">
        <v>0</v>
      </c>
      <c r="FF189" s="650">
        <v>33178.583258970692</v>
      </c>
      <c r="FG189" s="563">
        <v>0</v>
      </c>
      <c r="FH189" s="563">
        <v>0</v>
      </c>
      <c r="FI189" s="563">
        <v>0</v>
      </c>
      <c r="FJ189" s="650">
        <v>49197.246210026671</v>
      </c>
      <c r="FK189" s="564">
        <v>4000</v>
      </c>
      <c r="FL189" s="565">
        <v>147.02653618800232</v>
      </c>
      <c r="FM189" s="649">
        <v>1.6956000000000002</v>
      </c>
      <c r="FN189" s="646">
        <v>18.917658290061723</v>
      </c>
      <c r="FO189" s="646">
        <v>0</v>
      </c>
      <c r="FP189" s="646">
        <v>0</v>
      </c>
      <c r="FQ189" s="646">
        <v>11.222669751919478</v>
      </c>
      <c r="FR189" s="646">
        <v>0.92044144886353918</v>
      </c>
      <c r="FS189" s="646">
        <v>3600</v>
      </c>
      <c r="FT189" s="563" t="s">
        <v>1586</v>
      </c>
      <c r="FU189" s="563">
        <v>2</v>
      </c>
      <c r="FV189" s="563">
        <v>0</v>
      </c>
      <c r="FW189" s="563">
        <v>0</v>
      </c>
      <c r="FX189" s="563">
        <v>0</v>
      </c>
      <c r="FY189" s="650">
        <v>33178.583258970692</v>
      </c>
      <c r="FZ189" s="563">
        <v>0</v>
      </c>
      <c r="GA189" s="563">
        <v>0</v>
      </c>
      <c r="GB189" s="563">
        <v>0</v>
      </c>
      <c r="GC189" s="650">
        <v>49197.246210026671</v>
      </c>
      <c r="GD189" s="564">
        <v>4000</v>
      </c>
      <c r="GE189" s="565">
        <v>147.02653618800232</v>
      </c>
      <c r="GF189" s="649">
        <v>1.6956000000000002</v>
      </c>
      <c r="GG189" s="646">
        <v>18.917658290061723</v>
      </c>
      <c r="GH189" s="646">
        <v>0</v>
      </c>
      <c r="GI189" s="646">
        <v>0</v>
      </c>
      <c r="GJ189" s="646">
        <v>11.222669751919478</v>
      </c>
      <c r="GK189" s="646">
        <v>0.92044144886353918</v>
      </c>
      <c r="GL189" s="646">
        <v>3600</v>
      </c>
      <c r="GM189" s="563" t="s">
        <v>1587</v>
      </c>
      <c r="GN189" s="563">
        <v>2</v>
      </c>
      <c r="GO189" s="563">
        <v>0</v>
      </c>
      <c r="GP189" s="563">
        <v>0</v>
      </c>
      <c r="GQ189" s="563">
        <v>0</v>
      </c>
      <c r="GR189" s="650">
        <v>39041.133108658731</v>
      </c>
      <c r="GS189" s="563">
        <v>0</v>
      </c>
      <c r="GT189" s="563">
        <v>0</v>
      </c>
      <c r="GU189" s="563">
        <v>0</v>
      </c>
      <c r="GV189" s="650">
        <v>57890.242716912624</v>
      </c>
      <c r="GW189" s="564">
        <v>4000</v>
      </c>
      <c r="GX189" s="565">
        <v>147.02653618800232</v>
      </c>
      <c r="GY189" s="649">
        <v>1.6956000000000002</v>
      </c>
      <c r="GZ189" s="646">
        <v>18.917658290061723</v>
      </c>
      <c r="HA189" s="646">
        <v>0</v>
      </c>
      <c r="HB189" s="646">
        <v>0</v>
      </c>
      <c r="HC189" s="646">
        <v>11.222669751919478</v>
      </c>
      <c r="HD189" s="646">
        <v>0.92044144886353918</v>
      </c>
      <c r="HE189" s="646">
        <v>3600</v>
      </c>
      <c r="HF189" s="563" t="s">
        <v>1587</v>
      </c>
      <c r="HG189" s="563">
        <v>2</v>
      </c>
      <c r="HH189" s="563">
        <v>0</v>
      </c>
      <c r="HI189" s="563">
        <v>0</v>
      </c>
      <c r="HJ189" s="563">
        <v>0</v>
      </c>
      <c r="HK189" s="650">
        <v>39041.133108658731</v>
      </c>
      <c r="HL189" s="563">
        <v>0</v>
      </c>
      <c r="HM189" s="563">
        <v>0</v>
      </c>
      <c r="HN189" s="563">
        <v>0</v>
      </c>
      <c r="HO189" s="650">
        <v>57890.242716912624</v>
      </c>
      <c r="HP189" s="564">
        <v>4000</v>
      </c>
      <c r="HQ189" s="565">
        <v>147.02653618800232</v>
      </c>
      <c r="HR189" s="649">
        <v>1.6956000000000002</v>
      </c>
      <c r="HS189" s="646">
        <v>18.917658290061723</v>
      </c>
      <c r="HT189" s="646">
        <v>0</v>
      </c>
      <c r="HU189" s="646">
        <v>0</v>
      </c>
      <c r="HV189" s="646">
        <v>11.222669751919478</v>
      </c>
      <c r="HW189" s="646">
        <v>0.92044144886353918</v>
      </c>
      <c r="HX189" s="646">
        <v>3600</v>
      </c>
      <c r="HY189" s="563" t="s">
        <v>68</v>
      </c>
      <c r="HZ189" s="563">
        <v>2</v>
      </c>
      <c r="IA189" s="563">
        <v>0</v>
      </c>
      <c r="IB189" s="563">
        <v>0</v>
      </c>
      <c r="IC189" s="563">
        <v>0</v>
      </c>
      <c r="ID189" s="650">
        <v>34431.043035893665</v>
      </c>
      <c r="IE189" s="563">
        <v>0</v>
      </c>
      <c r="IF189" s="563">
        <v>0</v>
      </c>
      <c r="IG189" s="563">
        <v>0</v>
      </c>
      <c r="IH189" s="650">
        <v>51054.395188706301</v>
      </c>
      <c r="II189" s="564">
        <v>4000</v>
      </c>
      <c r="IJ189" s="565">
        <v>147.02653618800232</v>
      </c>
      <c r="IK189" s="649">
        <v>1.6956000000000002</v>
      </c>
      <c r="IL189" s="646">
        <v>18.917658290061723</v>
      </c>
      <c r="IM189" s="646">
        <v>0</v>
      </c>
      <c r="IN189" s="646">
        <v>0</v>
      </c>
      <c r="IO189" s="646">
        <v>11.222669751919478</v>
      </c>
      <c r="IP189" s="646">
        <v>0.92044144886353918</v>
      </c>
      <c r="IQ189" s="646">
        <v>3600</v>
      </c>
      <c r="IR189" s="563" t="s">
        <v>68</v>
      </c>
      <c r="IS189" s="563">
        <v>2</v>
      </c>
      <c r="IT189" s="563">
        <v>0</v>
      </c>
      <c r="IU189" s="563">
        <v>0</v>
      </c>
      <c r="IV189" s="563">
        <v>0</v>
      </c>
      <c r="IW189" s="650">
        <v>34431.043035893665</v>
      </c>
      <c r="IX189" s="563">
        <v>0</v>
      </c>
      <c r="IY189" s="563">
        <v>0</v>
      </c>
      <c r="IZ189" s="563">
        <v>0</v>
      </c>
      <c r="JA189" s="650">
        <v>51054.395188706301</v>
      </c>
      <c r="JB189" s="564">
        <v>4000</v>
      </c>
      <c r="JC189" s="565">
        <v>147.02653618800232</v>
      </c>
      <c r="JD189" s="649">
        <v>1.6956000000000002</v>
      </c>
      <c r="JE189" s="646">
        <v>18.917658290061723</v>
      </c>
      <c r="JF189" s="646">
        <v>0</v>
      </c>
      <c r="JG189" s="646">
        <v>0</v>
      </c>
      <c r="JH189" s="646">
        <v>11.222669751919478</v>
      </c>
      <c r="JI189" s="646">
        <v>0.92044144886353918</v>
      </c>
      <c r="JJ189" s="646">
        <v>3600</v>
      </c>
      <c r="JK189" s="563" t="s">
        <v>67</v>
      </c>
      <c r="JL189" s="563">
        <v>2</v>
      </c>
      <c r="JM189" s="563">
        <v>0</v>
      </c>
      <c r="JN189" s="563">
        <v>0</v>
      </c>
      <c r="JO189" s="563">
        <v>0</v>
      </c>
      <c r="JP189" s="650">
        <v>46921.602425161269</v>
      </c>
      <c r="JQ189" s="563">
        <v>0</v>
      </c>
      <c r="JR189" s="563">
        <v>0</v>
      </c>
      <c r="JS189" s="563">
        <v>0</v>
      </c>
      <c r="JT189" s="650">
        <v>69575.412821628095</v>
      </c>
      <c r="JU189" s="564">
        <v>4000</v>
      </c>
      <c r="JV189" s="565">
        <v>147.02653618800232</v>
      </c>
      <c r="JW189" s="649">
        <v>1.6956000000000002</v>
      </c>
      <c r="JX189" s="646">
        <v>18.917658290061723</v>
      </c>
      <c r="JY189" s="646">
        <v>0</v>
      </c>
      <c r="JZ189" s="646">
        <v>0</v>
      </c>
      <c r="KA189" s="646">
        <v>11.222669751919478</v>
      </c>
      <c r="KB189" s="646">
        <v>0.92044144886353918</v>
      </c>
      <c r="KC189" s="646">
        <v>3600</v>
      </c>
      <c r="KD189" s="563" t="s">
        <v>67</v>
      </c>
      <c r="KE189" s="563">
        <v>2</v>
      </c>
      <c r="KF189" s="563">
        <v>0</v>
      </c>
      <c r="KG189" s="563">
        <v>0</v>
      </c>
      <c r="KH189" s="563">
        <v>0</v>
      </c>
      <c r="KI189" s="650">
        <v>46921.602425161269</v>
      </c>
      <c r="KJ189" s="563">
        <v>0</v>
      </c>
      <c r="KK189" s="563">
        <v>0</v>
      </c>
      <c r="KL189" s="563">
        <v>0</v>
      </c>
      <c r="KM189" s="650">
        <v>69575.412821628095</v>
      </c>
      <c r="KN189" s="564">
        <v>4000</v>
      </c>
      <c r="KO189" s="566">
        <v>147.02653618800232</v>
      </c>
    </row>
    <row r="190" spans="1:301" ht="15" customHeight="1">
      <c r="A190" s="663" t="s">
        <v>939</v>
      </c>
      <c r="B190" s="629" t="s">
        <v>382</v>
      </c>
      <c r="C190" s="629">
        <v>190</v>
      </c>
      <c r="D190" s="629">
        <v>702</v>
      </c>
      <c r="E190" s="629">
        <v>160</v>
      </c>
      <c r="F190" s="629">
        <v>190</v>
      </c>
      <c r="G190" s="629">
        <v>49</v>
      </c>
      <c r="H190" s="629">
        <v>35</v>
      </c>
      <c r="I190" s="629">
        <v>35</v>
      </c>
      <c r="J190" s="629">
        <v>52</v>
      </c>
      <c r="K190" s="629">
        <v>80</v>
      </c>
      <c r="L190" s="629">
        <v>16</v>
      </c>
      <c r="M190" s="629">
        <v>270</v>
      </c>
      <c r="N190" s="629">
        <v>2</v>
      </c>
      <c r="O190" s="623">
        <v>5.7609762674514808</v>
      </c>
      <c r="P190" s="629">
        <v>2</v>
      </c>
      <c r="Q190" s="623">
        <v>4.8531247129033277</v>
      </c>
      <c r="R190" s="629">
        <v>10</v>
      </c>
      <c r="S190" s="629">
        <v>315</v>
      </c>
      <c r="T190" s="645">
        <v>6.1175939219042776</v>
      </c>
      <c r="U190" s="645">
        <v>47.25</v>
      </c>
      <c r="V190" s="645">
        <v>47.5</v>
      </c>
      <c r="W190" s="793">
        <v>0.49036338780263977</v>
      </c>
      <c r="X190" s="646">
        <v>0</v>
      </c>
      <c r="Y190" s="646">
        <v>0</v>
      </c>
      <c r="Z190" s="646">
        <v>0</v>
      </c>
      <c r="AA190" s="646">
        <v>0</v>
      </c>
      <c r="AB190" s="647">
        <v>1.1499425099367915</v>
      </c>
      <c r="AC190" s="784">
        <v>4000</v>
      </c>
      <c r="AD190" s="631"/>
      <c r="AE190" s="631"/>
      <c r="AF190" s="631"/>
      <c r="AG190" s="631"/>
      <c r="AH190" s="629"/>
      <c r="AI190" s="648">
        <v>1.7938836786623684</v>
      </c>
      <c r="AJ190" s="649">
        <v>3.5607600000000006</v>
      </c>
      <c r="AK190" s="646">
        <v>20.782818290061726</v>
      </c>
      <c r="AL190" s="646">
        <v>0</v>
      </c>
      <c r="AM190" s="646">
        <v>0</v>
      </c>
      <c r="AN190" s="646">
        <v>14.965953596980395</v>
      </c>
      <c r="AO190" s="646">
        <v>1.0437527719435391</v>
      </c>
      <c r="AP190" s="801">
        <v>3600</v>
      </c>
      <c r="AQ190" s="563" t="s">
        <v>71</v>
      </c>
      <c r="AR190" s="563">
        <v>3</v>
      </c>
      <c r="AS190" s="563">
        <v>0</v>
      </c>
      <c r="AT190" s="563">
        <v>0</v>
      </c>
      <c r="AU190" s="563">
        <v>0</v>
      </c>
      <c r="AV190" s="650">
        <v>36898.89215033401</v>
      </c>
      <c r="AW190" s="563">
        <v>0</v>
      </c>
      <c r="AX190" s="563">
        <v>0</v>
      </c>
      <c r="AY190" s="563">
        <v>0</v>
      </c>
      <c r="AZ190" s="650">
        <v>36197.367073853216</v>
      </c>
      <c r="BA190" s="564">
        <v>4000</v>
      </c>
      <c r="BB190" s="565">
        <v>147.02653618800232</v>
      </c>
      <c r="BC190" s="649">
        <v>3.5607600000000006</v>
      </c>
      <c r="BD190" s="646">
        <v>20.782818290061726</v>
      </c>
      <c r="BE190" s="646">
        <v>0</v>
      </c>
      <c r="BF190" s="646">
        <v>0</v>
      </c>
      <c r="BG190" s="646">
        <v>14.965953596980395</v>
      </c>
      <c r="BH190" s="646">
        <v>1.0437527719435391</v>
      </c>
      <c r="BI190" s="646">
        <v>3600</v>
      </c>
      <c r="BJ190" s="563" t="s">
        <v>71</v>
      </c>
      <c r="BK190" s="563">
        <v>3</v>
      </c>
      <c r="BL190" s="563">
        <v>0</v>
      </c>
      <c r="BM190" s="563">
        <v>0</v>
      </c>
      <c r="BN190" s="563">
        <v>0</v>
      </c>
      <c r="BO190" s="650">
        <v>36898.89215033401</v>
      </c>
      <c r="BP190" s="563">
        <v>0</v>
      </c>
      <c r="BQ190" s="563">
        <v>0</v>
      </c>
      <c r="BR190" s="563">
        <v>0</v>
      </c>
      <c r="BS190" s="650">
        <v>36197.367073853216</v>
      </c>
      <c r="BT190" s="564">
        <v>4000</v>
      </c>
      <c r="BU190" s="565">
        <v>147.02653618800232</v>
      </c>
      <c r="BV190" s="649">
        <v>3.5607600000000006</v>
      </c>
      <c r="BW190" s="646">
        <v>20.782818290061726</v>
      </c>
      <c r="BX190" s="646">
        <v>0</v>
      </c>
      <c r="BY190" s="646">
        <v>0</v>
      </c>
      <c r="BZ190" s="646">
        <v>14.965953596980395</v>
      </c>
      <c r="CA190" s="646">
        <v>1.0437527719435391</v>
      </c>
      <c r="CB190" s="646">
        <v>3600</v>
      </c>
      <c r="CC190" s="563" t="s">
        <v>1584</v>
      </c>
      <c r="CD190" s="563">
        <v>3</v>
      </c>
      <c r="CE190" s="563">
        <v>0</v>
      </c>
      <c r="CF190" s="563">
        <v>0</v>
      </c>
      <c r="CG190" s="563">
        <v>0</v>
      </c>
      <c r="CH190" s="650">
        <v>36153.383136922341</v>
      </c>
      <c r="CI190" s="563">
        <v>0</v>
      </c>
      <c r="CJ190" s="563">
        <v>0</v>
      </c>
      <c r="CK190" s="563">
        <v>0</v>
      </c>
      <c r="CL190" s="650">
        <v>35466.031745264409</v>
      </c>
      <c r="CM190" s="564">
        <v>4000</v>
      </c>
      <c r="CN190" s="565">
        <v>147.02653618800232</v>
      </c>
      <c r="CO190" s="649">
        <v>3.5607600000000006</v>
      </c>
      <c r="CP190" s="646">
        <v>20.782818290061726</v>
      </c>
      <c r="CQ190" s="646">
        <v>0</v>
      </c>
      <c r="CR190" s="646">
        <v>0</v>
      </c>
      <c r="CS190" s="646">
        <v>14.965953596980395</v>
      </c>
      <c r="CT190" s="646">
        <v>1.0437527719435391</v>
      </c>
      <c r="CU190" s="646">
        <v>3600</v>
      </c>
      <c r="CV190" s="563" t="s">
        <v>1584</v>
      </c>
      <c r="CW190" s="563">
        <v>3</v>
      </c>
      <c r="CX190" s="563">
        <v>0</v>
      </c>
      <c r="CY190" s="563">
        <v>0</v>
      </c>
      <c r="CZ190" s="563">
        <v>0</v>
      </c>
      <c r="DA190" s="650">
        <v>36153.383136922341</v>
      </c>
      <c r="DB190" s="563">
        <v>0</v>
      </c>
      <c r="DC190" s="563">
        <v>0</v>
      </c>
      <c r="DD190" s="563">
        <v>0</v>
      </c>
      <c r="DE190" s="650">
        <v>35466.031745264409</v>
      </c>
      <c r="DF190" s="564">
        <v>4000</v>
      </c>
      <c r="DG190" s="565">
        <v>147.02653618800232</v>
      </c>
      <c r="DH190" s="649">
        <v>2.3738400000000004</v>
      </c>
      <c r="DI190" s="646">
        <v>19.595898290061726</v>
      </c>
      <c r="DJ190" s="646">
        <v>0</v>
      </c>
      <c r="DK190" s="646">
        <v>0</v>
      </c>
      <c r="DL190" s="646">
        <v>14.812466866637577</v>
      </c>
      <c r="DM190" s="646">
        <v>0.96528192998353912</v>
      </c>
      <c r="DN190" s="646">
        <v>3600</v>
      </c>
      <c r="DO190" s="563" t="s">
        <v>1585</v>
      </c>
      <c r="DP190" s="563">
        <v>2</v>
      </c>
      <c r="DQ190" s="563">
        <v>0</v>
      </c>
      <c r="DR190" s="563">
        <v>0</v>
      </c>
      <c r="DS190" s="563">
        <v>0</v>
      </c>
      <c r="DT190" s="650">
        <v>23105.347530739586</v>
      </c>
      <c r="DU190" s="563">
        <v>0</v>
      </c>
      <c r="DV190" s="563">
        <v>0</v>
      </c>
      <c r="DW190" s="563">
        <v>0</v>
      </c>
      <c r="DX190" s="650">
        <v>22666.06657272116</v>
      </c>
      <c r="DY190" s="564">
        <v>4000</v>
      </c>
      <c r="DZ190" s="565">
        <v>147.02653618800232</v>
      </c>
      <c r="EA190" s="649">
        <v>2.3738400000000004</v>
      </c>
      <c r="EB190" s="646">
        <v>19.595898290061726</v>
      </c>
      <c r="EC190" s="646">
        <v>0</v>
      </c>
      <c r="ED190" s="646">
        <v>0</v>
      </c>
      <c r="EE190" s="646">
        <v>14.812466866637577</v>
      </c>
      <c r="EF190" s="646">
        <v>0.96528192998353912</v>
      </c>
      <c r="EG190" s="646">
        <v>3600</v>
      </c>
      <c r="EH190" s="563" t="s">
        <v>1585</v>
      </c>
      <c r="EI190" s="563">
        <v>2</v>
      </c>
      <c r="EJ190" s="563">
        <v>0</v>
      </c>
      <c r="EK190" s="563">
        <v>0</v>
      </c>
      <c r="EL190" s="563">
        <v>0</v>
      </c>
      <c r="EM190" s="650">
        <v>23105.347530739586</v>
      </c>
      <c r="EN190" s="563">
        <v>0</v>
      </c>
      <c r="EO190" s="563">
        <v>0</v>
      </c>
      <c r="EP190" s="563">
        <v>0</v>
      </c>
      <c r="EQ190" s="650">
        <v>22666.06657272116</v>
      </c>
      <c r="ER190" s="564">
        <v>4000</v>
      </c>
      <c r="ES190" s="565">
        <v>147.02653618800232</v>
      </c>
      <c r="ET190" s="649">
        <v>2.3738400000000004</v>
      </c>
      <c r="EU190" s="646">
        <v>19.595898290061726</v>
      </c>
      <c r="EV190" s="646">
        <v>0</v>
      </c>
      <c r="EW190" s="646">
        <v>0</v>
      </c>
      <c r="EX190" s="646">
        <v>14.812466866637577</v>
      </c>
      <c r="EY190" s="646">
        <v>0.96528192998353912</v>
      </c>
      <c r="EZ190" s="646">
        <v>3600</v>
      </c>
      <c r="FA190" s="563" t="s">
        <v>1586</v>
      </c>
      <c r="FB190" s="563">
        <v>2</v>
      </c>
      <c r="FC190" s="563">
        <v>0</v>
      </c>
      <c r="FD190" s="563">
        <v>0</v>
      </c>
      <c r="FE190" s="563">
        <v>0</v>
      </c>
      <c r="FF190" s="650">
        <v>24251.755307276388</v>
      </c>
      <c r="FG190" s="563">
        <v>0</v>
      </c>
      <c r="FH190" s="563">
        <v>0</v>
      </c>
      <c r="FI190" s="563">
        <v>0</v>
      </c>
      <c r="FJ190" s="650">
        <v>23790.67874087394</v>
      </c>
      <c r="FK190" s="564">
        <v>4000</v>
      </c>
      <c r="FL190" s="565">
        <v>147.02653618800232</v>
      </c>
      <c r="FM190" s="649">
        <v>2.3738400000000004</v>
      </c>
      <c r="FN190" s="646">
        <v>19.595898290061726</v>
      </c>
      <c r="FO190" s="646">
        <v>0</v>
      </c>
      <c r="FP190" s="646">
        <v>0</v>
      </c>
      <c r="FQ190" s="646">
        <v>14.812466866637577</v>
      </c>
      <c r="FR190" s="646">
        <v>0.96528192998353912</v>
      </c>
      <c r="FS190" s="646">
        <v>3600</v>
      </c>
      <c r="FT190" s="563" t="s">
        <v>1586</v>
      </c>
      <c r="FU190" s="563">
        <v>2</v>
      </c>
      <c r="FV190" s="563">
        <v>0</v>
      </c>
      <c r="FW190" s="563">
        <v>0</v>
      </c>
      <c r="FX190" s="563">
        <v>0</v>
      </c>
      <c r="FY190" s="650">
        <v>24251.755307276388</v>
      </c>
      <c r="FZ190" s="563">
        <v>0</v>
      </c>
      <c r="GA190" s="563">
        <v>0</v>
      </c>
      <c r="GB190" s="563">
        <v>0</v>
      </c>
      <c r="GC190" s="650">
        <v>23790.67874087394</v>
      </c>
      <c r="GD190" s="564">
        <v>4000</v>
      </c>
      <c r="GE190" s="565">
        <v>147.02653618800232</v>
      </c>
      <c r="GF190" s="649">
        <v>2.3738400000000004</v>
      </c>
      <c r="GG190" s="646">
        <v>19.595898290061726</v>
      </c>
      <c r="GH190" s="646">
        <v>0</v>
      </c>
      <c r="GI190" s="646">
        <v>0</v>
      </c>
      <c r="GJ190" s="646">
        <v>14.812466866637577</v>
      </c>
      <c r="GK190" s="646">
        <v>0.96528192998353912</v>
      </c>
      <c r="GL190" s="646">
        <v>3600</v>
      </c>
      <c r="GM190" s="563" t="s">
        <v>1587</v>
      </c>
      <c r="GN190" s="563">
        <v>2</v>
      </c>
      <c r="GO190" s="563">
        <v>0</v>
      </c>
      <c r="GP190" s="563">
        <v>0</v>
      </c>
      <c r="GQ190" s="563">
        <v>0</v>
      </c>
      <c r="GR190" s="650">
        <v>28536.963127079933</v>
      </c>
      <c r="GS190" s="563">
        <v>0</v>
      </c>
      <c r="GT190" s="563">
        <v>0</v>
      </c>
      <c r="GU190" s="563">
        <v>0</v>
      </c>
      <c r="GV190" s="650">
        <v>27994.415801846128</v>
      </c>
      <c r="GW190" s="564">
        <v>4000</v>
      </c>
      <c r="GX190" s="565">
        <v>147.02653618800232</v>
      </c>
      <c r="GY190" s="649">
        <v>2.3738400000000004</v>
      </c>
      <c r="GZ190" s="646">
        <v>19.595898290061726</v>
      </c>
      <c r="HA190" s="646">
        <v>0</v>
      </c>
      <c r="HB190" s="646">
        <v>0</v>
      </c>
      <c r="HC190" s="646">
        <v>14.812466866637577</v>
      </c>
      <c r="HD190" s="646">
        <v>0.96528192998353912</v>
      </c>
      <c r="HE190" s="646">
        <v>3600</v>
      </c>
      <c r="HF190" s="563" t="s">
        <v>1587</v>
      </c>
      <c r="HG190" s="563">
        <v>2</v>
      </c>
      <c r="HH190" s="563">
        <v>0</v>
      </c>
      <c r="HI190" s="563">
        <v>0</v>
      </c>
      <c r="HJ190" s="563">
        <v>0</v>
      </c>
      <c r="HK190" s="650">
        <v>28536.963127079933</v>
      </c>
      <c r="HL190" s="563">
        <v>0</v>
      </c>
      <c r="HM190" s="563">
        <v>0</v>
      </c>
      <c r="HN190" s="563">
        <v>0</v>
      </c>
      <c r="HO190" s="650">
        <v>27994.415801846128</v>
      </c>
      <c r="HP190" s="564">
        <v>4000</v>
      </c>
      <c r="HQ190" s="565">
        <v>147.02653618800232</v>
      </c>
      <c r="HR190" s="649">
        <v>2.3738400000000004</v>
      </c>
      <c r="HS190" s="646">
        <v>19.595898290061726</v>
      </c>
      <c r="HT190" s="646">
        <v>0</v>
      </c>
      <c r="HU190" s="646">
        <v>0</v>
      </c>
      <c r="HV190" s="646">
        <v>14.812466866637577</v>
      </c>
      <c r="HW190" s="646">
        <v>0.96528192998353912</v>
      </c>
      <c r="HX190" s="646">
        <v>3600</v>
      </c>
      <c r="HY190" s="563" t="s">
        <v>68</v>
      </c>
      <c r="HZ190" s="563">
        <v>2</v>
      </c>
      <c r="IA190" s="563">
        <v>0</v>
      </c>
      <c r="IB190" s="563">
        <v>0</v>
      </c>
      <c r="IC190" s="563">
        <v>0</v>
      </c>
      <c r="ID190" s="650">
        <v>25167.235869091197</v>
      </c>
      <c r="IE190" s="563">
        <v>0</v>
      </c>
      <c r="IF190" s="563">
        <v>0</v>
      </c>
      <c r="IG190" s="563">
        <v>0</v>
      </c>
      <c r="IH190" s="650">
        <v>24688.754103407227</v>
      </c>
      <c r="II190" s="564">
        <v>4000</v>
      </c>
      <c r="IJ190" s="565">
        <v>147.02653618800232</v>
      </c>
      <c r="IK190" s="649">
        <v>2.3738400000000004</v>
      </c>
      <c r="IL190" s="646">
        <v>19.595898290061726</v>
      </c>
      <c r="IM190" s="646">
        <v>0</v>
      </c>
      <c r="IN190" s="646">
        <v>0</v>
      </c>
      <c r="IO190" s="646">
        <v>14.812466866637577</v>
      </c>
      <c r="IP190" s="646">
        <v>0.96528192998353912</v>
      </c>
      <c r="IQ190" s="646">
        <v>3600</v>
      </c>
      <c r="IR190" s="563" t="s">
        <v>68</v>
      </c>
      <c r="IS190" s="563">
        <v>2</v>
      </c>
      <c r="IT190" s="563">
        <v>0</v>
      </c>
      <c r="IU190" s="563">
        <v>0</v>
      </c>
      <c r="IV190" s="563">
        <v>0</v>
      </c>
      <c r="IW190" s="650">
        <v>25167.235869091197</v>
      </c>
      <c r="IX190" s="563">
        <v>0</v>
      </c>
      <c r="IY190" s="563">
        <v>0</v>
      </c>
      <c r="IZ190" s="563">
        <v>0</v>
      </c>
      <c r="JA190" s="650">
        <v>24688.754103407227</v>
      </c>
      <c r="JB190" s="564">
        <v>4000</v>
      </c>
      <c r="JC190" s="565">
        <v>147.02653618800232</v>
      </c>
      <c r="JD190" s="649">
        <v>2.3738400000000004</v>
      </c>
      <c r="JE190" s="646">
        <v>19.595898290061726</v>
      </c>
      <c r="JF190" s="646">
        <v>0</v>
      </c>
      <c r="JG190" s="646">
        <v>0</v>
      </c>
      <c r="JH190" s="646">
        <v>14.812466866637577</v>
      </c>
      <c r="JI190" s="646">
        <v>0.96528192998353912</v>
      </c>
      <c r="JJ190" s="646">
        <v>3600</v>
      </c>
      <c r="JK190" s="563" t="s">
        <v>67</v>
      </c>
      <c r="JL190" s="563">
        <v>2</v>
      </c>
      <c r="JM190" s="563">
        <v>0</v>
      </c>
      <c r="JN190" s="563">
        <v>0</v>
      </c>
      <c r="JO190" s="563">
        <v>0</v>
      </c>
      <c r="JP190" s="650">
        <v>34297.161266903953</v>
      </c>
      <c r="JQ190" s="563">
        <v>0</v>
      </c>
      <c r="JR190" s="563">
        <v>0</v>
      </c>
      <c r="JS190" s="563">
        <v>0</v>
      </c>
      <c r="JT190" s="650">
        <v>33645.100533405188</v>
      </c>
      <c r="JU190" s="564">
        <v>4000</v>
      </c>
      <c r="JV190" s="565">
        <v>147.02653618800232</v>
      </c>
      <c r="JW190" s="649">
        <v>2.3738400000000004</v>
      </c>
      <c r="JX190" s="646">
        <v>19.595898290061726</v>
      </c>
      <c r="JY190" s="646">
        <v>0</v>
      </c>
      <c r="JZ190" s="646">
        <v>0</v>
      </c>
      <c r="KA190" s="646">
        <v>14.812466866637577</v>
      </c>
      <c r="KB190" s="646">
        <v>0.96528192998353912</v>
      </c>
      <c r="KC190" s="646">
        <v>3600</v>
      </c>
      <c r="KD190" s="563" t="s">
        <v>67</v>
      </c>
      <c r="KE190" s="563">
        <v>2</v>
      </c>
      <c r="KF190" s="563">
        <v>0</v>
      </c>
      <c r="KG190" s="563">
        <v>0</v>
      </c>
      <c r="KH190" s="563">
        <v>0</v>
      </c>
      <c r="KI190" s="650">
        <v>34297.161266903953</v>
      </c>
      <c r="KJ190" s="563">
        <v>0</v>
      </c>
      <c r="KK190" s="563">
        <v>0</v>
      </c>
      <c r="KL190" s="563">
        <v>0</v>
      </c>
      <c r="KM190" s="650">
        <v>33645.100533405188</v>
      </c>
      <c r="KN190" s="564">
        <v>4000</v>
      </c>
      <c r="KO190" s="566">
        <v>147.02653618800232</v>
      </c>
    </row>
    <row r="191" spans="1:301" ht="15" customHeight="1">
      <c r="A191" s="663" t="s">
        <v>940</v>
      </c>
      <c r="B191" s="629" t="s">
        <v>382</v>
      </c>
      <c r="C191" s="629">
        <v>190</v>
      </c>
      <c r="D191" s="629">
        <v>702</v>
      </c>
      <c r="E191" s="629">
        <v>160</v>
      </c>
      <c r="F191" s="629">
        <v>190</v>
      </c>
      <c r="G191" s="629">
        <v>49</v>
      </c>
      <c r="H191" s="629">
        <v>35</v>
      </c>
      <c r="I191" s="629">
        <v>35</v>
      </c>
      <c r="J191" s="629">
        <v>52</v>
      </c>
      <c r="K191" s="629">
        <v>80</v>
      </c>
      <c r="L191" s="629">
        <v>16</v>
      </c>
      <c r="M191" s="629">
        <v>270</v>
      </c>
      <c r="N191" s="629">
        <v>2</v>
      </c>
      <c r="O191" s="623">
        <v>5.7609762674514808</v>
      </c>
      <c r="P191" s="629">
        <v>2</v>
      </c>
      <c r="Q191" s="623">
        <v>4.8531247129033277</v>
      </c>
      <c r="R191" s="629">
        <v>10</v>
      </c>
      <c r="S191" s="629">
        <v>315</v>
      </c>
      <c r="T191" s="645">
        <v>6.1175939219042776</v>
      </c>
      <c r="U191" s="645">
        <v>47.25</v>
      </c>
      <c r="V191" s="645">
        <v>47.5</v>
      </c>
      <c r="W191" s="793">
        <v>0.49036338780263977</v>
      </c>
      <c r="X191" s="646">
        <v>0</v>
      </c>
      <c r="Y191" s="646">
        <v>0</v>
      </c>
      <c r="Z191" s="646">
        <v>0</v>
      </c>
      <c r="AA191" s="646">
        <v>0</v>
      </c>
      <c r="AB191" s="647">
        <v>1.1499425099367915</v>
      </c>
      <c r="AC191" s="784">
        <v>4000</v>
      </c>
      <c r="AD191" s="631"/>
      <c r="AE191" s="631"/>
      <c r="AF191" s="631"/>
      <c r="AG191" s="631"/>
      <c r="AH191" s="629"/>
      <c r="AI191" s="648">
        <v>1.7938836786623684</v>
      </c>
      <c r="AJ191" s="649">
        <v>3.5607600000000006</v>
      </c>
      <c r="AK191" s="646">
        <v>20.782818290061726</v>
      </c>
      <c r="AL191" s="646">
        <v>0</v>
      </c>
      <c r="AM191" s="646">
        <v>0</v>
      </c>
      <c r="AN191" s="646">
        <v>14.965953596980395</v>
      </c>
      <c r="AO191" s="646">
        <v>1.0437527719435391</v>
      </c>
      <c r="AP191" s="801">
        <v>3600</v>
      </c>
      <c r="AQ191" s="563" t="s">
        <v>71</v>
      </c>
      <c r="AR191" s="563">
        <v>3</v>
      </c>
      <c r="AS191" s="563">
        <v>0</v>
      </c>
      <c r="AT191" s="563">
        <v>0</v>
      </c>
      <c r="AU191" s="563">
        <v>0</v>
      </c>
      <c r="AV191" s="650">
        <v>36898.89215033401</v>
      </c>
      <c r="AW191" s="563">
        <v>0</v>
      </c>
      <c r="AX191" s="563">
        <v>0</v>
      </c>
      <c r="AY191" s="563">
        <v>0</v>
      </c>
      <c r="AZ191" s="650">
        <v>36197.367073853216</v>
      </c>
      <c r="BA191" s="564">
        <v>4000</v>
      </c>
      <c r="BB191" s="565">
        <v>147.02653618800232</v>
      </c>
      <c r="BC191" s="649">
        <v>3.5607600000000006</v>
      </c>
      <c r="BD191" s="646">
        <v>20.782818290061726</v>
      </c>
      <c r="BE191" s="646">
        <v>0</v>
      </c>
      <c r="BF191" s="646">
        <v>0</v>
      </c>
      <c r="BG191" s="646">
        <v>14.965953596980395</v>
      </c>
      <c r="BH191" s="646">
        <v>1.0437527719435391</v>
      </c>
      <c r="BI191" s="646">
        <v>3600</v>
      </c>
      <c r="BJ191" s="563" t="s">
        <v>71</v>
      </c>
      <c r="BK191" s="563">
        <v>3</v>
      </c>
      <c r="BL191" s="563">
        <v>0</v>
      </c>
      <c r="BM191" s="563">
        <v>0</v>
      </c>
      <c r="BN191" s="563">
        <v>0</v>
      </c>
      <c r="BO191" s="650">
        <v>36898.89215033401</v>
      </c>
      <c r="BP191" s="563">
        <v>0</v>
      </c>
      <c r="BQ191" s="563">
        <v>0</v>
      </c>
      <c r="BR191" s="563">
        <v>0</v>
      </c>
      <c r="BS191" s="650">
        <v>36197.367073853216</v>
      </c>
      <c r="BT191" s="564">
        <v>4000</v>
      </c>
      <c r="BU191" s="565">
        <v>147.02653618800232</v>
      </c>
      <c r="BV191" s="649">
        <v>3.5607600000000006</v>
      </c>
      <c r="BW191" s="646">
        <v>20.782818290061726</v>
      </c>
      <c r="BX191" s="646">
        <v>0</v>
      </c>
      <c r="BY191" s="646">
        <v>0</v>
      </c>
      <c r="BZ191" s="646">
        <v>14.965953596980395</v>
      </c>
      <c r="CA191" s="646">
        <v>1.0437527719435391</v>
      </c>
      <c r="CB191" s="646">
        <v>3600</v>
      </c>
      <c r="CC191" s="563" t="s">
        <v>1584</v>
      </c>
      <c r="CD191" s="563">
        <v>3</v>
      </c>
      <c r="CE191" s="563">
        <v>0</v>
      </c>
      <c r="CF191" s="563">
        <v>0</v>
      </c>
      <c r="CG191" s="563">
        <v>0</v>
      </c>
      <c r="CH191" s="650">
        <v>36153.383136922341</v>
      </c>
      <c r="CI191" s="563">
        <v>0</v>
      </c>
      <c r="CJ191" s="563">
        <v>0</v>
      </c>
      <c r="CK191" s="563">
        <v>0</v>
      </c>
      <c r="CL191" s="650">
        <v>35466.031745264409</v>
      </c>
      <c r="CM191" s="564">
        <v>4000</v>
      </c>
      <c r="CN191" s="565">
        <v>147.02653618800232</v>
      </c>
      <c r="CO191" s="649">
        <v>3.5607600000000006</v>
      </c>
      <c r="CP191" s="646">
        <v>20.782818290061726</v>
      </c>
      <c r="CQ191" s="646">
        <v>0</v>
      </c>
      <c r="CR191" s="646">
        <v>0</v>
      </c>
      <c r="CS191" s="646">
        <v>14.965953596980395</v>
      </c>
      <c r="CT191" s="646">
        <v>1.0437527719435391</v>
      </c>
      <c r="CU191" s="646">
        <v>3600</v>
      </c>
      <c r="CV191" s="563" t="s">
        <v>1584</v>
      </c>
      <c r="CW191" s="563">
        <v>3</v>
      </c>
      <c r="CX191" s="563">
        <v>0</v>
      </c>
      <c r="CY191" s="563">
        <v>0</v>
      </c>
      <c r="CZ191" s="563">
        <v>0</v>
      </c>
      <c r="DA191" s="650">
        <v>36153.383136922341</v>
      </c>
      <c r="DB191" s="563">
        <v>0</v>
      </c>
      <c r="DC191" s="563">
        <v>0</v>
      </c>
      <c r="DD191" s="563">
        <v>0</v>
      </c>
      <c r="DE191" s="650">
        <v>35466.031745264409</v>
      </c>
      <c r="DF191" s="564">
        <v>4000</v>
      </c>
      <c r="DG191" s="565">
        <v>147.02653618800232</v>
      </c>
      <c r="DH191" s="649">
        <v>2.3738400000000004</v>
      </c>
      <c r="DI191" s="646">
        <v>19.595898290061726</v>
      </c>
      <c r="DJ191" s="646">
        <v>0</v>
      </c>
      <c r="DK191" s="646">
        <v>0</v>
      </c>
      <c r="DL191" s="646">
        <v>14.812466866637577</v>
      </c>
      <c r="DM191" s="646">
        <v>0.96528192998353912</v>
      </c>
      <c r="DN191" s="646">
        <v>3600</v>
      </c>
      <c r="DO191" s="563" t="s">
        <v>1585</v>
      </c>
      <c r="DP191" s="563">
        <v>2</v>
      </c>
      <c r="DQ191" s="563">
        <v>0</v>
      </c>
      <c r="DR191" s="563">
        <v>0</v>
      </c>
      <c r="DS191" s="563">
        <v>0</v>
      </c>
      <c r="DT191" s="650">
        <v>23105.347530739586</v>
      </c>
      <c r="DU191" s="563">
        <v>0</v>
      </c>
      <c r="DV191" s="563">
        <v>0</v>
      </c>
      <c r="DW191" s="563">
        <v>0</v>
      </c>
      <c r="DX191" s="650">
        <v>22666.06657272116</v>
      </c>
      <c r="DY191" s="564">
        <v>4000</v>
      </c>
      <c r="DZ191" s="565">
        <v>147.02653618800232</v>
      </c>
      <c r="EA191" s="649">
        <v>2.3738400000000004</v>
      </c>
      <c r="EB191" s="646">
        <v>19.595898290061726</v>
      </c>
      <c r="EC191" s="646">
        <v>0</v>
      </c>
      <c r="ED191" s="646">
        <v>0</v>
      </c>
      <c r="EE191" s="646">
        <v>14.812466866637577</v>
      </c>
      <c r="EF191" s="646">
        <v>0.96528192998353912</v>
      </c>
      <c r="EG191" s="646">
        <v>3600</v>
      </c>
      <c r="EH191" s="563" t="s">
        <v>1585</v>
      </c>
      <c r="EI191" s="563">
        <v>2</v>
      </c>
      <c r="EJ191" s="563">
        <v>0</v>
      </c>
      <c r="EK191" s="563">
        <v>0</v>
      </c>
      <c r="EL191" s="563">
        <v>0</v>
      </c>
      <c r="EM191" s="650">
        <v>23105.347530739586</v>
      </c>
      <c r="EN191" s="563">
        <v>0</v>
      </c>
      <c r="EO191" s="563">
        <v>0</v>
      </c>
      <c r="EP191" s="563">
        <v>0</v>
      </c>
      <c r="EQ191" s="650">
        <v>22666.06657272116</v>
      </c>
      <c r="ER191" s="564">
        <v>4000</v>
      </c>
      <c r="ES191" s="565">
        <v>147.02653618800232</v>
      </c>
      <c r="ET191" s="649">
        <v>2.3738400000000004</v>
      </c>
      <c r="EU191" s="646">
        <v>19.595898290061726</v>
      </c>
      <c r="EV191" s="646">
        <v>0</v>
      </c>
      <c r="EW191" s="646">
        <v>0</v>
      </c>
      <c r="EX191" s="646">
        <v>14.812466866637577</v>
      </c>
      <c r="EY191" s="646">
        <v>0.96528192998353912</v>
      </c>
      <c r="EZ191" s="646">
        <v>3600</v>
      </c>
      <c r="FA191" s="563" t="s">
        <v>1586</v>
      </c>
      <c r="FB191" s="563">
        <v>2</v>
      </c>
      <c r="FC191" s="563">
        <v>0</v>
      </c>
      <c r="FD191" s="563">
        <v>0</v>
      </c>
      <c r="FE191" s="563">
        <v>0</v>
      </c>
      <c r="FF191" s="650">
        <v>24251.755307276388</v>
      </c>
      <c r="FG191" s="563">
        <v>0</v>
      </c>
      <c r="FH191" s="563">
        <v>0</v>
      </c>
      <c r="FI191" s="563">
        <v>0</v>
      </c>
      <c r="FJ191" s="650">
        <v>23790.67874087394</v>
      </c>
      <c r="FK191" s="564">
        <v>4000</v>
      </c>
      <c r="FL191" s="565">
        <v>147.02653618800232</v>
      </c>
      <c r="FM191" s="649">
        <v>2.3738400000000004</v>
      </c>
      <c r="FN191" s="646">
        <v>19.595898290061726</v>
      </c>
      <c r="FO191" s="646">
        <v>0</v>
      </c>
      <c r="FP191" s="646">
        <v>0</v>
      </c>
      <c r="FQ191" s="646">
        <v>14.812466866637577</v>
      </c>
      <c r="FR191" s="646">
        <v>0.96528192998353912</v>
      </c>
      <c r="FS191" s="646">
        <v>3600</v>
      </c>
      <c r="FT191" s="563" t="s">
        <v>1586</v>
      </c>
      <c r="FU191" s="563">
        <v>2</v>
      </c>
      <c r="FV191" s="563">
        <v>0</v>
      </c>
      <c r="FW191" s="563">
        <v>0</v>
      </c>
      <c r="FX191" s="563">
        <v>0</v>
      </c>
      <c r="FY191" s="650">
        <v>24251.755307276388</v>
      </c>
      <c r="FZ191" s="563">
        <v>0</v>
      </c>
      <c r="GA191" s="563">
        <v>0</v>
      </c>
      <c r="GB191" s="563">
        <v>0</v>
      </c>
      <c r="GC191" s="650">
        <v>23790.67874087394</v>
      </c>
      <c r="GD191" s="564">
        <v>4000</v>
      </c>
      <c r="GE191" s="565">
        <v>147.02653618800232</v>
      </c>
      <c r="GF191" s="649">
        <v>2.3738400000000004</v>
      </c>
      <c r="GG191" s="646">
        <v>19.595898290061726</v>
      </c>
      <c r="GH191" s="646">
        <v>0</v>
      </c>
      <c r="GI191" s="646">
        <v>0</v>
      </c>
      <c r="GJ191" s="646">
        <v>14.812466866637577</v>
      </c>
      <c r="GK191" s="646">
        <v>0.96528192998353912</v>
      </c>
      <c r="GL191" s="646">
        <v>3600</v>
      </c>
      <c r="GM191" s="563" t="s">
        <v>1587</v>
      </c>
      <c r="GN191" s="563">
        <v>2</v>
      </c>
      <c r="GO191" s="563">
        <v>0</v>
      </c>
      <c r="GP191" s="563">
        <v>0</v>
      </c>
      <c r="GQ191" s="563">
        <v>0</v>
      </c>
      <c r="GR191" s="650">
        <v>28536.963127079933</v>
      </c>
      <c r="GS191" s="563">
        <v>0</v>
      </c>
      <c r="GT191" s="563">
        <v>0</v>
      </c>
      <c r="GU191" s="563">
        <v>0</v>
      </c>
      <c r="GV191" s="650">
        <v>27994.415801846128</v>
      </c>
      <c r="GW191" s="564">
        <v>4000</v>
      </c>
      <c r="GX191" s="565">
        <v>147.02653618800232</v>
      </c>
      <c r="GY191" s="649">
        <v>2.3738400000000004</v>
      </c>
      <c r="GZ191" s="646">
        <v>19.595898290061726</v>
      </c>
      <c r="HA191" s="646">
        <v>0</v>
      </c>
      <c r="HB191" s="646">
        <v>0</v>
      </c>
      <c r="HC191" s="646">
        <v>14.812466866637577</v>
      </c>
      <c r="HD191" s="646">
        <v>0.96528192998353912</v>
      </c>
      <c r="HE191" s="646">
        <v>3600</v>
      </c>
      <c r="HF191" s="563" t="s">
        <v>1587</v>
      </c>
      <c r="HG191" s="563">
        <v>2</v>
      </c>
      <c r="HH191" s="563">
        <v>0</v>
      </c>
      <c r="HI191" s="563">
        <v>0</v>
      </c>
      <c r="HJ191" s="563">
        <v>0</v>
      </c>
      <c r="HK191" s="650">
        <v>28536.963127079933</v>
      </c>
      <c r="HL191" s="563">
        <v>0</v>
      </c>
      <c r="HM191" s="563">
        <v>0</v>
      </c>
      <c r="HN191" s="563">
        <v>0</v>
      </c>
      <c r="HO191" s="650">
        <v>27994.415801846128</v>
      </c>
      <c r="HP191" s="564">
        <v>4000</v>
      </c>
      <c r="HQ191" s="565">
        <v>147.02653618800232</v>
      </c>
      <c r="HR191" s="649">
        <v>2.3738400000000004</v>
      </c>
      <c r="HS191" s="646">
        <v>19.595898290061726</v>
      </c>
      <c r="HT191" s="646">
        <v>0</v>
      </c>
      <c r="HU191" s="646">
        <v>0</v>
      </c>
      <c r="HV191" s="646">
        <v>14.812466866637577</v>
      </c>
      <c r="HW191" s="646">
        <v>0.96528192998353912</v>
      </c>
      <c r="HX191" s="646">
        <v>3600</v>
      </c>
      <c r="HY191" s="563" t="s">
        <v>68</v>
      </c>
      <c r="HZ191" s="563">
        <v>2</v>
      </c>
      <c r="IA191" s="563">
        <v>0</v>
      </c>
      <c r="IB191" s="563">
        <v>0</v>
      </c>
      <c r="IC191" s="563">
        <v>0</v>
      </c>
      <c r="ID191" s="650">
        <v>25167.235869091197</v>
      </c>
      <c r="IE191" s="563">
        <v>0</v>
      </c>
      <c r="IF191" s="563">
        <v>0</v>
      </c>
      <c r="IG191" s="563">
        <v>0</v>
      </c>
      <c r="IH191" s="650">
        <v>24688.754103407227</v>
      </c>
      <c r="II191" s="564">
        <v>4000</v>
      </c>
      <c r="IJ191" s="565">
        <v>147.02653618800232</v>
      </c>
      <c r="IK191" s="649">
        <v>2.3738400000000004</v>
      </c>
      <c r="IL191" s="646">
        <v>19.595898290061726</v>
      </c>
      <c r="IM191" s="646">
        <v>0</v>
      </c>
      <c r="IN191" s="646">
        <v>0</v>
      </c>
      <c r="IO191" s="646">
        <v>14.812466866637577</v>
      </c>
      <c r="IP191" s="646">
        <v>0.96528192998353912</v>
      </c>
      <c r="IQ191" s="646">
        <v>3600</v>
      </c>
      <c r="IR191" s="563" t="s">
        <v>68</v>
      </c>
      <c r="IS191" s="563">
        <v>2</v>
      </c>
      <c r="IT191" s="563">
        <v>0</v>
      </c>
      <c r="IU191" s="563">
        <v>0</v>
      </c>
      <c r="IV191" s="563">
        <v>0</v>
      </c>
      <c r="IW191" s="650">
        <v>25167.235869091197</v>
      </c>
      <c r="IX191" s="563">
        <v>0</v>
      </c>
      <c r="IY191" s="563">
        <v>0</v>
      </c>
      <c r="IZ191" s="563">
        <v>0</v>
      </c>
      <c r="JA191" s="650">
        <v>24688.754103407227</v>
      </c>
      <c r="JB191" s="564">
        <v>4000</v>
      </c>
      <c r="JC191" s="565">
        <v>147.02653618800232</v>
      </c>
      <c r="JD191" s="649">
        <v>2.3738400000000004</v>
      </c>
      <c r="JE191" s="646">
        <v>19.595898290061726</v>
      </c>
      <c r="JF191" s="646">
        <v>0</v>
      </c>
      <c r="JG191" s="646">
        <v>0</v>
      </c>
      <c r="JH191" s="646">
        <v>14.812466866637577</v>
      </c>
      <c r="JI191" s="646">
        <v>0.96528192998353912</v>
      </c>
      <c r="JJ191" s="646">
        <v>3600</v>
      </c>
      <c r="JK191" s="563" t="s">
        <v>67</v>
      </c>
      <c r="JL191" s="563">
        <v>2</v>
      </c>
      <c r="JM191" s="563">
        <v>0</v>
      </c>
      <c r="JN191" s="563">
        <v>0</v>
      </c>
      <c r="JO191" s="563">
        <v>0</v>
      </c>
      <c r="JP191" s="650">
        <v>34297.161266903953</v>
      </c>
      <c r="JQ191" s="563">
        <v>0</v>
      </c>
      <c r="JR191" s="563">
        <v>0</v>
      </c>
      <c r="JS191" s="563">
        <v>0</v>
      </c>
      <c r="JT191" s="650">
        <v>33645.100533405188</v>
      </c>
      <c r="JU191" s="564">
        <v>4000</v>
      </c>
      <c r="JV191" s="565">
        <v>147.02653618800232</v>
      </c>
      <c r="JW191" s="649">
        <v>2.3738400000000004</v>
      </c>
      <c r="JX191" s="646">
        <v>19.595898290061726</v>
      </c>
      <c r="JY191" s="646">
        <v>0</v>
      </c>
      <c r="JZ191" s="646">
        <v>0</v>
      </c>
      <c r="KA191" s="646">
        <v>14.812466866637577</v>
      </c>
      <c r="KB191" s="646">
        <v>0.96528192998353912</v>
      </c>
      <c r="KC191" s="646">
        <v>3600</v>
      </c>
      <c r="KD191" s="563" t="s">
        <v>67</v>
      </c>
      <c r="KE191" s="563">
        <v>2</v>
      </c>
      <c r="KF191" s="563">
        <v>0</v>
      </c>
      <c r="KG191" s="563">
        <v>0</v>
      </c>
      <c r="KH191" s="563">
        <v>0</v>
      </c>
      <c r="KI191" s="650">
        <v>34297.161266903953</v>
      </c>
      <c r="KJ191" s="563">
        <v>0</v>
      </c>
      <c r="KK191" s="563">
        <v>0</v>
      </c>
      <c r="KL191" s="563">
        <v>0</v>
      </c>
      <c r="KM191" s="650">
        <v>33645.100533405188</v>
      </c>
      <c r="KN191" s="564">
        <v>4000</v>
      </c>
      <c r="KO191" s="566">
        <v>147.02653618800232</v>
      </c>
    </row>
    <row r="192" spans="1:301" ht="15" customHeight="1">
      <c r="A192" s="663" t="s">
        <v>941</v>
      </c>
      <c r="B192" s="629" t="s">
        <v>382</v>
      </c>
      <c r="C192" s="629">
        <v>190</v>
      </c>
      <c r="D192" s="629">
        <v>702</v>
      </c>
      <c r="E192" s="629">
        <v>160</v>
      </c>
      <c r="F192" s="629">
        <v>190</v>
      </c>
      <c r="G192" s="629">
        <v>49</v>
      </c>
      <c r="H192" s="629">
        <v>35</v>
      </c>
      <c r="I192" s="629">
        <v>35</v>
      </c>
      <c r="J192" s="629">
        <v>58.93</v>
      </c>
      <c r="K192" s="629">
        <v>82</v>
      </c>
      <c r="L192" s="629">
        <v>16</v>
      </c>
      <c r="M192" s="629">
        <v>270</v>
      </c>
      <c r="N192" s="629">
        <v>2</v>
      </c>
      <c r="O192" s="623">
        <v>5.7609762674514808</v>
      </c>
      <c r="P192" s="629">
        <v>2</v>
      </c>
      <c r="Q192" s="623">
        <v>4.8531247129033277</v>
      </c>
      <c r="R192" s="629">
        <v>10</v>
      </c>
      <c r="S192" s="629">
        <v>315</v>
      </c>
      <c r="T192" s="645">
        <v>6.1175939219042776</v>
      </c>
      <c r="U192" s="645">
        <v>47.25</v>
      </c>
      <c r="V192" s="645">
        <v>47.5</v>
      </c>
      <c r="W192" s="793">
        <v>0.49036338780263977</v>
      </c>
      <c r="X192" s="646">
        <v>0</v>
      </c>
      <c r="Y192" s="646">
        <v>0</v>
      </c>
      <c r="Z192" s="646">
        <v>0</v>
      </c>
      <c r="AA192" s="646">
        <v>0</v>
      </c>
      <c r="AB192" s="647">
        <v>1.1499425099367915</v>
      </c>
      <c r="AC192" s="784">
        <v>4000</v>
      </c>
      <c r="AD192" s="631"/>
      <c r="AE192" s="631"/>
      <c r="AF192" s="631"/>
      <c r="AG192" s="631"/>
      <c r="AH192" s="629"/>
      <c r="AI192" s="648">
        <v>1.7938836786623684</v>
      </c>
      <c r="AJ192" s="649">
        <v>3.5607600000000006</v>
      </c>
      <c r="AK192" s="646">
        <v>20.782818290061726</v>
      </c>
      <c r="AL192" s="646">
        <v>0</v>
      </c>
      <c r="AM192" s="646">
        <v>0</v>
      </c>
      <c r="AN192" s="646">
        <v>14.965953596980395</v>
      </c>
      <c r="AO192" s="646">
        <v>1.0437527719435391</v>
      </c>
      <c r="AP192" s="801">
        <v>3600</v>
      </c>
      <c r="AQ192" s="563" t="s">
        <v>71</v>
      </c>
      <c r="AR192" s="563">
        <v>3</v>
      </c>
      <c r="AS192" s="563">
        <v>0</v>
      </c>
      <c r="AT192" s="563">
        <v>0</v>
      </c>
      <c r="AU192" s="563">
        <v>0</v>
      </c>
      <c r="AV192" s="650">
        <v>32923.473282432562</v>
      </c>
      <c r="AW192" s="563">
        <v>0</v>
      </c>
      <c r="AX192" s="563">
        <v>0</v>
      </c>
      <c r="AY192" s="563">
        <v>0</v>
      </c>
      <c r="AZ192" s="650">
        <v>33030.591975777701</v>
      </c>
      <c r="BA192" s="564">
        <v>4000</v>
      </c>
      <c r="BB192" s="565">
        <v>147.02653618800232</v>
      </c>
      <c r="BC192" s="649">
        <v>3.5607600000000006</v>
      </c>
      <c r="BD192" s="646">
        <v>20.782818290061726</v>
      </c>
      <c r="BE192" s="646">
        <v>0</v>
      </c>
      <c r="BF192" s="646">
        <v>0</v>
      </c>
      <c r="BG192" s="646">
        <v>14.965953596980395</v>
      </c>
      <c r="BH192" s="646">
        <v>1.0437527719435391</v>
      </c>
      <c r="BI192" s="646">
        <v>3600</v>
      </c>
      <c r="BJ192" s="563" t="s">
        <v>71</v>
      </c>
      <c r="BK192" s="563">
        <v>3</v>
      </c>
      <c r="BL192" s="563">
        <v>0</v>
      </c>
      <c r="BM192" s="563">
        <v>0</v>
      </c>
      <c r="BN192" s="563">
        <v>0</v>
      </c>
      <c r="BO192" s="650">
        <v>32923.473282432562</v>
      </c>
      <c r="BP192" s="563">
        <v>0</v>
      </c>
      <c r="BQ192" s="563">
        <v>0</v>
      </c>
      <c r="BR192" s="563">
        <v>0</v>
      </c>
      <c r="BS192" s="650">
        <v>33030.591975777701</v>
      </c>
      <c r="BT192" s="564">
        <v>4000</v>
      </c>
      <c r="BU192" s="565">
        <v>147.02653618800232</v>
      </c>
      <c r="BV192" s="649">
        <v>3.5607600000000006</v>
      </c>
      <c r="BW192" s="646">
        <v>20.782818290061726</v>
      </c>
      <c r="BX192" s="646">
        <v>0</v>
      </c>
      <c r="BY192" s="646">
        <v>0</v>
      </c>
      <c r="BZ192" s="646">
        <v>14.965953596980395</v>
      </c>
      <c r="CA192" s="646">
        <v>1.0437527719435391</v>
      </c>
      <c r="CB192" s="646">
        <v>3600</v>
      </c>
      <c r="CC192" s="563" t="s">
        <v>1584</v>
      </c>
      <c r="CD192" s="563">
        <v>3</v>
      </c>
      <c r="CE192" s="563">
        <v>0</v>
      </c>
      <c r="CF192" s="563">
        <v>0</v>
      </c>
      <c r="CG192" s="563">
        <v>0</v>
      </c>
      <c r="CH192" s="650">
        <v>32258.284040845843</v>
      </c>
      <c r="CI192" s="563">
        <v>0</v>
      </c>
      <c r="CJ192" s="563">
        <v>0</v>
      </c>
      <c r="CK192" s="563">
        <v>0</v>
      </c>
      <c r="CL192" s="650">
        <v>32363.238497089533</v>
      </c>
      <c r="CM192" s="564">
        <v>4000</v>
      </c>
      <c r="CN192" s="565">
        <v>147.02653618800232</v>
      </c>
      <c r="CO192" s="649">
        <v>3.5607600000000006</v>
      </c>
      <c r="CP192" s="646">
        <v>20.782818290061726</v>
      </c>
      <c r="CQ192" s="646">
        <v>0</v>
      </c>
      <c r="CR192" s="646">
        <v>0</v>
      </c>
      <c r="CS192" s="646">
        <v>14.965953596980395</v>
      </c>
      <c r="CT192" s="646">
        <v>1.0437527719435391</v>
      </c>
      <c r="CU192" s="646">
        <v>3600</v>
      </c>
      <c r="CV192" s="563" t="s">
        <v>1584</v>
      </c>
      <c r="CW192" s="563">
        <v>3</v>
      </c>
      <c r="CX192" s="563">
        <v>0</v>
      </c>
      <c r="CY192" s="563">
        <v>0</v>
      </c>
      <c r="CZ192" s="563">
        <v>0</v>
      </c>
      <c r="DA192" s="650">
        <v>32258.284040845843</v>
      </c>
      <c r="DB192" s="563">
        <v>0</v>
      </c>
      <c r="DC192" s="563">
        <v>0</v>
      </c>
      <c r="DD192" s="563">
        <v>0</v>
      </c>
      <c r="DE192" s="650">
        <v>32363.238497089533</v>
      </c>
      <c r="DF192" s="564">
        <v>4000</v>
      </c>
      <c r="DG192" s="565">
        <v>147.02653618800232</v>
      </c>
      <c r="DH192" s="649">
        <v>2.3738400000000004</v>
      </c>
      <c r="DI192" s="646">
        <v>19.595898290061726</v>
      </c>
      <c r="DJ192" s="646">
        <v>0</v>
      </c>
      <c r="DK192" s="646">
        <v>0</v>
      </c>
      <c r="DL192" s="646">
        <v>14.812466866637577</v>
      </c>
      <c r="DM192" s="646">
        <v>0.96528192998353912</v>
      </c>
      <c r="DN192" s="646">
        <v>3600</v>
      </c>
      <c r="DO192" s="563" t="s">
        <v>1585</v>
      </c>
      <c r="DP192" s="563">
        <v>2</v>
      </c>
      <c r="DQ192" s="563">
        <v>0</v>
      </c>
      <c r="DR192" s="563">
        <v>0</v>
      </c>
      <c r="DS192" s="563">
        <v>0</v>
      </c>
      <c r="DT192" s="650">
        <v>52700.207711006944</v>
      </c>
      <c r="DU192" s="563">
        <v>0</v>
      </c>
      <c r="DV192" s="563">
        <v>0</v>
      </c>
      <c r="DW192" s="563">
        <v>0</v>
      </c>
      <c r="DX192" s="650">
        <v>52871.671315122861</v>
      </c>
      <c r="DY192" s="564">
        <v>4000</v>
      </c>
      <c r="DZ192" s="565">
        <v>147.02653618800232</v>
      </c>
      <c r="EA192" s="649">
        <v>2.3738400000000004</v>
      </c>
      <c r="EB192" s="646">
        <v>19.595898290061726</v>
      </c>
      <c r="EC192" s="646">
        <v>0</v>
      </c>
      <c r="ED192" s="646">
        <v>0</v>
      </c>
      <c r="EE192" s="646">
        <v>14.812466866637577</v>
      </c>
      <c r="EF192" s="646">
        <v>0.96528192998353912</v>
      </c>
      <c r="EG192" s="646">
        <v>3600</v>
      </c>
      <c r="EH192" s="563" t="s">
        <v>1585</v>
      </c>
      <c r="EI192" s="563">
        <v>2</v>
      </c>
      <c r="EJ192" s="563">
        <v>0</v>
      </c>
      <c r="EK192" s="563">
        <v>0</v>
      </c>
      <c r="EL192" s="563">
        <v>0</v>
      </c>
      <c r="EM192" s="650">
        <v>52700.207711006944</v>
      </c>
      <c r="EN192" s="563">
        <v>0</v>
      </c>
      <c r="EO192" s="563">
        <v>0</v>
      </c>
      <c r="EP192" s="563">
        <v>0</v>
      </c>
      <c r="EQ192" s="650">
        <v>52871.671315122861</v>
      </c>
      <c r="ER192" s="564">
        <v>4000</v>
      </c>
      <c r="ES192" s="565">
        <v>147.02653618800232</v>
      </c>
      <c r="ET192" s="649">
        <v>2.3738400000000004</v>
      </c>
      <c r="EU192" s="646">
        <v>19.595898290061726</v>
      </c>
      <c r="EV192" s="646">
        <v>0</v>
      </c>
      <c r="EW192" s="646">
        <v>0</v>
      </c>
      <c r="EX192" s="646">
        <v>14.812466866637577</v>
      </c>
      <c r="EY192" s="646">
        <v>0.96528192998353912</v>
      </c>
      <c r="EZ192" s="646">
        <v>3600</v>
      </c>
      <c r="FA192" s="563" t="s">
        <v>1586</v>
      </c>
      <c r="FB192" s="563">
        <v>2</v>
      </c>
      <c r="FC192" s="563">
        <v>0</v>
      </c>
      <c r="FD192" s="563">
        <v>0</v>
      </c>
      <c r="FE192" s="563">
        <v>0</v>
      </c>
      <c r="FF192" s="650">
        <v>55315.010533800472</v>
      </c>
      <c r="FG192" s="563">
        <v>0</v>
      </c>
      <c r="FH192" s="563">
        <v>0</v>
      </c>
      <c r="FI192" s="563">
        <v>0</v>
      </c>
      <c r="FJ192" s="650">
        <v>55494.981571483018</v>
      </c>
      <c r="FK192" s="564">
        <v>4000</v>
      </c>
      <c r="FL192" s="565">
        <v>147.02653618800232</v>
      </c>
      <c r="FM192" s="649">
        <v>2.3738400000000004</v>
      </c>
      <c r="FN192" s="646">
        <v>19.595898290061726</v>
      </c>
      <c r="FO192" s="646">
        <v>0</v>
      </c>
      <c r="FP192" s="646">
        <v>0</v>
      </c>
      <c r="FQ192" s="646">
        <v>14.812466866637577</v>
      </c>
      <c r="FR192" s="646">
        <v>0.96528192998353912</v>
      </c>
      <c r="FS192" s="646">
        <v>3600</v>
      </c>
      <c r="FT192" s="563" t="s">
        <v>1586</v>
      </c>
      <c r="FU192" s="563">
        <v>2</v>
      </c>
      <c r="FV192" s="563">
        <v>0</v>
      </c>
      <c r="FW192" s="563">
        <v>0</v>
      </c>
      <c r="FX192" s="563">
        <v>0</v>
      </c>
      <c r="FY192" s="650">
        <v>55315.010533800472</v>
      </c>
      <c r="FZ192" s="563">
        <v>0</v>
      </c>
      <c r="GA192" s="563">
        <v>0</v>
      </c>
      <c r="GB192" s="563">
        <v>0</v>
      </c>
      <c r="GC192" s="650">
        <v>55494.981571483018</v>
      </c>
      <c r="GD192" s="564">
        <v>4000</v>
      </c>
      <c r="GE192" s="565">
        <v>147.02653618800232</v>
      </c>
      <c r="GF192" s="649">
        <v>2.3738400000000004</v>
      </c>
      <c r="GG192" s="646">
        <v>19.595898290061726</v>
      </c>
      <c r="GH192" s="646">
        <v>0</v>
      </c>
      <c r="GI192" s="646">
        <v>0</v>
      </c>
      <c r="GJ192" s="646">
        <v>14.812466866637577</v>
      </c>
      <c r="GK192" s="646">
        <v>0.96528192998353912</v>
      </c>
      <c r="GL192" s="646">
        <v>3600</v>
      </c>
      <c r="GM192" s="563" t="s">
        <v>1587</v>
      </c>
      <c r="GN192" s="563">
        <v>2</v>
      </c>
      <c r="GO192" s="563">
        <v>0</v>
      </c>
      <c r="GP192" s="563">
        <v>0</v>
      </c>
      <c r="GQ192" s="563">
        <v>0</v>
      </c>
      <c r="GR192" s="650">
        <v>65088.9964861013</v>
      </c>
      <c r="GS192" s="563">
        <v>0</v>
      </c>
      <c r="GT192" s="563">
        <v>0</v>
      </c>
      <c r="GU192" s="563">
        <v>0</v>
      </c>
      <c r="GV192" s="650">
        <v>65300.767832183978</v>
      </c>
      <c r="GW192" s="564">
        <v>4000</v>
      </c>
      <c r="GX192" s="565">
        <v>147.02653618800232</v>
      </c>
      <c r="GY192" s="649">
        <v>2.3738400000000004</v>
      </c>
      <c r="GZ192" s="646">
        <v>19.595898290061726</v>
      </c>
      <c r="HA192" s="646">
        <v>0</v>
      </c>
      <c r="HB192" s="646">
        <v>0</v>
      </c>
      <c r="HC192" s="646">
        <v>14.812466866637577</v>
      </c>
      <c r="HD192" s="646">
        <v>0.96528192998353912</v>
      </c>
      <c r="HE192" s="646">
        <v>3600</v>
      </c>
      <c r="HF192" s="563" t="s">
        <v>1587</v>
      </c>
      <c r="HG192" s="563">
        <v>2</v>
      </c>
      <c r="HH192" s="563">
        <v>0</v>
      </c>
      <c r="HI192" s="563">
        <v>0</v>
      </c>
      <c r="HJ192" s="563">
        <v>0</v>
      </c>
      <c r="HK192" s="650">
        <v>65088.9964861013</v>
      </c>
      <c r="HL192" s="563">
        <v>0</v>
      </c>
      <c r="HM192" s="563">
        <v>0</v>
      </c>
      <c r="HN192" s="563">
        <v>0</v>
      </c>
      <c r="HO192" s="650">
        <v>65300.767832183978</v>
      </c>
      <c r="HP192" s="564">
        <v>4000</v>
      </c>
      <c r="HQ192" s="565">
        <v>147.02653618800232</v>
      </c>
      <c r="HR192" s="649">
        <v>2.3738400000000004</v>
      </c>
      <c r="HS192" s="646">
        <v>19.595898290061726</v>
      </c>
      <c r="HT192" s="646">
        <v>0</v>
      </c>
      <c r="HU192" s="646">
        <v>0</v>
      </c>
      <c r="HV192" s="646">
        <v>14.812466866637577</v>
      </c>
      <c r="HW192" s="646">
        <v>0.96528192998353912</v>
      </c>
      <c r="HX192" s="646">
        <v>3600</v>
      </c>
      <c r="HY192" s="563" t="s">
        <v>68</v>
      </c>
      <c r="HZ192" s="563">
        <v>2</v>
      </c>
      <c r="IA192" s="563">
        <v>0</v>
      </c>
      <c r="IB192" s="563">
        <v>0</v>
      </c>
      <c r="IC192" s="563">
        <v>0</v>
      </c>
      <c r="ID192" s="650">
        <v>57403.099262993695</v>
      </c>
      <c r="IE192" s="563">
        <v>0</v>
      </c>
      <c r="IF192" s="563">
        <v>0</v>
      </c>
      <c r="IG192" s="563">
        <v>0</v>
      </c>
      <c r="IH192" s="650">
        <v>57589.864035175051</v>
      </c>
      <c r="II192" s="564">
        <v>4000</v>
      </c>
      <c r="IJ192" s="565">
        <v>147.02653618800232</v>
      </c>
      <c r="IK192" s="649">
        <v>2.3738400000000004</v>
      </c>
      <c r="IL192" s="646">
        <v>19.595898290061726</v>
      </c>
      <c r="IM192" s="646">
        <v>0</v>
      </c>
      <c r="IN192" s="646">
        <v>0</v>
      </c>
      <c r="IO192" s="646">
        <v>14.812466866637577</v>
      </c>
      <c r="IP192" s="646">
        <v>0.96528192998353912</v>
      </c>
      <c r="IQ192" s="646">
        <v>3600</v>
      </c>
      <c r="IR192" s="563" t="s">
        <v>68</v>
      </c>
      <c r="IS192" s="563">
        <v>2</v>
      </c>
      <c r="IT192" s="563">
        <v>0</v>
      </c>
      <c r="IU192" s="563">
        <v>0</v>
      </c>
      <c r="IV192" s="563">
        <v>0</v>
      </c>
      <c r="IW192" s="650">
        <v>57403.099262993695</v>
      </c>
      <c r="IX192" s="563">
        <v>0</v>
      </c>
      <c r="IY192" s="563">
        <v>0</v>
      </c>
      <c r="IZ192" s="563">
        <v>0</v>
      </c>
      <c r="JA192" s="650">
        <v>57589.864035175051</v>
      </c>
      <c r="JB192" s="564">
        <v>4000</v>
      </c>
      <c r="JC192" s="565">
        <v>147.02653618800232</v>
      </c>
      <c r="JD192" s="649">
        <v>2.3738400000000004</v>
      </c>
      <c r="JE192" s="646">
        <v>19.595898290061726</v>
      </c>
      <c r="JF192" s="646">
        <v>0</v>
      </c>
      <c r="JG192" s="646">
        <v>0</v>
      </c>
      <c r="JH192" s="646">
        <v>14.812466866637577</v>
      </c>
      <c r="JI192" s="646">
        <v>0.96528192998353912</v>
      </c>
      <c r="JJ192" s="646">
        <v>3600</v>
      </c>
      <c r="JK192" s="563" t="s">
        <v>67</v>
      </c>
      <c r="JL192" s="563">
        <v>2</v>
      </c>
      <c r="JM192" s="563">
        <v>0</v>
      </c>
      <c r="JN192" s="563">
        <v>0</v>
      </c>
      <c r="JO192" s="563">
        <v>0</v>
      </c>
      <c r="JP192" s="650">
        <v>78227.23809971122</v>
      </c>
      <c r="JQ192" s="563">
        <v>0</v>
      </c>
      <c r="JR192" s="563">
        <v>0</v>
      </c>
      <c r="JS192" s="563">
        <v>0</v>
      </c>
      <c r="JT192" s="650">
        <v>78481.755582036247</v>
      </c>
      <c r="JU192" s="564">
        <v>4000</v>
      </c>
      <c r="JV192" s="565">
        <v>147.02653618800232</v>
      </c>
      <c r="JW192" s="649">
        <v>2.3738400000000004</v>
      </c>
      <c r="JX192" s="646">
        <v>19.595898290061726</v>
      </c>
      <c r="JY192" s="646">
        <v>0</v>
      </c>
      <c r="JZ192" s="646">
        <v>0</v>
      </c>
      <c r="KA192" s="646">
        <v>14.812466866637577</v>
      </c>
      <c r="KB192" s="646">
        <v>0.96528192998353912</v>
      </c>
      <c r="KC192" s="646">
        <v>3600</v>
      </c>
      <c r="KD192" s="563" t="s">
        <v>67</v>
      </c>
      <c r="KE192" s="563">
        <v>2</v>
      </c>
      <c r="KF192" s="563">
        <v>0</v>
      </c>
      <c r="KG192" s="563">
        <v>0</v>
      </c>
      <c r="KH192" s="563">
        <v>0</v>
      </c>
      <c r="KI192" s="650">
        <v>78227.23809971122</v>
      </c>
      <c r="KJ192" s="563">
        <v>0</v>
      </c>
      <c r="KK192" s="563">
        <v>0</v>
      </c>
      <c r="KL192" s="563">
        <v>0</v>
      </c>
      <c r="KM192" s="650">
        <v>78481.755582036247</v>
      </c>
      <c r="KN192" s="564">
        <v>4000</v>
      </c>
      <c r="KO192" s="566">
        <v>147.02653618800232</v>
      </c>
    </row>
    <row r="193" spans="1:301" ht="15" customHeight="1">
      <c r="A193" s="663" t="s">
        <v>942</v>
      </c>
      <c r="B193" s="629" t="s">
        <v>382</v>
      </c>
      <c r="C193" s="629">
        <v>190</v>
      </c>
      <c r="D193" s="629">
        <v>752</v>
      </c>
      <c r="E193" s="629">
        <v>160</v>
      </c>
      <c r="F193" s="629">
        <v>190</v>
      </c>
      <c r="G193" s="629">
        <v>34</v>
      </c>
      <c r="H193" s="629">
        <v>20</v>
      </c>
      <c r="I193" s="629">
        <v>20</v>
      </c>
      <c r="J193" s="629">
        <v>48.9</v>
      </c>
      <c r="K193" s="629">
        <v>77.900000000000006</v>
      </c>
      <c r="L193" s="629">
        <v>16</v>
      </c>
      <c r="M193" s="629">
        <v>270</v>
      </c>
      <c r="N193" s="629">
        <v>2</v>
      </c>
      <c r="O193" s="623">
        <v>6.6574218771716938</v>
      </c>
      <c r="P193" s="629">
        <v>2</v>
      </c>
      <c r="Q193" s="623">
        <v>4.327810679450514</v>
      </c>
      <c r="R193" s="629">
        <v>13.000000000000002</v>
      </c>
      <c r="S193" s="629">
        <v>463.1705399691516</v>
      </c>
      <c r="T193" s="645">
        <v>17.194309779100241</v>
      </c>
      <c r="U193" s="645">
        <v>69.475580995372738</v>
      </c>
      <c r="V193" s="645">
        <v>47.5</v>
      </c>
      <c r="W193" s="793">
        <v>1.0601779947930796</v>
      </c>
      <c r="X193" s="646">
        <v>0</v>
      </c>
      <c r="Y193" s="646">
        <v>0</v>
      </c>
      <c r="Z193" s="646">
        <v>0</v>
      </c>
      <c r="AA193" s="646">
        <v>0</v>
      </c>
      <c r="AB193" s="647">
        <v>1.0897935272884622</v>
      </c>
      <c r="AC193" s="784">
        <v>4000</v>
      </c>
      <c r="AD193" s="631">
        <v>2.1185235171207486</v>
      </c>
      <c r="AE193" s="631">
        <v>1.1463215220271168</v>
      </c>
      <c r="AF193" s="631">
        <v>-6.5913142809649161E-2</v>
      </c>
      <c r="AG193" s="631">
        <v>0.78933183983788024</v>
      </c>
      <c r="AH193" s="629"/>
      <c r="AI193" s="648">
        <v>1.8926774645783466</v>
      </c>
      <c r="AJ193" s="649">
        <v>2.0347200000000001</v>
      </c>
      <c r="AK193" s="646">
        <v>31.274440330515528</v>
      </c>
      <c r="AL193" s="646">
        <v>0</v>
      </c>
      <c r="AM193" s="646">
        <v>0</v>
      </c>
      <c r="AN193" s="646">
        <v>9.4251307472881862</v>
      </c>
      <c r="AO193" s="646">
        <v>1.527974185333806</v>
      </c>
      <c r="AP193" s="801">
        <v>3600</v>
      </c>
      <c r="AQ193" s="563" t="s">
        <v>71</v>
      </c>
      <c r="AR193" s="563">
        <v>3</v>
      </c>
      <c r="AS193" s="563">
        <v>0</v>
      </c>
      <c r="AT193" s="563">
        <v>0</v>
      </c>
      <c r="AU193" s="563">
        <v>0</v>
      </c>
      <c r="AV193" s="650">
        <v>38923.581354969589</v>
      </c>
      <c r="AW193" s="563">
        <v>0</v>
      </c>
      <c r="AX193" s="563">
        <v>0</v>
      </c>
      <c r="AY193" s="563">
        <v>0</v>
      </c>
      <c r="AZ193" s="650">
        <v>57519.390886586087</v>
      </c>
      <c r="BA193" s="564">
        <v>4000</v>
      </c>
      <c r="BB193" s="565">
        <v>157.4985116999683</v>
      </c>
      <c r="BC193" s="649">
        <v>2.0347200000000001</v>
      </c>
      <c r="BD193" s="646">
        <v>31.274440330515528</v>
      </c>
      <c r="BE193" s="646">
        <v>0</v>
      </c>
      <c r="BF193" s="646">
        <v>0</v>
      </c>
      <c r="BG193" s="646">
        <v>9.4251307472881862</v>
      </c>
      <c r="BH193" s="646">
        <v>1.527974185333806</v>
      </c>
      <c r="BI193" s="646">
        <v>3600</v>
      </c>
      <c r="BJ193" s="563" t="s">
        <v>71</v>
      </c>
      <c r="BK193" s="563">
        <v>3</v>
      </c>
      <c r="BL193" s="563">
        <v>0</v>
      </c>
      <c r="BM193" s="563">
        <v>0</v>
      </c>
      <c r="BN193" s="563">
        <v>0</v>
      </c>
      <c r="BO193" s="650">
        <v>38923.581354969589</v>
      </c>
      <c r="BP193" s="563">
        <v>0</v>
      </c>
      <c r="BQ193" s="563">
        <v>0</v>
      </c>
      <c r="BR193" s="563">
        <v>0</v>
      </c>
      <c r="BS193" s="650">
        <v>57519.390886586087</v>
      </c>
      <c r="BT193" s="564">
        <v>4000</v>
      </c>
      <c r="BU193" s="565">
        <v>157.4985116999683</v>
      </c>
      <c r="BV193" s="649">
        <v>2.0347200000000001</v>
      </c>
      <c r="BW193" s="646">
        <v>31.274440330515528</v>
      </c>
      <c r="BX193" s="646">
        <v>0</v>
      </c>
      <c r="BY193" s="646">
        <v>0</v>
      </c>
      <c r="BZ193" s="646">
        <v>9.4251307472881862</v>
      </c>
      <c r="CA193" s="646">
        <v>1.527974185333806</v>
      </c>
      <c r="CB193" s="646">
        <v>3600</v>
      </c>
      <c r="CC193" s="563" t="s">
        <v>1584</v>
      </c>
      <c r="CD193" s="563">
        <v>3</v>
      </c>
      <c r="CE193" s="563">
        <v>0</v>
      </c>
      <c r="CF193" s="563">
        <v>0</v>
      </c>
      <c r="CG193" s="563">
        <v>0</v>
      </c>
      <c r="CH193" s="650">
        <v>38137.165312553836</v>
      </c>
      <c r="CI193" s="563">
        <v>0</v>
      </c>
      <c r="CJ193" s="563">
        <v>0</v>
      </c>
      <c r="CK193" s="563">
        <v>0</v>
      </c>
      <c r="CL193" s="650">
        <v>56357.263195131549</v>
      </c>
      <c r="CM193" s="564">
        <v>4000</v>
      </c>
      <c r="CN193" s="565">
        <v>157.4985116999683</v>
      </c>
      <c r="CO193" s="649">
        <v>2.0347200000000001</v>
      </c>
      <c r="CP193" s="646">
        <v>31.274440330515528</v>
      </c>
      <c r="CQ193" s="646">
        <v>0</v>
      </c>
      <c r="CR193" s="646">
        <v>0</v>
      </c>
      <c r="CS193" s="646">
        <v>9.4251307472881862</v>
      </c>
      <c r="CT193" s="646">
        <v>1.527974185333806</v>
      </c>
      <c r="CU193" s="646">
        <v>3600</v>
      </c>
      <c r="CV193" s="563" t="s">
        <v>1584</v>
      </c>
      <c r="CW193" s="563">
        <v>3</v>
      </c>
      <c r="CX193" s="563">
        <v>0</v>
      </c>
      <c r="CY193" s="563">
        <v>0</v>
      </c>
      <c r="CZ193" s="563">
        <v>0</v>
      </c>
      <c r="DA193" s="650">
        <v>38137.165312553836</v>
      </c>
      <c r="DB193" s="563">
        <v>0</v>
      </c>
      <c r="DC193" s="563">
        <v>0</v>
      </c>
      <c r="DD193" s="563">
        <v>0</v>
      </c>
      <c r="DE193" s="650">
        <v>56357.263195131549</v>
      </c>
      <c r="DF193" s="564">
        <v>4000</v>
      </c>
      <c r="DG193" s="565">
        <v>157.4985116999683</v>
      </c>
      <c r="DH193" s="649">
        <v>2.0347200000000001</v>
      </c>
      <c r="DI193" s="646">
        <v>31.274440330515528</v>
      </c>
      <c r="DJ193" s="646">
        <v>0</v>
      </c>
      <c r="DK193" s="646">
        <v>0</v>
      </c>
      <c r="DL193" s="646">
        <v>9.4251307472881862</v>
      </c>
      <c r="DM193" s="646">
        <v>1.527974185333806</v>
      </c>
      <c r="DN193" s="646">
        <v>3600</v>
      </c>
      <c r="DO193" s="563" t="s">
        <v>1585</v>
      </c>
      <c r="DP193" s="563">
        <v>3</v>
      </c>
      <c r="DQ193" s="563">
        <v>0</v>
      </c>
      <c r="DR193" s="563">
        <v>0</v>
      </c>
      <c r="DS193" s="563">
        <v>0</v>
      </c>
      <c r="DT193" s="650">
        <v>42281.832019040805</v>
      </c>
      <c r="DU193" s="563">
        <v>0</v>
      </c>
      <c r="DV193" s="563">
        <v>0</v>
      </c>
      <c r="DW193" s="563">
        <v>0</v>
      </c>
      <c r="DX193" s="650">
        <v>62482.051718852657</v>
      </c>
      <c r="DY193" s="564">
        <v>4000</v>
      </c>
      <c r="DZ193" s="565">
        <v>157.4985116999683</v>
      </c>
      <c r="EA193" s="649">
        <v>2.0347200000000001</v>
      </c>
      <c r="EB193" s="646">
        <v>31.274440330515528</v>
      </c>
      <c r="EC193" s="646">
        <v>0</v>
      </c>
      <c r="ED193" s="646">
        <v>0</v>
      </c>
      <c r="EE193" s="646">
        <v>9.4251307472881862</v>
      </c>
      <c r="EF193" s="646">
        <v>1.527974185333806</v>
      </c>
      <c r="EG193" s="646">
        <v>3600</v>
      </c>
      <c r="EH193" s="563" t="s">
        <v>1585</v>
      </c>
      <c r="EI193" s="563">
        <v>3</v>
      </c>
      <c r="EJ193" s="563">
        <v>0</v>
      </c>
      <c r="EK193" s="563">
        <v>0</v>
      </c>
      <c r="EL193" s="563">
        <v>0</v>
      </c>
      <c r="EM193" s="650">
        <v>42281.832019040805</v>
      </c>
      <c r="EN193" s="563">
        <v>0</v>
      </c>
      <c r="EO193" s="563">
        <v>0</v>
      </c>
      <c r="EP193" s="563">
        <v>0</v>
      </c>
      <c r="EQ193" s="650">
        <v>62482.051718852657</v>
      </c>
      <c r="ER193" s="564">
        <v>4000</v>
      </c>
      <c r="ES193" s="565">
        <v>157.4985116999683</v>
      </c>
      <c r="ET193" s="649">
        <v>2.0347200000000001</v>
      </c>
      <c r="EU193" s="646">
        <v>31.274440330515528</v>
      </c>
      <c r="EV193" s="646">
        <v>0</v>
      </c>
      <c r="EW193" s="646">
        <v>0</v>
      </c>
      <c r="EX193" s="646">
        <v>9.4251307472881862</v>
      </c>
      <c r="EY193" s="646">
        <v>1.527974185333806</v>
      </c>
      <c r="EZ193" s="646">
        <v>3600</v>
      </c>
      <c r="FA193" s="563" t="s">
        <v>1586</v>
      </c>
      <c r="FB193" s="563">
        <v>3</v>
      </c>
      <c r="FC193" s="563">
        <v>0</v>
      </c>
      <c r="FD193" s="563">
        <v>0</v>
      </c>
      <c r="FE193" s="563">
        <v>0</v>
      </c>
      <c r="FF193" s="650">
        <v>44379.710917783326</v>
      </c>
      <c r="FG193" s="563">
        <v>0</v>
      </c>
      <c r="FH193" s="563">
        <v>0</v>
      </c>
      <c r="FI193" s="563">
        <v>0</v>
      </c>
      <c r="FJ193" s="650">
        <v>65582.195955556774</v>
      </c>
      <c r="FK193" s="564">
        <v>4000</v>
      </c>
      <c r="FL193" s="565">
        <v>157.4985116999683</v>
      </c>
      <c r="FM193" s="649">
        <v>2.0347200000000001</v>
      </c>
      <c r="FN193" s="646">
        <v>31.274440330515528</v>
      </c>
      <c r="FO193" s="646">
        <v>0</v>
      </c>
      <c r="FP193" s="646">
        <v>0</v>
      </c>
      <c r="FQ193" s="646">
        <v>9.4251307472881862</v>
      </c>
      <c r="FR193" s="646">
        <v>1.527974185333806</v>
      </c>
      <c r="FS193" s="646">
        <v>3600</v>
      </c>
      <c r="FT193" s="563" t="s">
        <v>1586</v>
      </c>
      <c r="FU193" s="563">
        <v>3</v>
      </c>
      <c r="FV193" s="563">
        <v>0</v>
      </c>
      <c r="FW193" s="563">
        <v>0</v>
      </c>
      <c r="FX193" s="563">
        <v>0</v>
      </c>
      <c r="FY193" s="650">
        <v>44379.710917783326</v>
      </c>
      <c r="FZ193" s="563">
        <v>0</v>
      </c>
      <c r="GA193" s="563">
        <v>0</v>
      </c>
      <c r="GB193" s="563">
        <v>0</v>
      </c>
      <c r="GC193" s="650">
        <v>65582.195955556774</v>
      </c>
      <c r="GD193" s="564">
        <v>4000</v>
      </c>
      <c r="GE193" s="565">
        <v>157.4985116999683</v>
      </c>
      <c r="GF193" s="649">
        <v>2.0347200000000001</v>
      </c>
      <c r="GG193" s="646">
        <v>31.274440330515528</v>
      </c>
      <c r="GH193" s="646">
        <v>0</v>
      </c>
      <c r="GI193" s="646">
        <v>0</v>
      </c>
      <c r="GJ193" s="646">
        <v>9.4251307472881862</v>
      </c>
      <c r="GK193" s="646">
        <v>1.527974185333806</v>
      </c>
      <c r="GL193" s="646">
        <v>3600</v>
      </c>
      <c r="GM193" s="563" t="s">
        <v>1587</v>
      </c>
      <c r="GN193" s="563">
        <v>3</v>
      </c>
      <c r="GO193" s="563">
        <v>0</v>
      </c>
      <c r="GP193" s="563">
        <v>0</v>
      </c>
      <c r="GQ193" s="563">
        <v>0</v>
      </c>
      <c r="GR193" s="650">
        <v>52221.464302473236</v>
      </c>
      <c r="GS193" s="563">
        <v>0</v>
      </c>
      <c r="GT193" s="563">
        <v>0</v>
      </c>
      <c r="GU193" s="563">
        <v>0</v>
      </c>
      <c r="GV193" s="650">
        <v>77170.360828072982</v>
      </c>
      <c r="GW193" s="564">
        <v>4000</v>
      </c>
      <c r="GX193" s="565">
        <v>157.4985116999683</v>
      </c>
      <c r="GY193" s="649">
        <v>2.0347200000000001</v>
      </c>
      <c r="GZ193" s="646">
        <v>31.274440330515528</v>
      </c>
      <c r="HA193" s="646">
        <v>0</v>
      </c>
      <c r="HB193" s="646">
        <v>0</v>
      </c>
      <c r="HC193" s="646">
        <v>9.4251307472881862</v>
      </c>
      <c r="HD193" s="646">
        <v>1.527974185333806</v>
      </c>
      <c r="HE193" s="646">
        <v>3600</v>
      </c>
      <c r="HF193" s="563" t="s">
        <v>1587</v>
      </c>
      <c r="HG193" s="563">
        <v>3</v>
      </c>
      <c r="HH193" s="563">
        <v>0</v>
      </c>
      <c r="HI193" s="563">
        <v>0</v>
      </c>
      <c r="HJ193" s="563">
        <v>0</v>
      </c>
      <c r="HK193" s="650">
        <v>52221.464302473236</v>
      </c>
      <c r="HL193" s="563">
        <v>0</v>
      </c>
      <c r="HM193" s="563">
        <v>0</v>
      </c>
      <c r="HN193" s="563">
        <v>0</v>
      </c>
      <c r="HO193" s="650">
        <v>77170.360828072982</v>
      </c>
      <c r="HP193" s="564">
        <v>4000</v>
      </c>
      <c r="HQ193" s="565">
        <v>157.4985116999683</v>
      </c>
      <c r="HR193" s="649">
        <v>2.0347200000000001</v>
      </c>
      <c r="HS193" s="646">
        <v>31.274440330515528</v>
      </c>
      <c r="HT193" s="646">
        <v>0</v>
      </c>
      <c r="HU193" s="646">
        <v>0</v>
      </c>
      <c r="HV193" s="646">
        <v>9.4251307472881862</v>
      </c>
      <c r="HW193" s="646">
        <v>1.527974185333806</v>
      </c>
      <c r="HX193" s="646">
        <v>3600</v>
      </c>
      <c r="HY193" s="563" t="s">
        <v>68</v>
      </c>
      <c r="HZ193" s="563">
        <v>3</v>
      </c>
      <c r="IA193" s="563">
        <v>0</v>
      </c>
      <c r="IB193" s="563">
        <v>0</v>
      </c>
      <c r="IC193" s="563">
        <v>0</v>
      </c>
      <c r="ID193" s="650">
        <v>46055.002547993754</v>
      </c>
      <c r="IE193" s="563">
        <v>0</v>
      </c>
      <c r="IF193" s="563">
        <v>0</v>
      </c>
      <c r="IG193" s="563">
        <v>0</v>
      </c>
      <c r="IH193" s="650">
        <v>68057.861112067185</v>
      </c>
      <c r="II193" s="564">
        <v>4000</v>
      </c>
      <c r="IJ193" s="565">
        <v>157.4985116999683</v>
      </c>
      <c r="IK193" s="649">
        <v>2.0347200000000001</v>
      </c>
      <c r="IL193" s="646">
        <v>31.274440330515528</v>
      </c>
      <c r="IM193" s="646">
        <v>0</v>
      </c>
      <c r="IN193" s="646">
        <v>0</v>
      </c>
      <c r="IO193" s="646">
        <v>9.4251307472881862</v>
      </c>
      <c r="IP193" s="646">
        <v>1.527974185333806</v>
      </c>
      <c r="IQ193" s="646">
        <v>3600</v>
      </c>
      <c r="IR193" s="563" t="s">
        <v>68</v>
      </c>
      <c r="IS193" s="563">
        <v>3</v>
      </c>
      <c r="IT193" s="563">
        <v>0</v>
      </c>
      <c r="IU193" s="563">
        <v>0</v>
      </c>
      <c r="IV193" s="563">
        <v>0</v>
      </c>
      <c r="IW193" s="650">
        <v>46055.002547993754</v>
      </c>
      <c r="IX193" s="563">
        <v>0</v>
      </c>
      <c r="IY193" s="563">
        <v>0</v>
      </c>
      <c r="IZ193" s="563">
        <v>0</v>
      </c>
      <c r="JA193" s="650">
        <v>68057.861112067185</v>
      </c>
      <c r="JB193" s="564">
        <v>4000</v>
      </c>
      <c r="JC193" s="565">
        <v>157.4985116999683</v>
      </c>
      <c r="JD193" s="649">
        <v>2.0347200000000001</v>
      </c>
      <c r="JE193" s="646">
        <v>31.274440330515528</v>
      </c>
      <c r="JF193" s="646">
        <v>0</v>
      </c>
      <c r="JG193" s="646">
        <v>0</v>
      </c>
      <c r="JH193" s="646">
        <v>9.4251307472881862</v>
      </c>
      <c r="JI193" s="646">
        <v>1.527974185333806</v>
      </c>
      <c r="JJ193" s="646">
        <v>3600</v>
      </c>
      <c r="JK193" s="563" t="s">
        <v>67</v>
      </c>
      <c r="JL193" s="563">
        <v>3</v>
      </c>
      <c r="JM193" s="563">
        <v>0</v>
      </c>
      <c r="JN193" s="563">
        <v>0</v>
      </c>
      <c r="JO193" s="563">
        <v>0</v>
      </c>
      <c r="JP193" s="650">
        <v>62762.389074126491</v>
      </c>
      <c r="JQ193" s="563">
        <v>0</v>
      </c>
      <c r="JR193" s="563">
        <v>0</v>
      </c>
      <c r="JS193" s="563">
        <v>0</v>
      </c>
      <c r="JT193" s="650">
        <v>92747.230970558274</v>
      </c>
      <c r="JU193" s="564">
        <v>4000</v>
      </c>
      <c r="JV193" s="565">
        <v>157.4985116999683</v>
      </c>
      <c r="JW193" s="649">
        <v>2.0347200000000001</v>
      </c>
      <c r="JX193" s="646">
        <v>31.274440330515528</v>
      </c>
      <c r="JY193" s="646">
        <v>0</v>
      </c>
      <c r="JZ193" s="646">
        <v>0</v>
      </c>
      <c r="KA193" s="646">
        <v>9.4251307472881862</v>
      </c>
      <c r="KB193" s="646">
        <v>1.527974185333806</v>
      </c>
      <c r="KC193" s="646">
        <v>3600</v>
      </c>
      <c r="KD193" s="563" t="s">
        <v>67</v>
      </c>
      <c r="KE193" s="563">
        <v>3</v>
      </c>
      <c r="KF193" s="563">
        <v>0</v>
      </c>
      <c r="KG193" s="563">
        <v>0</v>
      </c>
      <c r="KH193" s="563">
        <v>0</v>
      </c>
      <c r="KI193" s="650">
        <v>62762.389074126491</v>
      </c>
      <c r="KJ193" s="563">
        <v>0</v>
      </c>
      <c r="KK193" s="563">
        <v>0</v>
      </c>
      <c r="KL193" s="563">
        <v>0</v>
      </c>
      <c r="KM193" s="650">
        <v>92747.230970558274</v>
      </c>
      <c r="KN193" s="564">
        <v>4000</v>
      </c>
      <c r="KO193" s="566">
        <v>157.4985116999683</v>
      </c>
    </row>
    <row r="194" spans="1:301" ht="15" customHeight="1">
      <c r="A194" s="663" t="s">
        <v>943</v>
      </c>
      <c r="B194" s="629" t="s">
        <v>382</v>
      </c>
      <c r="C194" s="629">
        <v>190</v>
      </c>
      <c r="D194" s="629">
        <v>752</v>
      </c>
      <c r="E194" s="629">
        <v>160</v>
      </c>
      <c r="F194" s="629">
        <v>190</v>
      </c>
      <c r="G194" s="629">
        <v>39</v>
      </c>
      <c r="H194" s="629">
        <v>25</v>
      </c>
      <c r="I194" s="629">
        <v>25</v>
      </c>
      <c r="J194" s="629">
        <v>48.9</v>
      </c>
      <c r="K194" s="629">
        <v>77.900000000000006</v>
      </c>
      <c r="L194" s="629">
        <v>16</v>
      </c>
      <c r="M194" s="629">
        <v>270</v>
      </c>
      <c r="N194" s="629">
        <v>2</v>
      </c>
      <c r="O194" s="623">
        <v>6.6574218771716938</v>
      </c>
      <c r="P194" s="629">
        <v>2</v>
      </c>
      <c r="Q194" s="623">
        <v>4.1047800670972894</v>
      </c>
      <c r="R194" s="629">
        <v>13.000000000000002</v>
      </c>
      <c r="S194" s="629">
        <v>482.30104614921697</v>
      </c>
      <c r="T194" s="645">
        <v>18.644008759396201</v>
      </c>
      <c r="U194" s="645">
        <v>72.345156922382543</v>
      </c>
      <c r="V194" s="645">
        <v>47.5</v>
      </c>
      <c r="W194" s="793">
        <v>1.1495644824002704</v>
      </c>
      <c r="X194" s="646">
        <v>0</v>
      </c>
      <c r="Y194" s="646">
        <v>0</v>
      </c>
      <c r="Z194" s="646">
        <v>0</v>
      </c>
      <c r="AA194" s="646">
        <v>0</v>
      </c>
      <c r="AB194" s="647">
        <v>1.2970386754923531</v>
      </c>
      <c r="AC194" s="784">
        <v>4000</v>
      </c>
      <c r="AD194" s="631">
        <v>2.4907202544904088</v>
      </c>
      <c r="AE194" s="631">
        <v>1.1463215220271168</v>
      </c>
      <c r="AF194" s="631">
        <v>-6.1477177515880659E-2</v>
      </c>
      <c r="AG194" s="631">
        <v>0.65889297459583263</v>
      </c>
      <c r="AH194" s="629"/>
      <c r="AI194" s="648">
        <v>1.9358774645783465</v>
      </c>
      <c r="AJ194" s="649">
        <v>2.5434000000000001</v>
      </c>
      <c r="AK194" s="646">
        <v>33.099175186065452</v>
      </c>
      <c r="AL194" s="646">
        <v>0</v>
      </c>
      <c r="AM194" s="646">
        <v>0</v>
      </c>
      <c r="AN194" s="646">
        <v>10.599087089552761</v>
      </c>
      <c r="AO194" s="646">
        <v>1.6347889288218087</v>
      </c>
      <c r="AP194" s="801">
        <v>3600</v>
      </c>
      <c r="AQ194" s="563" t="s">
        <v>71</v>
      </c>
      <c r="AR194" s="563">
        <v>3</v>
      </c>
      <c r="AS194" s="563">
        <v>0</v>
      </c>
      <c r="AT194" s="563">
        <v>0</v>
      </c>
      <c r="AU194" s="563">
        <v>0</v>
      </c>
      <c r="AV194" s="650">
        <v>25283.550355154202</v>
      </c>
      <c r="AW194" s="563">
        <v>0</v>
      </c>
      <c r="AX194" s="563">
        <v>0</v>
      </c>
      <c r="AY194" s="563">
        <v>0</v>
      </c>
      <c r="AZ194" s="650">
        <v>33694.278284439366</v>
      </c>
      <c r="BA194" s="564">
        <v>4000</v>
      </c>
      <c r="BB194" s="565">
        <v>157.4985116999683</v>
      </c>
      <c r="BC194" s="649">
        <v>2.5434000000000001</v>
      </c>
      <c r="BD194" s="646">
        <v>33.099175186065452</v>
      </c>
      <c r="BE194" s="646">
        <v>0</v>
      </c>
      <c r="BF194" s="646">
        <v>0</v>
      </c>
      <c r="BG194" s="646">
        <v>10.599087089552761</v>
      </c>
      <c r="BH194" s="646">
        <v>1.6347889288218087</v>
      </c>
      <c r="BI194" s="646">
        <v>3600</v>
      </c>
      <c r="BJ194" s="563" t="s">
        <v>71</v>
      </c>
      <c r="BK194" s="563">
        <v>3</v>
      </c>
      <c r="BL194" s="563">
        <v>0</v>
      </c>
      <c r="BM194" s="563">
        <v>0</v>
      </c>
      <c r="BN194" s="563">
        <v>0</v>
      </c>
      <c r="BO194" s="650">
        <v>25283.550355154202</v>
      </c>
      <c r="BP194" s="563">
        <v>0</v>
      </c>
      <c r="BQ194" s="563">
        <v>0</v>
      </c>
      <c r="BR194" s="563">
        <v>0</v>
      </c>
      <c r="BS194" s="650">
        <v>33694.278284439366</v>
      </c>
      <c r="BT194" s="564">
        <v>4000</v>
      </c>
      <c r="BU194" s="565">
        <v>157.4985116999683</v>
      </c>
      <c r="BV194" s="649">
        <v>2.5434000000000001</v>
      </c>
      <c r="BW194" s="646">
        <v>33.099175186065452</v>
      </c>
      <c r="BX194" s="646">
        <v>0</v>
      </c>
      <c r="BY194" s="646">
        <v>0</v>
      </c>
      <c r="BZ194" s="646">
        <v>10.599087089552761</v>
      </c>
      <c r="CA194" s="646">
        <v>1.6347889288218087</v>
      </c>
      <c r="CB194" s="646">
        <v>3600</v>
      </c>
      <c r="CC194" s="563" t="s">
        <v>1584</v>
      </c>
      <c r="CD194" s="563">
        <v>3</v>
      </c>
      <c r="CE194" s="563">
        <v>0</v>
      </c>
      <c r="CF194" s="563">
        <v>0</v>
      </c>
      <c r="CG194" s="563">
        <v>0</v>
      </c>
      <c r="CH194" s="650">
        <v>24772.718902436885</v>
      </c>
      <c r="CI194" s="563">
        <v>0</v>
      </c>
      <c r="CJ194" s="563">
        <v>0</v>
      </c>
      <c r="CK194" s="563">
        <v>0</v>
      </c>
      <c r="CL194" s="650">
        <v>33013.515619286482</v>
      </c>
      <c r="CM194" s="564">
        <v>4000</v>
      </c>
      <c r="CN194" s="565">
        <v>157.4985116999683</v>
      </c>
      <c r="CO194" s="649">
        <v>2.5434000000000001</v>
      </c>
      <c r="CP194" s="646">
        <v>33.099175186065452</v>
      </c>
      <c r="CQ194" s="646">
        <v>0</v>
      </c>
      <c r="CR194" s="646">
        <v>0</v>
      </c>
      <c r="CS194" s="646">
        <v>10.599087089552761</v>
      </c>
      <c r="CT194" s="646">
        <v>1.6347889288218087</v>
      </c>
      <c r="CU194" s="646">
        <v>3600</v>
      </c>
      <c r="CV194" s="563" t="s">
        <v>1584</v>
      </c>
      <c r="CW194" s="563">
        <v>3</v>
      </c>
      <c r="CX194" s="563">
        <v>0</v>
      </c>
      <c r="CY194" s="563">
        <v>0</v>
      </c>
      <c r="CZ194" s="563">
        <v>0</v>
      </c>
      <c r="DA194" s="650">
        <v>24772.718902436885</v>
      </c>
      <c r="DB194" s="563">
        <v>0</v>
      </c>
      <c r="DC194" s="563">
        <v>0</v>
      </c>
      <c r="DD194" s="563">
        <v>0</v>
      </c>
      <c r="DE194" s="650">
        <v>33013.515619286482</v>
      </c>
      <c r="DF194" s="564">
        <v>4000</v>
      </c>
      <c r="DG194" s="565">
        <v>157.4985116999683</v>
      </c>
      <c r="DH194" s="649">
        <v>2.5434000000000001</v>
      </c>
      <c r="DI194" s="646">
        <v>33.099175186065452</v>
      </c>
      <c r="DJ194" s="646">
        <v>0</v>
      </c>
      <c r="DK194" s="646">
        <v>0</v>
      </c>
      <c r="DL194" s="646">
        <v>10.599087089552761</v>
      </c>
      <c r="DM194" s="646">
        <v>1.6347889288218087</v>
      </c>
      <c r="DN194" s="646">
        <v>3600</v>
      </c>
      <c r="DO194" s="563" t="s">
        <v>1585</v>
      </c>
      <c r="DP194" s="563">
        <v>3</v>
      </c>
      <c r="DQ194" s="563">
        <v>0</v>
      </c>
      <c r="DR194" s="563">
        <v>0</v>
      </c>
      <c r="DS194" s="563">
        <v>0</v>
      </c>
      <c r="DT194" s="650">
        <v>27464.965754624736</v>
      </c>
      <c r="DU194" s="563">
        <v>0</v>
      </c>
      <c r="DV194" s="563">
        <v>0</v>
      </c>
      <c r="DW194" s="563">
        <v>0</v>
      </c>
      <c r="DX194" s="650">
        <v>36601.354881327912</v>
      </c>
      <c r="DY194" s="564">
        <v>4000</v>
      </c>
      <c r="DZ194" s="565">
        <v>157.4985116999683</v>
      </c>
      <c r="EA194" s="649">
        <v>2.5434000000000001</v>
      </c>
      <c r="EB194" s="646">
        <v>33.099175186065452</v>
      </c>
      <c r="EC194" s="646">
        <v>0</v>
      </c>
      <c r="ED194" s="646">
        <v>0</v>
      </c>
      <c r="EE194" s="646">
        <v>10.599087089552761</v>
      </c>
      <c r="EF194" s="646">
        <v>1.6347889288218087</v>
      </c>
      <c r="EG194" s="646">
        <v>3600</v>
      </c>
      <c r="EH194" s="563" t="s">
        <v>1585</v>
      </c>
      <c r="EI194" s="563">
        <v>3</v>
      </c>
      <c r="EJ194" s="563">
        <v>0</v>
      </c>
      <c r="EK194" s="563">
        <v>0</v>
      </c>
      <c r="EL194" s="563">
        <v>0</v>
      </c>
      <c r="EM194" s="650">
        <v>27464.965754624736</v>
      </c>
      <c r="EN194" s="563">
        <v>0</v>
      </c>
      <c r="EO194" s="563">
        <v>0</v>
      </c>
      <c r="EP194" s="563">
        <v>0</v>
      </c>
      <c r="EQ194" s="650">
        <v>36601.354881327912</v>
      </c>
      <c r="ER194" s="564">
        <v>4000</v>
      </c>
      <c r="ES194" s="565">
        <v>157.4985116999683</v>
      </c>
      <c r="ET194" s="649">
        <v>2.5434000000000001</v>
      </c>
      <c r="EU194" s="646">
        <v>33.099175186065452</v>
      </c>
      <c r="EV194" s="646">
        <v>0</v>
      </c>
      <c r="EW194" s="646">
        <v>0</v>
      </c>
      <c r="EX194" s="646">
        <v>10.599087089552761</v>
      </c>
      <c r="EY194" s="646">
        <v>1.6347889288218087</v>
      </c>
      <c r="EZ194" s="646">
        <v>3600</v>
      </c>
      <c r="FA194" s="563" t="s">
        <v>1586</v>
      </c>
      <c r="FB194" s="563">
        <v>3</v>
      </c>
      <c r="FC194" s="563">
        <v>0</v>
      </c>
      <c r="FD194" s="563">
        <v>0</v>
      </c>
      <c r="FE194" s="563">
        <v>0</v>
      </c>
      <c r="FF194" s="650">
        <v>28827.682774203407</v>
      </c>
      <c r="FG194" s="563">
        <v>0</v>
      </c>
      <c r="FH194" s="563">
        <v>0</v>
      </c>
      <c r="FI194" s="563">
        <v>0</v>
      </c>
      <c r="FJ194" s="650">
        <v>38417.38806636932</v>
      </c>
      <c r="FK194" s="564">
        <v>4000</v>
      </c>
      <c r="FL194" s="565">
        <v>157.4985116999683</v>
      </c>
      <c r="FM194" s="649">
        <v>2.5434000000000001</v>
      </c>
      <c r="FN194" s="646">
        <v>33.099175186065452</v>
      </c>
      <c r="FO194" s="646">
        <v>0</v>
      </c>
      <c r="FP194" s="646">
        <v>0</v>
      </c>
      <c r="FQ194" s="646">
        <v>10.599087089552761</v>
      </c>
      <c r="FR194" s="646">
        <v>1.6347889288218087</v>
      </c>
      <c r="FS194" s="646">
        <v>3600</v>
      </c>
      <c r="FT194" s="563" t="s">
        <v>1586</v>
      </c>
      <c r="FU194" s="563">
        <v>3</v>
      </c>
      <c r="FV194" s="563">
        <v>0</v>
      </c>
      <c r="FW194" s="563">
        <v>0</v>
      </c>
      <c r="FX194" s="563">
        <v>0</v>
      </c>
      <c r="FY194" s="650">
        <v>28827.682774203407</v>
      </c>
      <c r="FZ194" s="563">
        <v>0</v>
      </c>
      <c r="GA194" s="563">
        <v>0</v>
      </c>
      <c r="GB194" s="563">
        <v>0</v>
      </c>
      <c r="GC194" s="650">
        <v>38417.38806636932</v>
      </c>
      <c r="GD194" s="564">
        <v>4000</v>
      </c>
      <c r="GE194" s="565">
        <v>157.4985116999683</v>
      </c>
      <c r="GF194" s="649">
        <v>2.5434000000000001</v>
      </c>
      <c r="GG194" s="646">
        <v>33.099175186065452</v>
      </c>
      <c r="GH194" s="646">
        <v>0</v>
      </c>
      <c r="GI194" s="646">
        <v>0</v>
      </c>
      <c r="GJ194" s="646">
        <v>10.599087089552761</v>
      </c>
      <c r="GK194" s="646">
        <v>1.6347889288218087</v>
      </c>
      <c r="GL194" s="646">
        <v>3600</v>
      </c>
      <c r="GM194" s="563" t="s">
        <v>1587</v>
      </c>
      <c r="GN194" s="563">
        <v>3</v>
      </c>
      <c r="GO194" s="563">
        <v>0</v>
      </c>
      <c r="GP194" s="563">
        <v>0</v>
      </c>
      <c r="GQ194" s="563">
        <v>0</v>
      </c>
      <c r="GR194" s="650">
        <v>33921.442383998263</v>
      </c>
      <c r="GS194" s="563">
        <v>0</v>
      </c>
      <c r="GT194" s="563">
        <v>0</v>
      </c>
      <c r="GU194" s="563">
        <v>0</v>
      </c>
      <c r="GV194" s="650">
        <v>45205.618018080859</v>
      </c>
      <c r="GW194" s="564">
        <v>4000</v>
      </c>
      <c r="GX194" s="565">
        <v>157.4985116999683</v>
      </c>
      <c r="GY194" s="649">
        <v>2.5434000000000001</v>
      </c>
      <c r="GZ194" s="646">
        <v>33.099175186065452</v>
      </c>
      <c r="HA194" s="646">
        <v>0</v>
      </c>
      <c r="HB194" s="646">
        <v>0</v>
      </c>
      <c r="HC194" s="646">
        <v>10.599087089552761</v>
      </c>
      <c r="HD194" s="646">
        <v>1.6347889288218087</v>
      </c>
      <c r="HE194" s="646">
        <v>3600</v>
      </c>
      <c r="HF194" s="563" t="s">
        <v>1587</v>
      </c>
      <c r="HG194" s="563">
        <v>3</v>
      </c>
      <c r="HH194" s="563">
        <v>0</v>
      </c>
      <c r="HI194" s="563">
        <v>0</v>
      </c>
      <c r="HJ194" s="563">
        <v>0</v>
      </c>
      <c r="HK194" s="650">
        <v>33921.442383998263</v>
      </c>
      <c r="HL194" s="563">
        <v>0</v>
      </c>
      <c r="HM194" s="563">
        <v>0</v>
      </c>
      <c r="HN194" s="563">
        <v>0</v>
      </c>
      <c r="HO194" s="650">
        <v>45205.618018080859</v>
      </c>
      <c r="HP194" s="564">
        <v>4000</v>
      </c>
      <c r="HQ194" s="565">
        <v>157.4985116999683</v>
      </c>
      <c r="HR194" s="649">
        <v>2.5434000000000001</v>
      </c>
      <c r="HS194" s="646">
        <v>33.099175186065452</v>
      </c>
      <c r="HT194" s="646">
        <v>0</v>
      </c>
      <c r="HU194" s="646">
        <v>0</v>
      </c>
      <c r="HV194" s="646">
        <v>10.599087089552761</v>
      </c>
      <c r="HW194" s="646">
        <v>1.6347889288218087</v>
      </c>
      <c r="HX194" s="646">
        <v>3600</v>
      </c>
      <c r="HY194" s="563" t="s">
        <v>68</v>
      </c>
      <c r="HZ194" s="563">
        <v>3</v>
      </c>
      <c r="IA194" s="563">
        <v>0</v>
      </c>
      <c r="IB194" s="563">
        <v>0</v>
      </c>
      <c r="IC194" s="563">
        <v>0</v>
      </c>
      <c r="ID194" s="650">
        <v>29915.900220221782</v>
      </c>
      <c r="IE194" s="563">
        <v>0</v>
      </c>
      <c r="IF194" s="563">
        <v>0</v>
      </c>
      <c r="IG194" s="563">
        <v>0</v>
      </c>
      <c r="IH194" s="650">
        <v>39867.607712940851</v>
      </c>
      <c r="II194" s="564">
        <v>4000</v>
      </c>
      <c r="IJ194" s="565">
        <v>157.4985116999683</v>
      </c>
      <c r="IK194" s="649">
        <v>2.5434000000000001</v>
      </c>
      <c r="IL194" s="646">
        <v>33.099175186065452</v>
      </c>
      <c r="IM194" s="646">
        <v>0</v>
      </c>
      <c r="IN194" s="646">
        <v>0</v>
      </c>
      <c r="IO194" s="646">
        <v>10.599087089552761</v>
      </c>
      <c r="IP194" s="646">
        <v>1.6347889288218087</v>
      </c>
      <c r="IQ194" s="646">
        <v>3600</v>
      </c>
      <c r="IR194" s="563" t="s">
        <v>68</v>
      </c>
      <c r="IS194" s="563">
        <v>3</v>
      </c>
      <c r="IT194" s="563">
        <v>0</v>
      </c>
      <c r="IU194" s="563">
        <v>0</v>
      </c>
      <c r="IV194" s="563">
        <v>0</v>
      </c>
      <c r="IW194" s="650">
        <v>29915.900220221782</v>
      </c>
      <c r="IX194" s="563">
        <v>0</v>
      </c>
      <c r="IY194" s="563">
        <v>0</v>
      </c>
      <c r="IZ194" s="563">
        <v>0</v>
      </c>
      <c r="JA194" s="650">
        <v>39867.607712940851</v>
      </c>
      <c r="JB194" s="564">
        <v>4000</v>
      </c>
      <c r="JC194" s="565">
        <v>157.4985116999683</v>
      </c>
      <c r="JD194" s="649">
        <v>2.5434000000000001</v>
      </c>
      <c r="JE194" s="646">
        <v>33.099175186065452</v>
      </c>
      <c r="JF194" s="646">
        <v>0</v>
      </c>
      <c r="JG194" s="646">
        <v>0</v>
      </c>
      <c r="JH194" s="646">
        <v>10.599087089552761</v>
      </c>
      <c r="JI194" s="646">
        <v>1.6347889288218087</v>
      </c>
      <c r="JJ194" s="646">
        <v>3600</v>
      </c>
      <c r="JK194" s="563" t="s">
        <v>67</v>
      </c>
      <c r="JL194" s="563">
        <v>3</v>
      </c>
      <c r="JM194" s="563">
        <v>0</v>
      </c>
      <c r="JN194" s="563">
        <v>0</v>
      </c>
      <c r="JO194" s="563">
        <v>0</v>
      </c>
      <c r="JP194" s="650">
        <v>40768.499951067708</v>
      </c>
      <c r="JQ194" s="563">
        <v>0</v>
      </c>
      <c r="JR194" s="563">
        <v>0</v>
      </c>
      <c r="JS194" s="563">
        <v>0</v>
      </c>
      <c r="JT194" s="650">
        <v>54330.391234409777</v>
      </c>
      <c r="JU194" s="564">
        <v>4000</v>
      </c>
      <c r="JV194" s="565">
        <v>157.4985116999683</v>
      </c>
      <c r="JW194" s="649">
        <v>2.5434000000000001</v>
      </c>
      <c r="JX194" s="646">
        <v>33.099175186065452</v>
      </c>
      <c r="JY194" s="646">
        <v>0</v>
      </c>
      <c r="JZ194" s="646">
        <v>0</v>
      </c>
      <c r="KA194" s="646">
        <v>10.599087089552761</v>
      </c>
      <c r="KB194" s="646">
        <v>1.6347889288218087</v>
      </c>
      <c r="KC194" s="646">
        <v>3600</v>
      </c>
      <c r="KD194" s="563" t="s">
        <v>67</v>
      </c>
      <c r="KE194" s="563">
        <v>3</v>
      </c>
      <c r="KF194" s="563">
        <v>0</v>
      </c>
      <c r="KG194" s="563">
        <v>0</v>
      </c>
      <c r="KH194" s="563">
        <v>0</v>
      </c>
      <c r="KI194" s="650">
        <v>40768.499951067708</v>
      </c>
      <c r="KJ194" s="563">
        <v>0</v>
      </c>
      <c r="KK194" s="563">
        <v>0</v>
      </c>
      <c r="KL194" s="563">
        <v>0</v>
      </c>
      <c r="KM194" s="650">
        <v>54330.391234409777</v>
      </c>
      <c r="KN194" s="564">
        <v>4000</v>
      </c>
      <c r="KO194" s="566">
        <v>157.4985116999683</v>
      </c>
    </row>
    <row r="195" spans="1:301" ht="15" customHeight="1">
      <c r="A195" s="663" t="s">
        <v>944</v>
      </c>
      <c r="B195" s="629" t="s">
        <v>382</v>
      </c>
      <c r="C195" s="629">
        <v>190</v>
      </c>
      <c r="D195" s="629">
        <v>752</v>
      </c>
      <c r="E195" s="629">
        <v>160</v>
      </c>
      <c r="F195" s="629">
        <v>190</v>
      </c>
      <c r="G195" s="629">
        <v>49</v>
      </c>
      <c r="H195" s="629">
        <v>35</v>
      </c>
      <c r="I195" s="629">
        <v>35</v>
      </c>
      <c r="J195" s="629">
        <v>46.87</v>
      </c>
      <c r="K195" s="629">
        <v>74.2</v>
      </c>
      <c r="L195" s="629">
        <v>16</v>
      </c>
      <c r="M195" s="629">
        <v>270</v>
      </c>
      <c r="N195" s="629">
        <v>2</v>
      </c>
      <c r="O195" s="623">
        <v>6.6574218771716938</v>
      </c>
      <c r="P195" s="629">
        <v>2</v>
      </c>
      <c r="Q195" s="623">
        <v>4.1171733728056008</v>
      </c>
      <c r="R195" s="629">
        <v>13.000000000000002</v>
      </c>
      <c r="S195" s="629">
        <v>481.25796207911094</v>
      </c>
      <c r="T195" s="645">
        <v>18.563452272292174</v>
      </c>
      <c r="U195" s="645">
        <v>72.188694311866641</v>
      </c>
      <c r="V195" s="645">
        <v>47.5</v>
      </c>
      <c r="W195" s="793">
        <v>1.1445974778468611</v>
      </c>
      <c r="X195" s="646">
        <v>0</v>
      </c>
      <c r="Y195" s="646">
        <v>0</v>
      </c>
      <c r="Z195" s="646">
        <v>0</v>
      </c>
      <c r="AA195" s="646">
        <v>0</v>
      </c>
      <c r="AB195" s="647">
        <v>1.653687496663079</v>
      </c>
      <c r="AC195" s="784">
        <v>4000</v>
      </c>
      <c r="AD195" s="631">
        <v>1.9708671881941997</v>
      </c>
      <c r="AE195" s="631">
        <v>1.0675024042734673</v>
      </c>
      <c r="AF195" s="631">
        <v>-7.5277937741461853E-2</v>
      </c>
      <c r="AG195" s="631">
        <v>0.74813155565777678</v>
      </c>
      <c r="AH195" s="629"/>
      <c r="AI195" s="648">
        <v>2.0222774645783468</v>
      </c>
      <c r="AJ195" s="649">
        <v>3.5607600000000006</v>
      </c>
      <c r="AK195" s="646">
        <v>34.04340500011633</v>
      </c>
      <c r="AL195" s="646">
        <v>0</v>
      </c>
      <c r="AM195" s="646">
        <v>0</v>
      </c>
      <c r="AN195" s="646">
        <v>13.138723019658245</v>
      </c>
      <c r="AO195" s="646">
        <v>1.7073395404574239</v>
      </c>
      <c r="AP195" s="801">
        <v>3600</v>
      </c>
      <c r="AQ195" s="563" t="s">
        <v>71</v>
      </c>
      <c r="AR195" s="563">
        <v>3</v>
      </c>
      <c r="AS195" s="563">
        <v>0</v>
      </c>
      <c r="AT195" s="563">
        <v>0</v>
      </c>
      <c r="AU195" s="563">
        <v>0</v>
      </c>
      <c r="AV195" s="650">
        <v>19787.660925647117</v>
      </c>
      <c r="AW195" s="563">
        <v>0</v>
      </c>
      <c r="AX195" s="563">
        <v>0</v>
      </c>
      <c r="AY195" s="563">
        <v>0</v>
      </c>
      <c r="AZ195" s="650">
        <v>21375.347227020742</v>
      </c>
      <c r="BA195" s="564">
        <v>4000</v>
      </c>
      <c r="BB195" s="565">
        <v>157.4985116999683</v>
      </c>
      <c r="BC195" s="649">
        <v>3.5607600000000006</v>
      </c>
      <c r="BD195" s="646">
        <v>34.04340500011633</v>
      </c>
      <c r="BE195" s="646">
        <v>0</v>
      </c>
      <c r="BF195" s="646">
        <v>0</v>
      </c>
      <c r="BG195" s="646">
        <v>13.138723019658245</v>
      </c>
      <c r="BH195" s="646">
        <v>1.7073395404574239</v>
      </c>
      <c r="BI195" s="646">
        <v>3600</v>
      </c>
      <c r="BJ195" s="563" t="s">
        <v>71</v>
      </c>
      <c r="BK195" s="563">
        <v>3</v>
      </c>
      <c r="BL195" s="563">
        <v>0</v>
      </c>
      <c r="BM195" s="563">
        <v>0</v>
      </c>
      <c r="BN195" s="563">
        <v>0</v>
      </c>
      <c r="BO195" s="650">
        <v>19787.660925647117</v>
      </c>
      <c r="BP195" s="563">
        <v>0</v>
      </c>
      <c r="BQ195" s="563">
        <v>0</v>
      </c>
      <c r="BR195" s="563">
        <v>0</v>
      </c>
      <c r="BS195" s="650">
        <v>21375.347227020742</v>
      </c>
      <c r="BT195" s="564">
        <v>4000</v>
      </c>
      <c r="BU195" s="565">
        <v>157.4985116999683</v>
      </c>
      <c r="BV195" s="649">
        <v>3.5607600000000006</v>
      </c>
      <c r="BW195" s="646">
        <v>34.04340500011633</v>
      </c>
      <c r="BX195" s="646">
        <v>0</v>
      </c>
      <c r="BY195" s="646">
        <v>0</v>
      </c>
      <c r="BZ195" s="646">
        <v>13.138723019658245</v>
      </c>
      <c r="CA195" s="646">
        <v>1.7073395404574239</v>
      </c>
      <c r="CB195" s="646">
        <v>3600</v>
      </c>
      <c r="CC195" s="563" t="s">
        <v>1584</v>
      </c>
      <c r="CD195" s="563">
        <v>3</v>
      </c>
      <c r="CE195" s="563">
        <v>0</v>
      </c>
      <c r="CF195" s="563">
        <v>0</v>
      </c>
      <c r="CG195" s="563">
        <v>0</v>
      </c>
      <c r="CH195" s="650">
        <v>19387.868988417642</v>
      </c>
      <c r="CI195" s="563">
        <v>0</v>
      </c>
      <c r="CJ195" s="563">
        <v>0</v>
      </c>
      <c r="CK195" s="563">
        <v>0</v>
      </c>
      <c r="CL195" s="650">
        <v>20943.477512406465</v>
      </c>
      <c r="CM195" s="564">
        <v>4000</v>
      </c>
      <c r="CN195" s="565">
        <v>157.4985116999683</v>
      </c>
      <c r="CO195" s="649">
        <v>3.5607600000000006</v>
      </c>
      <c r="CP195" s="646">
        <v>34.04340500011633</v>
      </c>
      <c r="CQ195" s="646">
        <v>0</v>
      </c>
      <c r="CR195" s="646">
        <v>0</v>
      </c>
      <c r="CS195" s="646">
        <v>13.138723019658245</v>
      </c>
      <c r="CT195" s="646">
        <v>1.7073395404574239</v>
      </c>
      <c r="CU195" s="646">
        <v>3600</v>
      </c>
      <c r="CV195" s="563" t="s">
        <v>1584</v>
      </c>
      <c r="CW195" s="563">
        <v>3</v>
      </c>
      <c r="CX195" s="563">
        <v>0</v>
      </c>
      <c r="CY195" s="563">
        <v>0</v>
      </c>
      <c r="CZ195" s="563">
        <v>0</v>
      </c>
      <c r="DA195" s="650">
        <v>19387.868988417642</v>
      </c>
      <c r="DB195" s="563">
        <v>0</v>
      </c>
      <c r="DC195" s="563">
        <v>0</v>
      </c>
      <c r="DD195" s="563">
        <v>0</v>
      </c>
      <c r="DE195" s="650">
        <v>20943.477512406465</v>
      </c>
      <c r="DF195" s="564">
        <v>4000</v>
      </c>
      <c r="DG195" s="565">
        <v>157.4985116999683</v>
      </c>
      <c r="DH195" s="649">
        <v>3.5607600000000006</v>
      </c>
      <c r="DI195" s="646">
        <v>34.04340500011633</v>
      </c>
      <c r="DJ195" s="646">
        <v>0</v>
      </c>
      <c r="DK195" s="646">
        <v>0</v>
      </c>
      <c r="DL195" s="646">
        <v>13.138723019658245</v>
      </c>
      <c r="DM195" s="646">
        <v>1.7073395404574239</v>
      </c>
      <c r="DN195" s="646">
        <v>3600</v>
      </c>
      <c r="DO195" s="563" t="s">
        <v>1585</v>
      </c>
      <c r="DP195" s="563">
        <v>3</v>
      </c>
      <c r="DQ195" s="563">
        <v>0</v>
      </c>
      <c r="DR195" s="563">
        <v>0</v>
      </c>
      <c r="DS195" s="563">
        <v>0</v>
      </c>
      <c r="DT195" s="650">
        <v>21494.901706960431</v>
      </c>
      <c r="DU195" s="563">
        <v>0</v>
      </c>
      <c r="DV195" s="563">
        <v>0</v>
      </c>
      <c r="DW195" s="563">
        <v>0</v>
      </c>
      <c r="DX195" s="650">
        <v>23219.570485031156</v>
      </c>
      <c r="DY195" s="564">
        <v>4000</v>
      </c>
      <c r="DZ195" s="565">
        <v>157.4985116999683</v>
      </c>
      <c r="EA195" s="649">
        <v>3.5607600000000006</v>
      </c>
      <c r="EB195" s="646">
        <v>34.04340500011633</v>
      </c>
      <c r="EC195" s="646">
        <v>0</v>
      </c>
      <c r="ED195" s="646">
        <v>0</v>
      </c>
      <c r="EE195" s="646">
        <v>13.138723019658245</v>
      </c>
      <c r="EF195" s="646">
        <v>1.7073395404574239</v>
      </c>
      <c r="EG195" s="646">
        <v>3600</v>
      </c>
      <c r="EH195" s="563" t="s">
        <v>1585</v>
      </c>
      <c r="EI195" s="563">
        <v>3</v>
      </c>
      <c r="EJ195" s="563">
        <v>0</v>
      </c>
      <c r="EK195" s="563">
        <v>0</v>
      </c>
      <c r="EL195" s="563">
        <v>0</v>
      </c>
      <c r="EM195" s="650">
        <v>21494.901706960431</v>
      </c>
      <c r="EN195" s="563">
        <v>0</v>
      </c>
      <c r="EO195" s="563">
        <v>0</v>
      </c>
      <c r="EP195" s="563">
        <v>0</v>
      </c>
      <c r="EQ195" s="650">
        <v>23219.570485031156</v>
      </c>
      <c r="ER195" s="564">
        <v>4000</v>
      </c>
      <c r="ES195" s="565">
        <v>157.4985116999683</v>
      </c>
      <c r="ET195" s="649">
        <v>3.5607600000000006</v>
      </c>
      <c r="EU195" s="646">
        <v>34.04340500011633</v>
      </c>
      <c r="EV195" s="646">
        <v>0</v>
      </c>
      <c r="EW195" s="646">
        <v>0</v>
      </c>
      <c r="EX195" s="646">
        <v>13.138723019658245</v>
      </c>
      <c r="EY195" s="646">
        <v>1.7073395404574239</v>
      </c>
      <c r="EZ195" s="646">
        <v>3600</v>
      </c>
      <c r="FA195" s="563" t="s">
        <v>1586</v>
      </c>
      <c r="FB195" s="563">
        <v>3</v>
      </c>
      <c r="FC195" s="563">
        <v>0</v>
      </c>
      <c r="FD195" s="563">
        <v>0</v>
      </c>
      <c r="FE195" s="563">
        <v>0</v>
      </c>
      <c r="FF195" s="650">
        <v>22561.404707617305</v>
      </c>
      <c r="FG195" s="563">
        <v>0</v>
      </c>
      <c r="FH195" s="563">
        <v>0</v>
      </c>
      <c r="FI195" s="563">
        <v>0</v>
      </c>
      <c r="FJ195" s="650">
        <v>24371.645611210057</v>
      </c>
      <c r="FK195" s="564">
        <v>4000</v>
      </c>
      <c r="FL195" s="565">
        <v>157.4985116999683</v>
      </c>
      <c r="FM195" s="649">
        <v>3.5607600000000006</v>
      </c>
      <c r="FN195" s="646">
        <v>34.04340500011633</v>
      </c>
      <c r="FO195" s="646">
        <v>0</v>
      </c>
      <c r="FP195" s="646">
        <v>0</v>
      </c>
      <c r="FQ195" s="646">
        <v>13.138723019658245</v>
      </c>
      <c r="FR195" s="646">
        <v>1.7073395404574239</v>
      </c>
      <c r="FS195" s="646">
        <v>3600</v>
      </c>
      <c r="FT195" s="563" t="s">
        <v>1586</v>
      </c>
      <c r="FU195" s="563">
        <v>3</v>
      </c>
      <c r="FV195" s="563">
        <v>0</v>
      </c>
      <c r="FW195" s="563">
        <v>0</v>
      </c>
      <c r="FX195" s="563">
        <v>0</v>
      </c>
      <c r="FY195" s="650">
        <v>22561.404707617305</v>
      </c>
      <c r="FZ195" s="563">
        <v>0</v>
      </c>
      <c r="GA195" s="563">
        <v>0</v>
      </c>
      <c r="GB195" s="563">
        <v>0</v>
      </c>
      <c r="GC195" s="650">
        <v>24371.645611210057</v>
      </c>
      <c r="GD195" s="564">
        <v>4000</v>
      </c>
      <c r="GE195" s="565">
        <v>157.4985116999683</v>
      </c>
      <c r="GF195" s="649">
        <v>3.5607600000000006</v>
      </c>
      <c r="GG195" s="646">
        <v>34.04340500011633</v>
      </c>
      <c r="GH195" s="646">
        <v>0</v>
      </c>
      <c r="GI195" s="646">
        <v>0</v>
      </c>
      <c r="GJ195" s="646">
        <v>13.138723019658245</v>
      </c>
      <c r="GK195" s="646">
        <v>1.7073395404574239</v>
      </c>
      <c r="GL195" s="646">
        <v>3600</v>
      </c>
      <c r="GM195" s="563" t="s">
        <v>1587</v>
      </c>
      <c r="GN195" s="563">
        <v>3</v>
      </c>
      <c r="GO195" s="563">
        <v>0</v>
      </c>
      <c r="GP195" s="563">
        <v>0</v>
      </c>
      <c r="GQ195" s="563">
        <v>0</v>
      </c>
      <c r="GR195" s="650">
        <v>26547.932967278022</v>
      </c>
      <c r="GS195" s="563">
        <v>0</v>
      </c>
      <c r="GT195" s="563">
        <v>0</v>
      </c>
      <c r="GU195" s="563">
        <v>0</v>
      </c>
      <c r="GV195" s="650">
        <v>28678.037665368014</v>
      </c>
      <c r="GW195" s="564">
        <v>4000</v>
      </c>
      <c r="GX195" s="565">
        <v>157.4985116999683</v>
      </c>
      <c r="GY195" s="649">
        <v>3.5607600000000006</v>
      </c>
      <c r="GZ195" s="646">
        <v>34.04340500011633</v>
      </c>
      <c r="HA195" s="646">
        <v>0</v>
      </c>
      <c r="HB195" s="646">
        <v>0</v>
      </c>
      <c r="HC195" s="646">
        <v>13.138723019658245</v>
      </c>
      <c r="HD195" s="646">
        <v>1.7073395404574239</v>
      </c>
      <c r="HE195" s="646">
        <v>3600</v>
      </c>
      <c r="HF195" s="563" t="s">
        <v>1587</v>
      </c>
      <c r="HG195" s="563">
        <v>3</v>
      </c>
      <c r="HH195" s="563">
        <v>0</v>
      </c>
      <c r="HI195" s="563">
        <v>0</v>
      </c>
      <c r="HJ195" s="563">
        <v>0</v>
      </c>
      <c r="HK195" s="650">
        <v>26547.932967278022</v>
      </c>
      <c r="HL195" s="563">
        <v>0</v>
      </c>
      <c r="HM195" s="563">
        <v>0</v>
      </c>
      <c r="HN195" s="563">
        <v>0</v>
      </c>
      <c r="HO195" s="650">
        <v>28678.037665368014</v>
      </c>
      <c r="HP195" s="564">
        <v>4000</v>
      </c>
      <c r="HQ195" s="565">
        <v>157.4985116999683</v>
      </c>
      <c r="HR195" s="649">
        <v>3.5607600000000006</v>
      </c>
      <c r="HS195" s="646">
        <v>34.04340500011633</v>
      </c>
      <c r="HT195" s="646">
        <v>0</v>
      </c>
      <c r="HU195" s="646">
        <v>0</v>
      </c>
      <c r="HV195" s="646">
        <v>13.138723019658245</v>
      </c>
      <c r="HW195" s="646">
        <v>1.7073395404574239</v>
      </c>
      <c r="HX195" s="646">
        <v>3600</v>
      </c>
      <c r="HY195" s="563" t="s">
        <v>68</v>
      </c>
      <c r="HZ195" s="563">
        <v>3</v>
      </c>
      <c r="IA195" s="563">
        <v>0</v>
      </c>
      <c r="IB195" s="563">
        <v>0</v>
      </c>
      <c r="IC195" s="563">
        <v>0</v>
      </c>
      <c r="ID195" s="650">
        <v>23413.076151410231</v>
      </c>
      <c r="IE195" s="563">
        <v>0</v>
      </c>
      <c r="IF195" s="563">
        <v>0</v>
      </c>
      <c r="IG195" s="563">
        <v>0</v>
      </c>
      <c r="IH195" s="650">
        <v>25291.65191730237</v>
      </c>
      <c r="II195" s="564">
        <v>4000</v>
      </c>
      <c r="IJ195" s="565">
        <v>157.4985116999683</v>
      </c>
      <c r="IK195" s="649">
        <v>3.5607600000000006</v>
      </c>
      <c r="IL195" s="646">
        <v>34.04340500011633</v>
      </c>
      <c r="IM195" s="646">
        <v>0</v>
      </c>
      <c r="IN195" s="646">
        <v>0</v>
      </c>
      <c r="IO195" s="646">
        <v>13.138723019658245</v>
      </c>
      <c r="IP195" s="646">
        <v>1.7073395404574239</v>
      </c>
      <c r="IQ195" s="646">
        <v>3600</v>
      </c>
      <c r="IR195" s="563" t="s">
        <v>68</v>
      </c>
      <c r="IS195" s="563">
        <v>3</v>
      </c>
      <c r="IT195" s="563">
        <v>0</v>
      </c>
      <c r="IU195" s="563">
        <v>0</v>
      </c>
      <c r="IV195" s="563">
        <v>0</v>
      </c>
      <c r="IW195" s="650">
        <v>23413.076151410231</v>
      </c>
      <c r="IX195" s="563">
        <v>0</v>
      </c>
      <c r="IY195" s="563">
        <v>0</v>
      </c>
      <c r="IZ195" s="563">
        <v>0</v>
      </c>
      <c r="JA195" s="650">
        <v>25291.65191730237</v>
      </c>
      <c r="JB195" s="564">
        <v>4000</v>
      </c>
      <c r="JC195" s="565">
        <v>157.4985116999683</v>
      </c>
      <c r="JD195" s="649">
        <v>3.5607600000000006</v>
      </c>
      <c r="JE195" s="646">
        <v>34.04340500011633</v>
      </c>
      <c r="JF195" s="646">
        <v>0</v>
      </c>
      <c r="JG195" s="646">
        <v>0</v>
      </c>
      <c r="JH195" s="646">
        <v>13.138723019658245</v>
      </c>
      <c r="JI195" s="646">
        <v>1.7073395404574239</v>
      </c>
      <c r="JJ195" s="646">
        <v>3600</v>
      </c>
      <c r="JK195" s="563" t="s">
        <v>67</v>
      </c>
      <c r="JL195" s="563">
        <v>3</v>
      </c>
      <c r="JM195" s="563">
        <v>0</v>
      </c>
      <c r="JN195" s="563">
        <v>0</v>
      </c>
      <c r="JO195" s="563">
        <v>0</v>
      </c>
      <c r="JP195" s="650">
        <v>31906.64452370059</v>
      </c>
      <c r="JQ195" s="563">
        <v>0</v>
      </c>
      <c r="JR195" s="563">
        <v>0</v>
      </c>
      <c r="JS195" s="563">
        <v>0</v>
      </c>
      <c r="JT195" s="650">
        <v>34466.711760723978</v>
      </c>
      <c r="JU195" s="564">
        <v>4000</v>
      </c>
      <c r="JV195" s="565">
        <v>157.4985116999683</v>
      </c>
      <c r="JW195" s="649">
        <v>3.5607600000000006</v>
      </c>
      <c r="JX195" s="646">
        <v>34.04340500011633</v>
      </c>
      <c r="JY195" s="646">
        <v>0</v>
      </c>
      <c r="JZ195" s="646">
        <v>0</v>
      </c>
      <c r="KA195" s="646">
        <v>13.138723019658245</v>
      </c>
      <c r="KB195" s="646">
        <v>1.7073395404574239</v>
      </c>
      <c r="KC195" s="646">
        <v>3600</v>
      </c>
      <c r="KD195" s="563" t="s">
        <v>67</v>
      </c>
      <c r="KE195" s="563">
        <v>3</v>
      </c>
      <c r="KF195" s="563">
        <v>0</v>
      </c>
      <c r="KG195" s="563">
        <v>0</v>
      </c>
      <c r="KH195" s="563">
        <v>0</v>
      </c>
      <c r="KI195" s="650">
        <v>31906.64452370059</v>
      </c>
      <c r="KJ195" s="563">
        <v>0</v>
      </c>
      <c r="KK195" s="563">
        <v>0</v>
      </c>
      <c r="KL195" s="563">
        <v>0</v>
      </c>
      <c r="KM195" s="650">
        <v>34466.711760723978</v>
      </c>
      <c r="KN195" s="564">
        <v>4000</v>
      </c>
      <c r="KO195" s="566">
        <v>157.4985116999683</v>
      </c>
    </row>
    <row r="196" spans="1:301" ht="15" customHeight="1">
      <c r="A196" s="663" t="s">
        <v>945</v>
      </c>
      <c r="B196" s="629" t="s">
        <v>382</v>
      </c>
      <c r="C196" s="629">
        <v>190</v>
      </c>
      <c r="D196" s="629">
        <v>752</v>
      </c>
      <c r="E196" s="629">
        <v>160</v>
      </c>
      <c r="F196" s="629">
        <v>190</v>
      </c>
      <c r="G196" s="629">
        <v>49</v>
      </c>
      <c r="H196" s="629">
        <v>35</v>
      </c>
      <c r="I196" s="629">
        <v>35</v>
      </c>
      <c r="J196" s="629">
        <v>48.9</v>
      </c>
      <c r="K196" s="629">
        <v>77.900000000000006</v>
      </c>
      <c r="L196" s="629">
        <v>16</v>
      </c>
      <c r="M196" s="629">
        <v>270</v>
      </c>
      <c r="N196" s="629">
        <v>2</v>
      </c>
      <c r="O196" s="623">
        <v>6.6574218771716938</v>
      </c>
      <c r="P196" s="629">
        <v>2</v>
      </c>
      <c r="Q196" s="623">
        <v>3.7508848683241314</v>
      </c>
      <c r="R196" s="629">
        <v>13.000000000000002</v>
      </c>
      <c r="S196" s="629">
        <v>511.1893125272673</v>
      </c>
      <c r="T196" s="645">
        <v>20.944327551421729</v>
      </c>
      <c r="U196" s="645">
        <v>76.678396879090087</v>
      </c>
      <c r="V196" s="645">
        <v>47.5</v>
      </c>
      <c r="W196" s="793">
        <v>1.2913990425335748</v>
      </c>
      <c r="X196" s="646">
        <v>0</v>
      </c>
      <c r="Y196" s="646">
        <v>0</v>
      </c>
      <c r="Z196" s="646">
        <v>0</v>
      </c>
      <c r="AA196" s="646">
        <v>0</v>
      </c>
      <c r="AB196" s="647">
        <v>1.7224395040366602</v>
      </c>
      <c r="AC196" s="784">
        <v>4000</v>
      </c>
      <c r="AD196" s="631">
        <v>3.1438137303125635</v>
      </c>
      <c r="AE196" s="631">
        <v>1.1463215220271168</v>
      </c>
      <c r="AF196" s="631">
        <v>-5.6040199882320466E-2</v>
      </c>
      <c r="AG196" s="631">
        <v>0.50828766154384009</v>
      </c>
      <c r="AH196" s="629"/>
      <c r="AI196" s="648">
        <v>2.0222774645783468</v>
      </c>
      <c r="AJ196" s="649">
        <v>3.5607600000000006</v>
      </c>
      <c r="AK196" s="646">
        <v>36.204793339451129</v>
      </c>
      <c r="AL196" s="646">
        <v>0</v>
      </c>
      <c r="AM196" s="646">
        <v>0</v>
      </c>
      <c r="AN196" s="646">
        <v>12.867986913934143</v>
      </c>
      <c r="AO196" s="646">
        <v>1.8314692462220781</v>
      </c>
      <c r="AP196" s="801">
        <v>3600</v>
      </c>
      <c r="AQ196" s="563" t="s">
        <v>71</v>
      </c>
      <c r="AR196" s="563">
        <v>3</v>
      </c>
      <c r="AS196" s="563">
        <v>0</v>
      </c>
      <c r="AT196" s="563">
        <v>0</v>
      </c>
      <c r="AU196" s="563">
        <v>0</v>
      </c>
      <c r="AV196" s="650">
        <v>17141.358870191434</v>
      </c>
      <c r="AW196" s="563">
        <v>0</v>
      </c>
      <c r="AX196" s="563">
        <v>0</v>
      </c>
      <c r="AY196" s="563">
        <v>0</v>
      </c>
      <c r="AZ196" s="650">
        <v>24361.631890392666</v>
      </c>
      <c r="BA196" s="564">
        <v>4000</v>
      </c>
      <c r="BB196" s="565">
        <v>157.4985116999683</v>
      </c>
      <c r="BC196" s="649">
        <v>3.5607600000000006</v>
      </c>
      <c r="BD196" s="646">
        <v>36.204793339451129</v>
      </c>
      <c r="BE196" s="646">
        <v>0</v>
      </c>
      <c r="BF196" s="646">
        <v>0</v>
      </c>
      <c r="BG196" s="646">
        <v>12.867986913934143</v>
      </c>
      <c r="BH196" s="646">
        <v>1.8314692462220781</v>
      </c>
      <c r="BI196" s="646">
        <v>3600</v>
      </c>
      <c r="BJ196" s="563" t="s">
        <v>71</v>
      </c>
      <c r="BK196" s="563">
        <v>3</v>
      </c>
      <c r="BL196" s="563">
        <v>0</v>
      </c>
      <c r="BM196" s="563">
        <v>0</v>
      </c>
      <c r="BN196" s="563">
        <v>0</v>
      </c>
      <c r="BO196" s="650">
        <v>17141.358870191434</v>
      </c>
      <c r="BP196" s="563">
        <v>0</v>
      </c>
      <c r="BQ196" s="563">
        <v>0</v>
      </c>
      <c r="BR196" s="563">
        <v>0</v>
      </c>
      <c r="BS196" s="650">
        <v>24361.631890392666</v>
      </c>
      <c r="BT196" s="564">
        <v>4000</v>
      </c>
      <c r="BU196" s="565">
        <v>157.4985116999683</v>
      </c>
      <c r="BV196" s="649">
        <v>3.5607600000000006</v>
      </c>
      <c r="BW196" s="646">
        <v>36.204793339451129</v>
      </c>
      <c r="BX196" s="646">
        <v>0</v>
      </c>
      <c r="BY196" s="646">
        <v>0</v>
      </c>
      <c r="BZ196" s="646">
        <v>12.867986913934143</v>
      </c>
      <c r="CA196" s="646">
        <v>1.8314692462220781</v>
      </c>
      <c r="CB196" s="646">
        <v>3600</v>
      </c>
      <c r="CC196" s="563" t="s">
        <v>1584</v>
      </c>
      <c r="CD196" s="563">
        <v>3</v>
      </c>
      <c r="CE196" s="563">
        <v>0</v>
      </c>
      <c r="CF196" s="563">
        <v>0</v>
      </c>
      <c r="CG196" s="563">
        <v>0</v>
      </c>
      <c r="CH196" s="650">
        <v>16795.033091959747</v>
      </c>
      <c r="CI196" s="563">
        <v>0</v>
      </c>
      <c r="CJ196" s="563">
        <v>0</v>
      </c>
      <c r="CK196" s="563">
        <v>0</v>
      </c>
      <c r="CL196" s="650">
        <v>23869.426973190562</v>
      </c>
      <c r="CM196" s="564">
        <v>4000</v>
      </c>
      <c r="CN196" s="565">
        <v>157.4985116999683</v>
      </c>
      <c r="CO196" s="649">
        <v>3.5607600000000006</v>
      </c>
      <c r="CP196" s="646">
        <v>36.204793339451129</v>
      </c>
      <c r="CQ196" s="646">
        <v>0</v>
      </c>
      <c r="CR196" s="646">
        <v>0</v>
      </c>
      <c r="CS196" s="646">
        <v>12.867986913934143</v>
      </c>
      <c r="CT196" s="646">
        <v>1.8314692462220781</v>
      </c>
      <c r="CU196" s="646">
        <v>3600</v>
      </c>
      <c r="CV196" s="563" t="s">
        <v>1584</v>
      </c>
      <c r="CW196" s="563">
        <v>3</v>
      </c>
      <c r="CX196" s="563">
        <v>0</v>
      </c>
      <c r="CY196" s="563">
        <v>0</v>
      </c>
      <c r="CZ196" s="563">
        <v>0</v>
      </c>
      <c r="DA196" s="650">
        <v>16795.033091959747</v>
      </c>
      <c r="DB196" s="563">
        <v>0</v>
      </c>
      <c r="DC196" s="563">
        <v>0</v>
      </c>
      <c r="DD196" s="563">
        <v>0</v>
      </c>
      <c r="DE196" s="650">
        <v>23869.426973190562</v>
      </c>
      <c r="DF196" s="564">
        <v>4000</v>
      </c>
      <c r="DG196" s="565">
        <v>157.4985116999683</v>
      </c>
      <c r="DH196" s="649">
        <v>3.5607600000000006</v>
      </c>
      <c r="DI196" s="646">
        <v>36.204793339451129</v>
      </c>
      <c r="DJ196" s="646">
        <v>0</v>
      </c>
      <c r="DK196" s="646">
        <v>0</v>
      </c>
      <c r="DL196" s="646">
        <v>12.867986913934143</v>
      </c>
      <c r="DM196" s="646">
        <v>1.8314692462220781</v>
      </c>
      <c r="DN196" s="646">
        <v>3600</v>
      </c>
      <c r="DO196" s="563" t="s">
        <v>1585</v>
      </c>
      <c r="DP196" s="563">
        <v>3</v>
      </c>
      <c r="DQ196" s="563">
        <v>0</v>
      </c>
      <c r="DR196" s="563">
        <v>0</v>
      </c>
      <c r="DS196" s="563">
        <v>0</v>
      </c>
      <c r="DT196" s="650">
        <v>18620.28187277773</v>
      </c>
      <c r="DU196" s="563">
        <v>0</v>
      </c>
      <c r="DV196" s="563">
        <v>0</v>
      </c>
      <c r="DW196" s="563">
        <v>0</v>
      </c>
      <c r="DX196" s="650">
        <v>26463.505963275857</v>
      </c>
      <c r="DY196" s="564">
        <v>4000</v>
      </c>
      <c r="DZ196" s="565">
        <v>157.4985116999683</v>
      </c>
      <c r="EA196" s="649">
        <v>3.5607600000000006</v>
      </c>
      <c r="EB196" s="646">
        <v>36.204793339451129</v>
      </c>
      <c r="EC196" s="646">
        <v>0</v>
      </c>
      <c r="ED196" s="646">
        <v>0</v>
      </c>
      <c r="EE196" s="646">
        <v>12.867986913934143</v>
      </c>
      <c r="EF196" s="646">
        <v>1.8314692462220781</v>
      </c>
      <c r="EG196" s="646">
        <v>3600</v>
      </c>
      <c r="EH196" s="563" t="s">
        <v>1585</v>
      </c>
      <c r="EI196" s="563">
        <v>3</v>
      </c>
      <c r="EJ196" s="563">
        <v>0</v>
      </c>
      <c r="EK196" s="563">
        <v>0</v>
      </c>
      <c r="EL196" s="563">
        <v>0</v>
      </c>
      <c r="EM196" s="650">
        <v>18620.28187277773</v>
      </c>
      <c r="EN196" s="563">
        <v>0</v>
      </c>
      <c r="EO196" s="563">
        <v>0</v>
      </c>
      <c r="EP196" s="563">
        <v>0</v>
      </c>
      <c r="EQ196" s="650">
        <v>26463.505963275857</v>
      </c>
      <c r="ER196" s="564">
        <v>4000</v>
      </c>
      <c r="ES196" s="565">
        <v>157.4985116999683</v>
      </c>
      <c r="ET196" s="649">
        <v>3.5607600000000006</v>
      </c>
      <c r="EU196" s="646">
        <v>36.204793339451129</v>
      </c>
      <c r="EV196" s="646">
        <v>0</v>
      </c>
      <c r="EW196" s="646">
        <v>0</v>
      </c>
      <c r="EX196" s="646">
        <v>12.867986913934143</v>
      </c>
      <c r="EY196" s="646">
        <v>1.8314692462220781</v>
      </c>
      <c r="EZ196" s="646">
        <v>3600</v>
      </c>
      <c r="FA196" s="563" t="s">
        <v>1586</v>
      </c>
      <c r="FB196" s="563">
        <v>3</v>
      </c>
      <c r="FC196" s="563">
        <v>0</v>
      </c>
      <c r="FD196" s="563">
        <v>0</v>
      </c>
      <c r="FE196" s="563">
        <v>0</v>
      </c>
      <c r="FF196" s="650">
        <v>19544.156136597394</v>
      </c>
      <c r="FG196" s="563">
        <v>0</v>
      </c>
      <c r="FH196" s="563">
        <v>0</v>
      </c>
      <c r="FI196" s="563">
        <v>0</v>
      </c>
      <c r="FJ196" s="650">
        <v>27776.533996737176</v>
      </c>
      <c r="FK196" s="564">
        <v>4000</v>
      </c>
      <c r="FL196" s="565">
        <v>157.4985116999683</v>
      </c>
      <c r="FM196" s="649">
        <v>3.5607600000000006</v>
      </c>
      <c r="FN196" s="646">
        <v>36.204793339451129</v>
      </c>
      <c r="FO196" s="646">
        <v>0</v>
      </c>
      <c r="FP196" s="646">
        <v>0</v>
      </c>
      <c r="FQ196" s="646">
        <v>12.867986913934143</v>
      </c>
      <c r="FR196" s="646">
        <v>1.8314692462220781</v>
      </c>
      <c r="FS196" s="646">
        <v>3600</v>
      </c>
      <c r="FT196" s="563" t="s">
        <v>1586</v>
      </c>
      <c r="FU196" s="563">
        <v>3</v>
      </c>
      <c r="FV196" s="563">
        <v>0</v>
      </c>
      <c r="FW196" s="563">
        <v>0</v>
      </c>
      <c r="FX196" s="563">
        <v>0</v>
      </c>
      <c r="FY196" s="650">
        <v>19544.156136597394</v>
      </c>
      <c r="FZ196" s="563">
        <v>0</v>
      </c>
      <c r="GA196" s="563">
        <v>0</v>
      </c>
      <c r="GB196" s="563">
        <v>0</v>
      </c>
      <c r="GC196" s="650">
        <v>27776.533996737176</v>
      </c>
      <c r="GD196" s="564">
        <v>4000</v>
      </c>
      <c r="GE196" s="565">
        <v>157.4985116999683</v>
      </c>
      <c r="GF196" s="649">
        <v>3.5607600000000006</v>
      </c>
      <c r="GG196" s="646">
        <v>36.204793339451129</v>
      </c>
      <c r="GH196" s="646">
        <v>0</v>
      </c>
      <c r="GI196" s="646">
        <v>0</v>
      </c>
      <c r="GJ196" s="646">
        <v>12.867986913934143</v>
      </c>
      <c r="GK196" s="646">
        <v>1.8314692462220781</v>
      </c>
      <c r="GL196" s="646">
        <v>3600</v>
      </c>
      <c r="GM196" s="563" t="s">
        <v>1587</v>
      </c>
      <c r="GN196" s="563">
        <v>3</v>
      </c>
      <c r="GO196" s="563">
        <v>0</v>
      </c>
      <c r="GP196" s="563">
        <v>0</v>
      </c>
      <c r="GQ196" s="563">
        <v>0</v>
      </c>
      <c r="GR196" s="650">
        <v>22997.546196280229</v>
      </c>
      <c r="GS196" s="563">
        <v>0</v>
      </c>
      <c r="GT196" s="563">
        <v>0</v>
      </c>
      <c r="GU196" s="563">
        <v>0</v>
      </c>
      <c r="GV196" s="650">
        <v>32684.558969846839</v>
      </c>
      <c r="GW196" s="564">
        <v>4000</v>
      </c>
      <c r="GX196" s="565">
        <v>157.4985116999683</v>
      </c>
      <c r="GY196" s="649">
        <v>3.5607600000000006</v>
      </c>
      <c r="GZ196" s="646">
        <v>36.204793339451129</v>
      </c>
      <c r="HA196" s="646">
        <v>0</v>
      </c>
      <c r="HB196" s="646">
        <v>0</v>
      </c>
      <c r="HC196" s="646">
        <v>12.867986913934143</v>
      </c>
      <c r="HD196" s="646">
        <v>1.8314692462220781</v>
      </c>
      <c r="HE196" s="646">
        <v>3600</v>
      </c>
      <c r="HF196" s="563" t="s">
        <v>1587</v>
      </c>
      <c r="HG196" s="563">
        <v>3</v>
      </c>
      <c r="HH196" s="563">
        <v>0</v>
      </c>
      <c r="HI196" s="563">
        <v>0</v>
      </c>
      <c r="HJ196" s="563">
        <v>0</v>
      </c>
      <c r="HK196" s="650">
        <v>22997.546196280229</v>
      </c>
      <c r="HL196" s="563">
        <v>0</v>
      </c>
      <c r="HM196" s="563">
        <v>0</v>
      </c>
      <c r="HN196" s="563">
        <v>0</v>
      </c>
      <c r="HO196" s="650">
        <v>32684.558969846839</v>
      </c>
      <c r="HP196" s="564">
        <v>4000</v>
      </c>
      <c r="HQ196" s="565">
        <v>157.4985116999683</v>
      </c>
      <c r="HR196" s="649">
        <v>3.5607600000000006</v>
      </c>
      <c r="HS196" s="646">
        <v>36.204793339451129</v>
      </c>
      <c r="HT196" s="646">
        <v>0</v>
      </c>
      <c r="HU196" s="646">
        <v>0</v>
      </c>
      <c r="HV196" s="646">
        <v>12.867986913934143</v>
      </c>
      <c r="HW196" s="646">
        <v>1.8314692462220781</v>
      </c>
      <c r="HX196" s="646">
        <v>3600</v>
      </c>
      <c r="HY196" s="563" t="s">
        <v>68</v>
      </c>
      <c r="HZ196" s="563">
        <v>3</v>
      </c>
      <c r="IA196" s="563">
        <v>0</v>
      </c>
      <c r="IB196" s="563">
        <v>0</v>
      </c>
      <c r="IC196" s="563">
        <v>0</v>
      </c>
      <c r="ID196" s="650">
        <v>20281.929333358963</v>
      </c>
      <c r="IE196" s="563">
        <v>0</v>
      </c>
      <c r="IF196" s="563">
        <v>0</v>
      </c>
      <c r="IG196" s="563">
        <v>0</v>
      </c>
      <c r="IH196" s="650">
        <v>28825.071582013385</v>
      </c>
      <c r="II196" s="564">
        <v>4000</v>
      </c>
      <c r="IJ196" s="565">
        <v>157.4985116999683</v>
      </c>
      <c r="IK196" s="649">
        <v>3.5607600000000006</v>
      </c>
      <c r="IL196" s="646">
        <v>36.204793339451129</v>
      </c>
      <c r="IM196" s="646">
        <v>0</v>
      </c>
      <c r="IN196" s="646">
        <v>0</v>
      </c>
      <c r="IO196" s="646">
        <v>12.867986913934143</v>
      </c>
      <c r="IP196" s="646">
        <v>1.8314692462220781</v>
      </c>
      <c r="IQ196" s="646">
        <v>3600</v>
      </c>
      <c r="IR196" s="563" t="s">
        <v>68</v>
      </c>
      <c r="IS196" s="563">
        <v>3</v>
      </c>
      <c r="IT196" s="563">
        <v>0</v>
      </c>
      <c r="IU196" s="563">
        <v>0</v>
      </c>
      <c r="IV196" s="563">
        <v>0</v>
      </c>
      <c r="IW196" s="650">
        <v>20281.929333358963</v>
      </c>
      <c r="IX196" s="563">
        <v>0</v>
      </c>
      <c r="IY196" s="563">
        <v>0</v>
      </c>
      <c r="IZ196" s="563">
        <v>0</v>
      </c>
      <c r="JA196" s="650">
        <v>28825.071582013385</v>
      </c>
      <c r="JB196" s="564">
        <v>4000</v>
      </c>
      <c r="JC196" s="565">
        <v>157.4985116999683</v>
      </c>
      <c r="JD196" s="649">
        <v>3.5607600000000006</v>
      </c>
      <c r="JE196" s="646">
        <v>36.204793339451129</v>
      </c>
      <c r="JF196" s="646">
        <v>0</v>
      </c>
      <c r="JG196" s="646">
        <v>0</v>
      </c>
      <c r="JH196" s="646">
        <v>12.867986913934143</v>
      </c>
      <c r="JI196" s="646">
        <v>1.8314692462220781</v>
      </c>
      <c r="JJ196" s="646">
        <v>3600</v>
      </c>
      <c r="JK196" s="563" t="s">
        <v>67</v>
      </c>
      <c r="JL196" s="563">
        <v>3</v>
      </c>
      <c r="JM196" s="563">
        <v>0</v>
      </c>
      <c r="JN196" s="563">
        <v>0</v>
      </c>
      <c r="JO196" s="563">
        <v>0</v>
      </c>
      <c r="JP196" s="650">
        <v>27639.610673513387</v>
      </c>
      <c r="JQ196" s="563">
        <v>0</v>
      </c>
      <c r="JR196" s="563">
        <v>0</v>
      </c>
      <c r="JS196" s="563">
        <v>0</v>
      </c>
      <c r="JT196" s="650">
        <v>39281.951093903066</v>
      </c>
      <c r="JU196" s="564">
        <v>4000</v>
      </c>
      <c r="JV196" s="565">
        <v>157.4985116999683</v>
      </c>
      <c r="JW196" s="649">
        <v>3.5607600000000006</v>
      </c>
      <c r="JX196" s="646">
        <v>36.204793339451129</v>
      </c>
      <c r="JY196" s="646">
        <v>0</v>
      </c>
      <c r="JZ196" s="646">
        <v>0</v>
      </c>
      <c r="KA196" s="646">
        <v>12.867986913934143</v>
      </c>
      <c r="KB196" s="646">
        <v>1.8314692462220781</v>
      </c>
      <c r="KC196" s="646">
        <v>3600</v>
      </c>
      <c r="KD196" s="563" t="s">
        <v>67</v>
      </c>
      <c r="KE196" s="563">
        <v>3</v>
      </c>
      <c r="KF196" s="563">
        <v>0</v>
      </c>
      <c r="KG196" s="563">
        <v>0</v>
      </c>
      <c r="KH196" s="563">
        <v>0</v>
      </c>
      <c r="KI196" s="650">
        <v>27639.610673513387</v>
      </c>
      <c r="KJ196" s="563">
        <v>0</v>
      </c>
      <c r="KK196" s="563">
        <v>0</v>
      </c>
      <c r="KL196" s="563">
        <v>0</v>
      </c>
      <c r="KM196" s="650">
        <v>39281.951093903066</v>
      </c>
      <c r="KN196" s="564">
        <v>4000</v>
      </c>
      <c r="KO196" s="566">
        <v>157.4985116999683</v>
      </c>
    </row>
    <row r="197" spans="1:301" ht="15" customHeight="1">
      <c r="A197" s="663" t="s">
        <v>946</v>
      </c>
      <c r="B197" s="629" t="s">
        <v>382</v>
      </c>
      <c r="C197" s="629">
        <v>190</v>
      </c>
      <c r="D197" s="629">
        <v>777</v>
      </c>
      <c r="E197" s="629">
        <v>160</v>
      </c>
      <c r="F197" s="629">
        <v>190</v>
      </c>
      <c r="G197" s="629">
        <v>39</v>
      </c>
      <c r="H197" s="629">
        <v>25</v>
      </c>
      <c r="I197" s="629">
        <v>25</v>
      </c>
      <c r="J197" s="629">
        <v>48.9</v>
      </c>
      <c r="K197" s="629">
        <v>77.900000000000006</v>
      </c>
      <c r="L197" s="629">
        <v>16</v>
      </c>
      <c r="M197" s="629">
        <v>270</v>
      </c>
      <c r="N197" s="629">
        <v>2</v>
      </c>
      <c r="O197" s="623">
        <v>7.1287648404668129</v>
      </c>
      <c r="P197" s="629">
        <v>2</v>
      </c>
      <c r="Q197" s="623">
        <v>5.8016677462971025</v>
      </c>
      <c r="R197" s="629">
        <v>12</v>
      </c>
      <c r="S197" s="629">
        <v>365</v>
      </c>
      <c r="T197" s="645">
        <v>9.8565859440144798</v>
      </c>
      <c r="U197" s="645">
        <v>54.75</v>
      </c>
      <c r="V197" s="645">
        <v>47.5</v>
      </c>
      <c r="W197" s="793">
        <v>0.65838913922909226</v>
      </c>
      <c r="X197" s="646">
        <v>0</v>
      </c>
      <c r="Y197" s="646">
        <v>0</v>
      </c>
      <c r="Z197" s="646">
        <v>0</v>
      </c>
      <c r="AA197" s="646">
        <v>0</v>
      </c>
      <c r="AB197" s="647">
        <v>1.0743536934337956</v>
      </c>
      <c r="AC197" s="784">
        <v>4000</v>
      </c>
      <c r="AD197" s="631"/>
      <c r="AE197" s="631"/>
      <c r="AF197" s="631"/>
      <c r="AG197" s="631"/>
      <c r="AH197" s="629"/>
      <c r="AI197" s="648">
        <v>2.0559648437618168</v>
      </c>
      <c r="AJ197" s="649">
        <v>2.5434000000000001</v>
      </c>
      <c r="AK197" s="646">
        <v>25.988807670007489</v>
      </c>
      <c r="AL197" s="646">
        <v>0</v>
      </c>
      <c r="AM197" s="646">
        <v>0</v>
      </c>
      <c r="AN197" s="646">
        <v>11.181334294689538</v>
      </c>
      <c r="AO197" s="646">
        <v>1.462798180197763</v>
      </c>
      <c r="AP197" s="801">
        <v>3600</v>
      </c>
      <c r="AQ197" s="563" t="s">
        <v>71</v>
      </c>
      <c r="AR197" s="563">
        <v>3</v>
      </c>
      <c r="AS197" s="563">
        <v>0</v>
      </c>
      <c r="AT197" s="563">
        <v>0</v>
      </c>
      <c r="AU197" s="563">
        <v>0</v>
      </c>
      <c r="AV197" s="650">
        <v>32455.666032520912</v>
      </c>
      <c r="AW197" s="563">
        <v>0</v>
      </c>
      <c r="AX197" s="563">
        <v>0</v>
      </c>
      <c r="AY197" s="563">
        <v>0</v>
      </c>
      <c r="AZ197" s="650">
        <v>31310.888820591768</v>
      </c>
      <c r="BA197" s="564">
        <v>4000</v>
      </c>
      <c r="BB197" s="565">
        <v>162.73449945595127</v>
      </c>
      <c r="BC197" s="649">
        <v>2.5434000000000001</v>
      </c>
      <c r="BD197" s="646">
        <v>25.988807670007489</v>
      </c>
      <c r="BE197" s="646">
        <v>0</v>
      </c>
      <c r="BF197" s="646">
        <v>0</v>
      </c>
      <c r="BG197" s="646">
        <v>11.181334294689538</v>
      </c>
      <c r="BH197" s="646">
        <v>1.462798180197763</v>
      </c>
      <c r="BI197" s="646">
        <v>3600</v>
      </c>
      <c r="BJ197" s="563" t="s">
        <v>71</v>
      </c>
      <c r="BK197" s="563">
        <v>3</v>
      </c>
      <c r="BL197" s="563">
        <v>0</v>
      </c>
      <c r="BM197" s="563">
        <v>0</v>
      </c>
      <c r="BN197" s="563">
        <v>0</v>
      </c>
      <c r="BO197" s="650">
        <v>32455.666032520912</v>
      </c>
      <c r="BP197" s="563">
        <v>0</v>
      </c>
      <c r="BQ197" s="563">
        <v>0</v>
      </c>
      <c r="BR197" s="563">
        <v>0</v>
      </c>
      <c r="BS197" s="650">
        <v>31310.888820591768</v>
      </c>
      <c r="BT197" s="564">
        <v>4000</v>
      </c>
      <c r="BU197" s="565">
        <v>162.73449945595127</v>
      </c>
      <c r="BV197" s="649">
        <v>2.5434000000000001</v>
      </c>
      <c r="BW197" s="646">
        <v>25.988807670007489</v>
      </c>
      <c r="BX197" s="646">
        <v>0</v>
      </c>
      <c r="BY197" s="646">
        <v>0</v>
      </c>
      <c r="BZ197" s="646">
        <v>11.181334294689538</v>
      </c>
      <c r="CA197" s="646">
        <v>1.462798180197763</v>
      </c>
      <c r="CB197" s="646">
        <v>3600</v>
      </c>
      <c r="CC197" s="563" t="s">
        <v>1584</v>
      </c>
      <c r="CD197" s="563">
        <v>3</v>
      </c>
      <c r="CE197" s="563">
        <v>0</v>
      </c>
      <c r="CF197" s="563">
        <v>0</v>
      </c>
      <c r="CG197" s="563">
        <v>0</v>
      </c>
      <c r="CH197" s="650">
        <v>31799.928416742558</v>
      </c>
      <c r="CI197" s="563">
        <v>0</v>
      </c>
      <c r="CJ197" s="563">
        <v>0</v>
      </c>
      <c r="CK197" s="563">
        <v>0</v>
      </c>
      <c r="CL197" s="650">
        <v>30678.280401385604</v>
      </c>
      <c r="CM197" s="564">
        <v>4000</v>
      </c>
      <c r="CN197" s="565">
        <v>162.73449945595127</v>
      </c>
      <c r="CO197" s="649">
        <v>2.5434000000000001</v>
      </c>
      <c r="CP197" s="646">
        <v>25.988807670007489</v>
      </c>
      <c r="CQ197" s="646">
        <v>0</v>
      </c>
      <c r="CR197" s="646">
        <v>0</v>
      </c>
      <c r="CS197" s="646">
        <v>11.181334294689538</v>
      </c>
      <c r="CT197" s="646">
        <v>1.462798180197763</v>
      </c>
      <c r="CU197" s="646">
        <v>3600</v>
      </c>
      <c r="CV197" s="563" t="s">
        <v>1584</v>
      </c>
      <c r="CW197" s="563">
        <v>3</v>
      </c>
      <c r="CX197" s="563">
        <v>0</v>
      </c>
      <c r="CY197" s="563">
        <v>0</v>
      </c>
      <c r="CZ197" s="563">
        <v>0</v>
      </c>
      <c r="DA197" s="650">
        <v>31799.928416742558</v>
      </c>
      <c r="DB197" s="563">
        <v>0</v>
      </c>
      <c r="DC197" s="563">
        <v>0</v>
      </c>
      <c r="DD197" s="563">
        <v>0</v>
      </c>
      <c r="DE197" s="650">
        <v>30678.280401385604</v>
      </c>
      <c r="DF197" s="564">
        <v>4000</v>
      </c>
      <c r="DG197" s="565">
        <v>162.73449945595127</v>
      </c>
      <c r="DH197" s="649">
        <v>1.6956000000000002</v>
      </c>
      <c r="DI197" s="646">
        <v>25.14100767000749</v>
      </c>
      <c r="DJ197" s="646">
        <v>0</v>
      </c>
      <c r="DK197" s="646">
        <v>0</v>
      </c>
      <c r="DL197" s="646">
        <v>11.136866515210041</v>
      </c>
      <c r="DM197" s="646">
        <v>1.394992301922763</v>
      </c>
      <c r="DN197" s="646">
        <v>3600</v>
      </c>
      <c r="DO197" s="563" t="s">
        <v>1585</v>
      </c>
      <c r="DP197" s="563">
        <v>2</v>
      </c>
      <c r="DQ197" s="563">
        <v>0</v>
      </c>
      <c r="DR197" s="563">
        <v>0</v>
      </c>
      <c r="DS197" s="563">
        <v>0</v>
      </c>
      <c r="DT197" s="650">
        <v>20323.088291316832</v>
      </c>
      <c r="DU197" s="563">
        <v>0</v>
      </c>
      <c r="DV197" s="563">
        <v>0</v>
      </c>
      <c r="DW197" s="563">
        <v>0</v>
      </c>
      <c r="DX197" s="650">
        <v>19606.251720204375</v>
      </c>
      <c r="DY197" s="564">
        <v>4000</v>
      </c>
      <c r="DZ197" s="565">
        <v>162.73449945595127</v>
      </c>
      <c r="EA197" s="649">
        <v>1.6956000000000002</v>
      </c>
      <c r="EB197" s="646">
        <v>25.14100767000749</v>
      </c>
      <c r="EC197" s="646">
        <v>0</v>
      </c>
      <c r="ED197" s="646">
        <v>0</v>
      </c>
      <c r="EE197" s="646">
        <v>11.136866515210041</v>
      </c>
      <c r="EF197" s="646">
        <v>1.394992301922763</v>
      </c>
      <c r="EG197" s="646">
        <v>3600</v>
      </c>
      <c r="EH197" s="563" t="s">
        <v>1585</v>
      </c>
      <c r="EI197" s="563">
        <v>2</v>
      </c>
      <c r="EJ197" s="563">
        <v>0</v>
      </c>
      <c r="EK197" s="563">
        <v>0</v>
      </c>
      <c r="EL197" s="563">
        <v>0</v>
      </c>
      <c r="EM197" s="650">
        <v>20323.088291316832</v>
      </c>
      <c r="EN197" s="563">
        <v>0</v>
      </c>
      <c r="EO197" s="563">
        <v>0</v>
      </c>
      <c r="EP197" s="563">
        <v>0</v>
      </c>
      <c r="EQ197" s="650">
        <v>19606.251720204375</v>
      </c>
      <c r="ER197" s="564">
        <v>4000</v>
      </c>
      <c r="ES197" s="565">
        <v>162.73449945595127</v>
      </c>
      <c r="ET197" s="649">
        <v>1.6956000000000002</v>
      </c>
      <c r="EU197" s="646">
        <v>25.14100767000749</v>
      </c>
      <c r="EV197" s="646">
        <v>0</v>
      </c>
      <c r="EW197" s="646">
        <v>0</v>
      </c>
      <c r="EX197" s="646">
        <v>11.136866515210041</v>
      </c>
      <c r="EY197" s="646">
        <v>1.394992301922763</v>
      </c>
      <c r="EZ197" s="646">
        <v>3600</v>
      </c>
      <c r="FA197" s="563" t="s">
        <v>1586</v>
      </c>
      <c r="FB197" s="563">
        <v>2</v>
      </c>
      <c r="FC197" s="563">
        <v>0</v>
      </c>
      <c r="FD197" s="563">
        <v>0</v>
      </c>
      <c r="FE197" s="563">
        <v>0</v>
      </c>
      <c r="FF197" s="650">
        <v>21331.449945666031</v>
      </c>
      <c r="FG197" s="563">
        <v>0</v>
      </c>
      <c r="FH197" s="563">
        <v>0</v>
      </c>
      <c r="FI197" s="563">
        <v>0</v>
      </c>
      <c r="FJ197" s="650">
        <v>20579.046412466723</v>
      </c>
      <c r="FK197" s="564">
        <v>4000</v>
      </c>
      <c r="FL197" s="565">
        <v>162.73449945595127</v>
      </c>
      <c r="FM197" s="649">
        <v>1.6956000000000002</v>
      </c>
      <c r="FN197" s="646">
        <v>25.14100767000749</v>
      </c>
      <c r="FO197" s="646">
        <v>0</v>
      </c>
      <c r="FP197" s="646">
        <v>0</v>
      </c>
      <c r="FQ197" s="646">
        <v>11.136866515210041</v>
      </c>
      <c r="FR197" s="646">
        <v>1.394992301922763</v>
      </c>
      <c r="FS197" s="646">
        <v>3600</v>
      </c>
      <c r="FT197" s="563" t="s">
        <v>1586</v>
      </c>
      <c r="FU197" s="563">
        <v>2</v>
      </c>
      <c r="FV197" s="563">
        <v>0</v>
      </c>
      <c r="FW197" s="563">
        <v>0</v>
      </c>
      <c r="FX197" s="563">
        <v>0</v>
      </c>
      <c r="FY197" s="650">
        <v>21331.449945666031</v>
      </c>
      <c r="FZ197" s="563">
        <v>0</v>
      </c>
      <c r="GA197" s="563">
        <v>0</v>
      </c>
      <c r="GB197" s="563">
        <v>0</v>
      </c>
      <c r="GC197" s="650">
        <v>20579.046412466723</v>
      </c>
      <c r="GD197" s="564">
        <v>4000</v>
      </c>
      <c r="GE197" s="565">
        <v>162.73449945595127</v>
      </c>
      <c r="GF197" s="649">
        <v>1.6956000000000002</v>
      </c>
      <c r="GG197" s="646">
        <v>25.14100767000749</v>
      </c>
      <c r="GH197" s="646">
        <v>0</v>
      </c>
      <c r="GI197" s="646">
        <v>0</v>
      </c>
      <c r="GJ197" s="646">
        <v>11.136866515210041</v>
      </c>
      <c r="GK197" s="646">
        <v>1.394992301922763</v>
      </c>
      <c r="GL197" s="646">
        <v>3600</v>
      </c>
      <c r="GM197" s="563" t="s">
        <v>1587</v>
      </c>
      <c r="GN197" s="563">
        <v>2</v>
      </c>
      <c r="GO197" s="563">
        <v>0</v>
      </c>
      <c r="GP197" s="563">
        <v>0</v>
      </c>
      <c r="GQ197" s="563">
        <v>0</v>
      </c>
      <c r="GR197" s="650">
        <v>25100.649121425886</v>
      </c>
      <c r="GS197" s="563">
        <v>0</v>
      </c>
      <c r="GT197" s="563">
        <v>0</v>
      </c>
      <c r="GU197" s="563">
        <v>0</v>
      </c>
      <c r="GV197" s="650">
        <v>24215.298283453714</v>
      </c>
      <c r="GW197" s="564">
        <v>4000</v>
      </c>
      <c r="GX197" s="565">
        <v>162.73449945595127</v>
      </c>
      <c r="GY197" s="649">
        <v>1.6956000000000002</v>
      </c>
      <c r="GZ197" s="646">
        <v>25.14100767000749</v>
      </c>
      <c r="HA197" s="646">
        <v>0</v>
      </c>
      <c r="HB197" s="646">
        <v>0</v>
      </c>
      <c r="HC197" s="646">
        <v>11.136866515210041</v>
      </c>
      <c r="HD197" s="646">
        <v>1.394992301922763</v>
      </c>
      <c r="HE197" s="646">
        <v>3600</v>
      </c>
      <c r="HF197" s="563" t="s">
        <v>1587</v>
      </c>
      <c r="HG197" s="563">
        <v>2</v>
      </c>
      <c r="HH197" s="563">
        <v>0</v>
      </c>
      <c r="HI197" s="563">
        <v>0</v>
      </c>
      <c r="HJ197" s="563">
        <v>0</v>
      </c>
      <c r="HK197" s="650">
        <v>25100.649121425886</v>
      </c>
      <c r="HL197" s="563">
        <v>0</v>
      </c>
      <c r="HM197" s="563">
        <v>0</v>
      </c>
      <c r="HN197" s="563">
        <v>0</v>
      </c>
      <c r="HO197" s="650">
        <v>24215.298283453714</v>
      </c>
      <c r="HP197" s="564">
        <v>4000</v>
      </c>
      <c r="HQ197" s="565">
        <v>162.73449945595127</v>
      </c>
      <c r="HR197" s="649">
        <v>1.6956000000000002</v>
      </c>
      <c r="HS197" s="646">
        <v>25.14100767000749</v>
      </c>
      <c r="HT197" s="646">
        <v>0</v>
      </c>
      <c r="HU197" s="646">
        <v>0</v>
      </c>
      <c r="HV197" s="646">
        <v>11.136866515210041</v>
      </c>
      <c r="HW197" s="646">
        <v>1.394992301922763</v>
      </c>
      <c r="HX197" s="646">
        <v>3600</v>
      </c>
      <c r="HY197" s="563" t="s">
        <v>68</v>
      </c>
      <c r="HZ197" s="563">
        <v>2</v>
      </c>
      <c r="IA197" s="563">
        <v>0</v>
      </c>
      <c r="IB197" s="563">
        <v>0</v>
      </c>
      <c r="IC197" s="563">
        <v>0</v>
      </c>
      <c r="ID197" s="650">
        <v>22136.691773861603</v>
      </c>
      <c r="IE197" s="563">
        <v>0</v>
      </c>
      <c r="IF197" s="563">
        <v>0</v>
      </c>
      <c r="IG197" s="563">
        <v>0</v>
      </c>
      <c r="IH197" s="650">
        <v>21355.885727089255</v>
      </c>
      <c r="II197" s="564">
        <v>4000</v>
      </c>
      <c r="IJ197" s="565">
        <v>162.73449945595127</v>
      </c>
      <c r="IK197" s="649">
        <v>1.6956000000000002</v>
      </c>
      <c r="IL197" s="646">
        <v>25.14100767000749</v>
      </c>
      <c r="IM197" s="646">
        <v>0</v>
      </c>
      <c r="IN197" s="646">
        <v>0</v>
      </c>
      <c r="IO197" s="646">
        <v>11.136866515210041</v>
      </c>
      <c r="IP197" s="646">
        <v>1.394992301922763</v>
      </c>
      <c r="IQ197" s="646">
        <v>3600</v>
      </c>
      <c r="IR197" s="563" t="s">
        <v>68</v>
      </c>
      <c r="IS197" s="563">
        <v>2</v>
      </c>
      <c r="IT197" s="563">
        <v>0</v>
      </c>
      <c r="IU197" s="563">
        <v>0</v>
      </c>
      <c r="IV197" s="563">
        <v>0</v>
      </c>
      <c r="IW197" s="650">
        <v>22136.691773861603</v>
      </c>
      <c r="IX197" s="563">
        <v>0</v>
      </c>
      <c r="IY197" s="563">
        <v>0</v>
      </c>
      <c r="IZ197" s="563">
        <v>0</v>
      </c>
      <c r="JA197" s="650">
        <v>21355.885727089255</v>
      </c>
      <c r="JB197" s="564">
        <v>4000</v>
      </c>
      <c r="JC197" s="565">
        <v>162.73449945595127</v>
      </c>
      <c r="JD197" s="649">
        <v>1.6956000000000002</v>
      </c>
      <c r="JE197" s="646">
        <v>25.14100767000749</v>
      </c>
      <c r="JF197" s="646">
        <v>0</v>
      </c>
      <c r="JG197" s="646">
        <v>0</v>
      </c>
      <c r="JH197" s="646">
        <v>11.136866515210041</v>
      </c>
      <c r="JI197" s="646">
        <v>1.394992301922763</v>
      </c>
      <c r="JJ197" s="646">
        <v>3600</v>
      </c>
      <c r="JK197" s="563" t="s">
        <v>67</v>
      </c>
      <c r="JL197" s="563">
        <v>2</v>
      </c>
      <c r="JM197" s="563">
        <v>0</v>
      </c>
      <c r="JN197" s="563">
        <v>0</v>
      </c>
      <c r="JO197" s="563">
        <v>0</v>
      </c>
      <c r="JP197" s="650">
        <v>30167.225818243725</v>
      </c>
      <c r="JQ197" s="563">
        <v>0</v>
      </c>
      <c r="JR197" s="563">
        <v>0</v>
      </c>
      <c r="JS197" s="563">
        <v>0</v>
      </c>
      <c r="JT197" s="650">
        <v>29103.166537215824</v>
      </c>
      <c r="JU197" s="564">
        <v>4000</v>
      </c>
      <c r="JV197" s="565">
        <v>162.73449945595127</v>
      </c>
      <c r="JW197" s="649">
        <v>1.6956000000000002</v>
      </c>
      <c r="JX197" s="646">
        <v>25.14100767000749</v>
      </c>
      <c r="JY197" s="646">
        <v>0</v>
      </c>
      <c r="JZ197" s="646">
        <v>0</v>
      </c>
      <c r="KA197" s="646">
        <v>11.136866515210041</v>
      </c>
      <c r="KB197" s="646">
        <v>1.394992301922763</v>
      </c>
      <c r="KC197" s="646">
        <v>3600</v>
      </c>
      <c r="KD197" s="563" t="s">
        <v>67</v>
      </c>
      <c r="KE197" s="563">
        <v>2</v>
      </c>
      <c r="KF197" s="563">
        <v>0</v>
      </c>
      <c r="KG197" s="563">
        <v>0</v>
      </c>
      <c r="KH197" s="563">
        <v>0</v>
      </c>
      <c r="KI197" s="650">
        <v>30167.225818243725</v>
      </c>
      <c r="KJ197" s="563">
        <v>0</v>
      </c>
      <c r="KK197" s="563">
        <v>0</v>
      </c>
      <c r="KL197" s="563">
        <v>0</v>
      </c>
      <c r="KM197" s="650">
        <v>29103.166537215824</v>
      </c>
      <c r="KN197" s="564">
        <v>4000</v>
      </c>
      <c r="KO197" s="566">
        <v>162.73449945595127</v>
      </c>
    </row>
    <row r="198" spans="1:301" ht="15" customHeight="1">
      <c r="A198" s="663" t="s">
        <v>947</v>
      </c>
      <c r="B198" s="629" t="s">
        <v>382</v>
      </c>
      <c r="C198" s="629">
        <v>190</v>
      </c>
      <c r="D198" s="629">
        <v>777</v>
      </c>
      <c r="E198" s="629">
        <v>160</v>
      </c>
      <c r="F198" s="629">
        <v>190</v>
      </c>
      <c r="G198" s="629">
        <v>49</v>
      </c>
      <c r="H198" s="629">
        <v>35</v>
      </c>
      <c r="I198" s="629">
        <v>35</v>
      </c>
      <c r="J198" s="629">
        <v>48.9</v>
      </c>
      <c r="K198" s="629">
        <v>77.900000000000006</v>
      </c>
      <c r="L198" s="629">
        <v>16</v>
      </c>
      <c r="M198" s="629">
        <v>270</v>
      </c>
      <c r="N198" s="629">
        <v>2</v>
      </c>
      <c r="O198" s="623">
        <v>7.1287648404668129</v>
      </c>
      <c r="P198" s="629">
        <v>2</v>
      </c>
      <c r="Q198" s="623">
        <v>4.4255179958515942</v>
      </c>
      <c r="R198" s="629">
        <v>13.000000000000002</v>
      </c>
      <c r="S198" s="629">
        <v>494.80104614921703</v>
      </c>
      <c r="T198" s="645">
        <v>19.62294148391149</v>
      </c>
      <c r="U198" s="645">
        <v>74.220156922382557</v>
      </c>
      <c r="V198" s="645">
        <v>47.5</v>
      </c>
      <c r="W198" s="793">
        <v>1.2099241563998311</v>
      </c>
      <c r="X198" s="646">
        <v>0</v>
      </c>
      <c r="Y198" s="646">
        <v>0</v>
      </c>
      <c r="Z198" s="646">
        <v>0</v>
      </c>
      <c r="AA198" s="646">
        <v>0</v>
      </c>
      <c r="AB198" s="647">
        <v>1.7470166867759973</v>
      </c>
      <c r="AC198" s="784">
        <v>4000</v>
      </c>
      <c r="AD198" s="631">
        <v>2.3404569791261922</v>
      </c>
      <c r="AE198" s="631">
        <v>1.1463215220271168</v>
      </c>
      <c r="AF198" s="631">
        <v>-6.1414143793295725E-2</v>
      </c>
      <c r="AG198" s="631">
        <v>0.68089591993697252</v>
      </c>
      <c r="AH198" s="629"/>
      <c r="AI198" s="648">
        <v>2.1423648437618166</v>
      </c>
      <c r="AJ198" s="649">
        <v>3.5607600000000006</v>
      </c>
      <c r="AK198" s="646">
        <v>35.947908476629728</v>
      </c>
      <c r="AL198" s="646">
        <v>0</v>
      </c>
      <c r="AM198" s="646">
        <v>0</v>
      </c>
      <c r="AN198" s="646">
        <v>13.14486505047463</v>
      </c>
      <c r="AO198" s="646">
        <v>1.915520945011407</v>
      </c>
      <c r="AP198" s="801">
        <v>3600</v>
      </c>
      <c r="AQ198" s="563" t="s">
        <v>71</v>
      </c>
      <c r="AR198" s="563">
        <v>3</v>
      </c>
      <c r="AS198" s="563">
        <v>0</v>
      </c>
      <c r="AT198" s="563">
        <v>0</v>
      </c>
      <c r="AU198" s="563">
        <v>0</v>
      </c>
      <c r="AV198" s="650">
        <v>25283.550355154202</v>
      </c>
      <c r="AW198" s="563">
        <v>0</v>
      </c>
      <c r="AX198" s="563">
        <v>0</v>
      </c>
      <c r="AY198" s="563">
        <v>0</v>
      </c>
      <c r="AZ198" s="650">
        <v>33146.367325544335</v>
      </c>
      <c r="BA198" s="564">
        <v>4000</v>
      </c>
      <c r="BB198" s="565">
        <v>162.73449945595127</v>
      </c>
      <c r="BC198" s="649">
        <v>3.5607600000000006</v>
      </c>
      <c r="BD198" s="646">
        <v>35.947908476629728</v>
      </c>
      <c r="BE198" s="646">
        <v>0</v>
      </c>
      <c r="BF198" s="646">
        <v>0</v>
      </c>
      <c r="BG198" s="646">
        <v>13.14486505047463</v>
      </c>
      <c r="BH198" s="646">
        <v>1.915520945011407</v>
      </c>
      <c r="BI198" s="646">
        <v>3600</v>
      </c>
      <c r="BJ198" s="563" t="s">
        <v>71</v>
      </c>
      <c r="BK198" s="563">
        <v>3</v>
      </c>
      <c r="BL198" s="563">
        <v>0</v>
      </c>
      <c r="BM198" s="563">
        <v>0</v>
      </c>
      <c r="BN198" s="563">
        <v>0</v>
      </c>
      <c r="BO198" s="650">
        <v>25283.550355154202</v>
      </c>
      <c r="BP198" s="563">
        <v>0</v>
      </c>
      <c r="BQ198" s="563">
        <v>0</v>
      </c>
      <c r="BR198" s="563">
        <v>0</v>
      </c>
      <c r="BS198" s="650">
        <v>33146.367325544335</v>
      </c>
      <c r="BT198" s="564">
        <v>4000</v>
      </c>
      <c r="BU198" s="565">
        <v>162.73449945595127</v>
      </c>
      <c r="BV198" s="649">
        <v>3.5607600000000006</v>
      </c>
      <c r="BW198" s="646">
        <v>35.947908476629728</v>
      </c>
      <c r="BX198" s="646">
        <v>0</v>
      </c>
      <c r="BY198" s="646">
        <v>0</v>
      </c>
      <c r="BZ198" s="646">
        <v>13.14486505047463</v>
      </c>
      <c r="CA198" s="646">
        <v>1.915520945011407</v>
      </c>
      <c r="CB198" s="646">
        <v>3600</v>
      </c>
      <c r="CC198" s="563" t="s">
        <v>1584</v>
      </c>
      <c r="CD198" s="563">
        <v>3</v>
      </c>
      <c r="CE198" s="563">
        <v>0</v>
      </c>
      <c r="CF198" s="563">
        <v>0</v>
      </c>
      <c r="CG198" s="563">
        <v>0</v>
      </c>
      <c r="CH198" s="650">
        <v>24772.718902436885</v>
      </c>
      <c r="CI198" s="563">
        <v>0</v>
      </c>
      <c r="CJ198" s="563">
        <v>0</v>
      </c>
      <c r="CK198" s="563">
        <v>0</v>
      </c>
      <c r="CL198" s="650">
        <v>32476.674709777715</v>
      </c>
      <c r="CM198" s="564">
        <v>4000</v>
      </c>
      <c r="CN198" s="565">
        <v>162.73449945595127</v>
      </c>
      <c r="CO198" s="649">
        <v>3.5607600000000006</v>
      </c>
      <c r="CP198" s="646">
        <v>35.947908476629728</v>
      </c>
      <c r="CQ198" s="646">
        <v>0</v>
      </c>
      <c r="CR198" s="646">
        <v>0</v>
      </c>
      <c r="CS198" s="646">
        <v>13.14486505047463</v>
      </c>
      <c r="CT198" s="646">
        <v>1.915520945011407</v>
      </c>
      <c r="CU198" s="646">
        <v>3600</v>
      </c>
      <c r="CV198" s="563" t="s">
        <v>1584</v>
      </c>
      <c r="CW198" s="563">
        <v>3</v>
      </c>
      <c r="CX198" s="563">
        <v>0</v>
      </c>
      <c r="CY198" s="563">
        <v>0</v>
      </c>
      <c r="CZ198" s="563">
        <v>0</v>
      </c>
      <c r="DA198" s="650">
        <v>24772.718902436885</v>
      </c>
      <c r="DB198" s="563">
        <v>0</v>
      </c>
      <c r="DC198" s="563">
        <v>0</v>
      </c>
      <c r="DD198" s="563">
        <v>0</v>
      </c>
      <c r="DE198" s="650">
        <v>32476.674709777715</v>
      </c>
      <c r="DF198" s="564">
        <v>4000</v>
      </c>
      <c r="DG198" s="565">
        <v>162.73449945595127</v>
      </c>
      <c r="DH198" s="649">
        <v>3.5607600000000006</v>
      </c>
      <c r="DI198" s="646">
        <v>35.947908476629728</v>
      </c>
      <c r="DJ198" s="646">
        <v>0</v>
      </c>
      <c r="DK198" s="646">
        <v>0</v>
      </c>
      <c r="DL198" s="646">
        <v>13.14486505047463</v>
      </c>
      <c r="DM198" s="646">
        <v>1.915520945011407</v>
      </c>
      <c r="DN198" s="646">
        <v>3600</v>
      </c>
      <c r="DO198" s="563" t="s">
        <v>1585</v>
      </c>
      <c r="DP198" s="563">
        <v>3</v>
      </c>
      <c r="DQ198" s="563">
        <v>0</v>
      </c>
      <c r="DR198" s="563">
        <v>0</v>
      </c>
      <c r="DS198" s="563">
        <v>0</v>
      </c>
      <c r="DT198" s="650">
        <v>27464.965754624736</v>
      </c>
      <c r="DU198" s="563">
        <v>0</v>
      </c>
      <c r="DV198" s="563">
        <v>0</v>
      </c>
      <c r="DW198" s="563">
        <v>0</v>
      </c>
      <c r="DX198" s="650">
        <v>36006.171233807916</v>
      </c>
      <c r="DY198" s="564">
        <v>4000</v>
      </c>
      <c r="DZ198" s="565">
        <v>162.73449945595127</v>
      </c>
      <c r="EA198" s="649">
        <v>3.5607600000000006</v>
      </c>
      <c r="EB198" s="646">
        <v>35.947908476629728</v>
      </c>
      <c r="EC198" s="646">
        <v>0</v>
      </c>
      <c r="ED198" s="646">
        <v>0</v>
      </c>
      <c r="EE198" s="646">
        <v>13.14486505047463</v>
      </c>
      <c r="EF198" s="646">
        <v>1.915520945011407</v>
      </c>
      <c r="EG198" s="646">
        <v>3600</v>
      </c>
      <c r="EH198" s="563" t="s">
        <v>1585</v>
      </c>
      <c r="EI198" s="563">
        <v>3</v>
      </c>
      <c r="EJ198" s="563">
        <v>0</v>
      </c>
      <c r="EK198" s="563">
        <v>0</v>
      </c>
      <c r="EL198" s="563">
        <v>0</v>
      </c>
      <c r="EM198" s="650">
        <v>27464.965754624736</v>
      </c>
      <c r="EN198" s="563">
        <v>0</v>
      </c>
      <c r="EO198" s="563">
        <v>0</v>
      </c>
      <c r="EP198" s="563">
        <v>0</v>
      </c>
      <c r="EQ198" s="650">
        <v>36006.171233807916</v>
      </c>
      <c r="ER198" s="564">
        <v>4000</v>
      </c>
      <c r="ES198" s="565">
        <v>162.73449945595127</v>
      </c>
      <c r="ET198" s="649">
        <v>3.5607600000000006</v>
      </c>
      <c r="EU198" s="646">
        <v>35.947908476629728</v>
      </c>
      <c r="EV198" s="646">
        <v>0</v>
      </c>
      <c r="EW198" s="646">
        <v>0</v>
      </c>
      <c r="EX198" s="646">
        <v>13.14486505047463</v>
      </c>
      <c r="EY198" s="646">
        <v>1.915520945011407</v>
      </c>
      <c r="EZ198" s="646">
        <v>3600</v>
      </c>
      <c r="FA198" s="563" t="s">
        <v>1586</v>
      </c>
      <c r="FB198" s="563">
        <v>3</v>
      </c>
      <c r="FC198" s="563">
        <v>0</v>
      </c>
      <c r="FD198" s="563">
        <v>0</v>
      </c>
      <c r="FE198" s="563">
        <v>0</v>
      </c>
      <c r="FF198" s="650">
        <v>28827.682774203407</v>
      </c>
      <c r="FG198" s="563">
        <v>0</v>
      </c>
      <c r="FH198" s="563">
        <v>0</v>
      </c>
      <c r="FI198" s="563">
        <v>0</v>
      </c>
      <c r="FJ198" s="650">
        <v>37792.673455894692</v>
      </c>
      <c r="FK198" s="564">
        <v>4000</v>
      </c>
      <c r="FL198" s="565">
        <v>162.73449945595127</v>
      </c>
      <c r="FM198" s="649">
        <v>3.5607600000000006</v>
      </c>
      <c r="FN198" s="646">
        <v>35.947908476629728</v>
      </c>
      <c r="FO198" s="646">
        <v>0</v>
      </c>
      <c r="FP198" s="646">
        <v>0</v>
      </c>
      <c r="FQ198" s="646">
        <v>13.14486505047463</v>
      </c>
      <c r="FR198" s="646">
        <v>1.915520945011407</v>
      </c>
      <c r="FS198" s="646">
        <v>3600</v>
      </c>
      <c r="FT198" s="563" t="s">
        <v>1586</v>
      </c>
      <c r="FU198" s="563">
        <v>3</v>
      </c>
      <c r="FV198" s="563">
        <v>0</v>
      </c>
      <c r="FW198" s="563">
        <v>0</v>
      </c>
      <c r="FX198" s="563">
        <v>0</v>
      </c>
      <c r="FY198" s="650">
        <v>28827.682774203407</v>
      </c>
      <c r="FZ198" s="563">
        <v>0</v>
      </c>
      <c r="GA198" s="563">
        <v>0</v>
      </c>
      <c r="GB198" s="563">
        <v>0</v>
      </c>
      <c r="GC198" s="650">
        <v>37792.673455894692</v>
      </c>
      <c r="GD198" s="564">
        <v>4000</v>
      </c>
      <c r="GE198" s="565">
        <v>162.73449945595127</v>
      </c>
      <c r="GF198" s="649">
        <v>3.5607600000000006</v>
      </c>
      <c r="GG198" s="646">
        <v>35.947908476629728</v>
      </c>
      <c r="GH198" s="646">
        <v>0</v>
      </c>
      <c r="GI198" s="646">
        <v>0</v>
      </c>
      <c r="GJ198" s="646">
        <v>13.14486505047463</v>
      </c>
      <c r="GK198" s="646">
        <v>1.915520945011407</v>
      </c>
      <c r="GL198" s="646">
        <v>3600</v>
      </c>
      <c r="GM198" s="563" t="s">
        <v>1587</v>
      </c>
      <c r="GN198" s="563">
        <v>3</v>
      </c>
      <c r="GO198" s="563">
        <v>0</v>
      </c>
      <c r="GP198" s="563">
        <v>0</v>
      </c>
      <c r="GQ198" s="563">
        <v>0</v>
      </c>
      <c r="GR198" s="650">
        <v>33921.442383998263</v>
      </c>
      <c r="GS198" s="563">
        <v>0</v>
      </c>
      <c r="GT198" s="563">
        <v>0</v>
      </c>
      <c r="GU198" s="563">
        <v>0</v>
      </c>
      <c r="GV198" s="650">
        <v>44470.518328257</v>
      </c>
      <c r="GW198" s="564">
        <v>4000</v>
      </c>
      <c r="GX198" s="565">
        <v>162.73449945595127</v>
      </c>
      <c r="GY198" s="649">
        <v>3.5607600000000006</v>
      </c>
      <c r="GZ198" s="646">
        <v>35.947908476629728</v>
      </c>
      <c r="HA198" s="646">
        <v>0</v>
      </c>
      <c r="HB198" s="646">
        <v>0</v>
      </c>
      <c r="HC198" s="646">
        <v>13.14486505047463</v>
      </c>
      <c r="HD198" s="646">
        <v>1.915520945011407</v>
      </c>
      <c r="HE198" s="646">
        <v>3600</v>
      </c>
      <c r="HF198" s="563" t="s">
        <v>1587</v>
      </c>
      <c r="HG198" s="563">
        <v>3</v>
      </c>
      <c r="HH198" s="563">
        <v>0</v>
      </c>
      <c r="HI198" s="563">
        <v>0</v>
      </c>
      <c r="HJ198" s="563">
        <v>0</v>
      </c>
      <c r="HK198" s="650">
        <v>33921.442383998263</v>
      </c>
      <c r="HL198" s="563">
        <v>0</v>
      </c>
      <c r="HM198" s="563">
        <v>0</v>
      </c>
      <c r="HN198" s="563">
        <v>0</v>
      </c>
      <c r="HO198" s="650">
        <v>44470.518328257</v>
      </c>
      <c r="HP198" s="564">
        <v>4000</v>
      </c>
      <c r="HQ198" s="565">
        <v>162.73449945595127</v>
      </c>
      <c r="HR198" s="649">
        <v>3.5607600000000006</v>
      </c>
      <c r="HS198" s="646">
        <v>35.947908476629728</v>
      </c>
      <c r="HT198" s="646">
        <v>0</v>
      </c>
      <c r="HU198" s="646">
        <v>0</v>
      </c>
      <c r="HV198" s="646">
        <v>13.14486505047463</v>
      </c>
      <c r="HW198" s="646">
        <v>1.915520945011407</v>
      </c>
      <c r="HX198" s="646">
        <v>3600</v>
      </c>
      <c r="HY198" s="563" t="s">
        <v>68</v>
      </c>
      <c r="HZ198" s="563">
        <v>3</v>
      </c>
      <c r="IA198" s="563">
        <v>0</v>
      </c>
      <c r="IB198" s="563">
        <v>0</v>
      </c>
      <c r="IC198" s="563">
        <v>0</v>
      </c>
      <c r="ID198" s="650">
        <v>29915.900220221782</v>
      </c>
      <c r="IE198" s="563">
        <v>0</v>
      </c>
      <c r="IF198" s="563">
        <v>0</v>
      </c>
      <c r="IG198" s="563">
        <v>0</v>
      </c>
      <c r="IH198" s="650">
        <v>39219.310723569288</v>
      </c>
      <c r="II198" s="564">
        <v>4000</v>
      </c>
      <c r="IJ198" s="565">
        <v>162.73449945595127</v>
      </c>
      <c r="IK198" s="649">
        <v>3.5607600000000006</v>
      </c>
      <c r="IL198" s="646">
        <v>35.947908476629728</v>
      </c>
      <c r="IM198" s="646">
        <v>0</v>
      </c>
      <c r="IN198" s="646">
        <v>0</v>
      </c>
      <c r="IO198" s="646">
        <v>13.14486505047463</v>
      </c>
      <c r="IP198" s="646">
        <v>1.915520945011407</v>
      </c>
      <c r="IQ198" s="646">
        <v>3600</v>
      </c>
      <c r="IR198" s="563" t="s">
        <v>68</v>
      </c>
      <c r="IS198" s="563">
        <v>3</v>
      </c>
      <c r="IT198" s="563">
        <v>0</v>
      </c>
      <c r="IU198" s="563">
        <v>0</v>
      </c>
      <c r="IV198" s="563">
        <v>0</v>
      </c>
      <c r="IW198" s="650">
        <v>29915.900220221782</v>
      </c>
      <c r="IX198" s="563">
        <v>0</v>
      </c>
      <c r="IY198" s="563">
        <v>0</v>
      </c>
      <c r="IZ198" s="563">
        <v>0</v>
      </c>
      <c r="JA198" s="650">
        <v>39219.310723569288</v>
      </c>
      <c r="JB198" s="564">
        <v>4000</v>
      </c>
      <c r="JC198" s="565">
        <v>162.73449945595127</v>
      </c>
      <c r="JD198" s="649">
        <v>3.5607600000000006</v>
      </c>
      <c r="JE198" s="646">
        <v>35.947908476629728</v>
      </c>
      <c r="JF198" s="646">
        <v>0</v>
      </c>
      <c r="JG198" s="646">
        <v>0</v>
      </c>
      <c r="JH198" s="646">
        <v>13.14486505047463</v>
      </c>
      <c r="JI198" s="646">
        <v>1.915520945011407</v>
      </c>
      <c r="JJ198" s="646">
        <v>3600</v>
      </c>
      <c r="JK198" s="563" t="s">
        <v>67</v>
      </c>
      <c r="JL198" s="563">
        <v>3</v>
      </c>
      <c r="JM198" s="563">
        <v>0</v>
      </c>
      <c r="JN198" s="563">
        <v>0</v>
      </c>
      <c r="JO198" s="563">
        <v>0</v>
      </c>
      <c r="JP198" s="650">
        <v>40768.499951067708</v>
      </c>
      <c r="JQ198" s="563">
        <v>0</v>
      </c>
      <c r="JR198" s="563">
        <v>0</v>
      </c>
      <c r="JS198" s="563">
        <v>0</v>
      </c>
      <c r="JT198" s="650">
        <v>53446.911359663907</v>
      </c>
      <c r="JU198" s="564">
        <v>4000</v>
      </c>
      <c r="JV198" s="565">
        <v>162.73449945595127</v>
      </c>
      <c r="JW198" s="649">
        <v>3.5607600000000006</v>
      </c>
      <c r="JX198" s="646">
        <v>35.947908476629728</v>
      </c>
      <c r="JY198" s="646">
        <v>0</v>
      </c>
      <c r="JZ198" s="646">
        <v>0</v>
      </c>
      <c r="KA198" s="646">
        <v>13.14486505047463</v>
      </c>
      <c r="KB198" s="646">
        <v>1.915520945011407</v>
      </c>
      <c r="KC198" s="646">
        <v>3600</v>
      </c>
      <c r="KD198" s="563" t="s">
        <v>67</v>
      </c>
      <c r="KE198" s="563">
        <v>3</v>
      </c>
      <c r="KF198" s="563">
        <v>0</v>
      </c>
      <c r="KG198" s="563">
        <v>0</v>
      </c>
      <c r="KH198" s="563">
        <v>0</v>
      </c>
      <c r="KI198" s="650">
        <v>40768.499951067708</v>
      </c>
      <c r="KJ198" s="563">
        <v>0</v>
      </c>
      <c r="KK198" s="563">
        <v>0</v>
      </c>
      <c r="KL198" s="563">
        <v>0</v>
      </c>
      <c r="KM198" s="650">
        <v>53446.911359663907</v>
      </c>
      <c r="KN198" s="564">
        <v>4000</v>
      </c>
      <c r="KO198" s="566">
        <v>162.73449945595127</v>
      </c>
    </row>
    <row r="199" spans="1:301" ht="15" customHeight="1">
      <c r="A199" s="663" t="s">
        <v>948</v>
      </c>
      <c r="B199" s="629" t="s">
        <v>382</v>
      </c>
      <c r="C199" s="629">
        <v>230</v>
      </c>
      <c r="D199" s="629">
        <v>200</v>
      </c>
      <c r="E199" s="629">
        <v>0</v>
      </c>
      <c r="F199" s="629">
        <v>214.60209229843403</v>
      </c>
      <c r="G199" s="629">
        <v>45.726365485241445</v>
      </c>
      <c r="H199" s="629">
        <v>29.679130201698506</v>
      </c>
      <c r="I199" s="629">
        <v>0</v>
      </c>
      <c r="J199" s="629">
        <v>46.87</v>
      </c>
      <c r="K199" s="629">
        <v>74.2</v>
      </c>
      <c r="L199" s="629">
        <v>16</v>
      </c>
      <c r="M199" s="629">
        <v>230.376705686397</v>
      </c>
      <c r="N199" s="629">
        <v>4</v>
      </c>
      <c r="O199" s="623">
        <v>0.98646009322719508</v>
      </c>
      <c r="P199" s="629">
        <v>4</v>
      </c>
      <c r="Q199" s="623">
        <v>0.18742741771316707</v>
      </c>
      <c r="R199" s="629">
        <v>7</v>
      </c>
      <c r="S199" s="629">
        <v>180</v>
      </c>
      <c r="T199" s="645">
        <v>1.398307182149549</v>
      </c>
      <c r="U199" s="645">
        <v>27</v>
      </c>
      <c r="V199" s="645">
        <v>60</v>
      </c>
      <c r="W199" s="793">
        <v>0.20225514598948835</v>
      </c>
      <c r="X199" s="646">
        <v>0</v>
      </c>
      <c r="Y199" s="646">
        <v>0</v>
      </c>
      <c r="Z199" s="646">
        <v>0</v>
      </c>
      <c r="AA199" s="646">
        <v>0</v>
      </c>
      <c r="AB199" s="647">
        <v>0.22082952328769082</v>
      </c>
      <c r="AC199" s="784">
        <v>4000</v>
      </c>
      <c r="AD199" s="631"/>
      <c r="AE199" s="631"/>
      <c r="AF199" s="631"/>
      <c r="AG199" s="631"/>
      <c r="AH199" s="629"/>
      <c r="AI199" s="648">
        <v>0.15196666435222098</v>
      </c>
      <c r="AJ199" s="649">
        <v>1.2881624378763332</v>
      </c>
      <c r="AK199" s="646">
        <v>4.0626122769557327</v>
      </c>
      <c r="AL199" s="646">
        <v>0</v>
      </c>
      <c r="AM199" s="646">
        <v>0</v>
      </c>
      <c r="AN199" s="646">
        <v>14.702272376431686</v>
      </c>
      <c r="AO199" s="646">
        <v>2.7250448993984731E-2</v>
      </c>
      <c r="AP199" s="801">
        <v>3600</v>
      </c>
      <c r="AQ199" s="563" t="s">
        <v>71</v>
      </c>
      <c r="AR199" s="563">
        <v>3</v>
      </c>
      <c r="AS199" s="563">
        <v>0</v>
      </c>
      <c r="AT199" s="563">
        <v>0</v>
      </c>
      <c r="AU199" s="563">
        <v>0</v>
      </c>
      <c r="AV199" s="650">
        <v>39278.403838512779</v>
      </c>
      <c r="AW199" s="563">
        <v>0</v>
      </c>
      <c r="AX199" s="563">
        <v>0</v>
      </c>
      <c r="AY199" s="563">
        <v>0</v>
      </c>
      <c r="AZ199" s="650">
        <v>54080.170374728325</v>
      </c>
      <c r="BA199" s="564">
        <v>4000</v>
      </c>
      <c r="BB199" s="565">
        <v>41.887902047863911</v>
      </c>
      <c r="BC199" s="649">
        <v>1.2881624378763332</v>
      </c>
      <c r="BD199" s="646">
        <v>4.0626122769557327</v>
      </c>
      <c r="BE199" s="646">
        <v>0</v>
      </c>
      <c r="BF199" s="646">
        <v>0</v>
      </c>
      <c r="BG199" s="646">
        <v>14.702272376431686</v>
      </c>
      <c r="BH199" s="646">
        <v>2.7250448993984731E-2</v>
      </c>
      <c r="BI199" s="646">
        <v>3600</v>
      </c>
      <c r="BJ199" s="563" t="s">
        <v>71</v>
      </c>
      <c r="BK199" s="563">
        <v>3</v>
      </c>
      <c r="BL199" s="563">
        <v>0</v>
      </c>
      <c r="BM199" s="563">
        <v>0</v>
      </c>
      <c r="BN199" s="563">
        <v>0</v>
      </c>
      <c r="BO199" s="650">
        <v>39278.403838512779</v>
      </c>
      <c r="BP199" s="563">
        <v>0</v>
      </c>
      <c r="BQ199" s="563">
        <v>0</v>
      </c>
      <c r="BR199" s="563">
        <v>0</v>
      </c>
      <c r="BS199" s="650">
        <v>54080.170374728325</v>
      </c>
      <c r="BT199" s="564">
        <v>4000</v>
      </c>
      <c r="BU199" s="565">
        <v>41.887902047863911</v>
      </c>
      <c r="BV199" s="649">
        <v>1.2881624378763332</v>
      </c>
      <c r="BW199" s="646">
        <v>4.0626122769557327</v>
      </c>
      <c r="BX199" s="646">
        <v>0</v>
      </c>
      <c r="BY199" s="646">
        <v>0</v>
      </c>
      <c r="BZ199" s="646">
        <v>14.702272376431686</v>
      </c>
      <c r="CA199" s="646">
        <v>2.7250448993984731E-2</v>
      </c>
      <c r="CB199" s="646">
        <v>3600</v>
      </c>
      <c r="CC199" s="563" t="s">
        <v>1584</v>
      </c>
      <c r="CD199" s="563">
        <v>3</v>
      </c>
      <c r="CE199" s="563">
        <v>0</v>
      </c>
      <c r="CF199" s="563">
        <v>0</v>
      </c>
      <c r="CG199" s="563">
        <v>0</v>
      </c>
      <c r="CH199" s="650">
        <v>38484.818926132983</v>
      </c>
      <c r="CI199" s="563">
        <v>0</v>
      </c>
      <c r="CJ199" s="563">
        <v>0</v>
      </c>
      <c r="CK199" s="563">
        <v>0</v>
      </c>
      <c r="CL199" s="650">
        <v>52987.529048345481</v>
      </c>
      <c r="CM199" s="564">
        <v>4000</v>
      </c>
      <c r="CN199" s="565">
        <v>41.887902047863911</v>
      </c>
      <c r="CO199" s="649">
        <v>1.2881624378763332</v>
      </c>
      <c r="CP199" s="646">
        <v>4.0626122769557327</v>
      </c>
      <c r="CQ199" s="646">
        <v>0</v>
      </c>
      <c r="CR199" s="646">
        <v>0</v>
      </c>
      <c r="CS199" s="646">
        <v>14.702272376431686</v>
      </c>
      <c r="CT199" s="646">
        <v>2.7250448993984731E-2</v>
      </c>
      <c r="CU199" s="646">
        <v>3600</v>
      </c>
      <c r="CV199" s="563" t="s">
        <v>1584</v>
      </c>
      <c r="CW199" s="563">
        <v>3</v>
      </c>
      <c r="CX199" s="563">
        <v>0</v>
      </c>
      <c r="CY199" s="563">
        <v>0</v>
      </c>
      <c r="CZ199" s="563">
        <v>0</v>
      </c>
      <c r="DA199" s="650">
        <v>38484.818926132983</v>
      </c>
      <c r="DB199" s="563">
        <v>0</v>
      </c>
      <c r="DC199" s="563">
        <v>0</v>
      </c>
      <c r="DD199" s="563">
        <v>0</v>
      </c>
      <c r="DE199" s="650">
        <v>52987.529048345481</v>
      </c>
      <c r="DF199" s="564">
        <v>4000</v>
      </c>
      <c r="DG199" s="565">
        <v>41.887902047863911</v>
      </c>
      <c r="DH199" s="649">
        <v>0.85877495858422215</v>
      </c>
      <c r="DI199" s="646">
        <v>3.6332247976636216</v>
      </c>
      <c r="DJ199" s="646">
        <v>0</v>
      </c>
      <c r="DK199" s="646">
        <v>0</v>
      </c>
      <c r="DL199" s="646">
        <v>14.686046632045953</v>
      </c>
      <c r="DM199" s="646">
        <v>2.2264186890705091E-2</v>
      </c>
      <c r="DN199" s="646">
        <v>3600</v>
      </c>
      <c r="DO199" s="563" t="s">
        <v>1585</v>
      </c>
      <c r="DP199" s="563">
        <v>2</v>
      </c>
      <c r="DQ199" s="563">
        <v>0</v>
      </c>
      <c r="DR199" s="563">
        <v>0</v>
      </c>
      <c r="DS199" s="563">
        <v>0</v>
      </c>
      <c r="DT199" s="650">
        <v>24595.350110893738</v>
      </c>
      <c r="DU199" s="563">
        <v>0</v>
      </c>
      <c r="DV199" s="563">
        <v>0</v>
      </c>
      <c r="DW199" s="563">
        <v>0</v>
      </c>
      <c r="DX199" s="650">
        <v>33863.919977293808</v>
      </c>
      <c r="DY199" s="564">
        <v>4000</v>
      </c>
      <c r="DZ199" s="565">
        <v>41.887902047863911</v>
      </c>
      <c r="EA199" s="649">
        <v>0.85877495858422215</v>
      </c>
      <c r="EB199" s="646">
        <v>3.6332247976636216</v>
      </c>
      <c r="EC199" s="646">
        <v>0</v>
      </c>
      <c r="ED199" s="646">
        <v>0</v>
      </c>
      <c r="EE199" s="646">
        <v>14.686046632045953</v>
      </c>
      <c r="EF199" s="646">
        <v>2.2264186890705091E-2</v>
      </c>
      <c r="EG199" s="646">
        <v>3600</v>
      </c>
      <c r="EH199" s="563" t="s">
        <v>1585</v>
      </c>
      <c r="EI199" s="563">
        <v>2</v>
      </c>
      <c r="EJ199" s="563">
        <v>0</v>
      </c>
      <c r="EK199" s="563">
        <v>0</v>
      </c>
      <c r="EL199" s="563">
        <v>0</v>
      </c>
      <c r="EM199" s="650">
        <v>24595.350110893738</v>
      </c>
      <c r="EN199" s="563">
        <v>0</v>
      </c>
      <c r="EO199" s="563">
        <v>0</v>
      </c>
      <c r="EP199" s="563">
        <v>0</v>
      </c>
      <c r="EQ199" s="650">
        <v>33863.919977293808</v>
      </c>
      <c r="ER199" s="564">
        <v>4000</v>
      </c>
      <c r="ES199" s="565">
        <v>41.887902047863911</v>
      </c>
      <c r="ET199" s="649">
        <v>0.85877495858422215</v>
      </c>
      <c r="EU199" s="646">
        <v>3.6332247976636216</v>
      </c>
      <c r="EV199" s="646">
        <v>0</v>
      </c>
      <c r="EW199" s="646">
        <v>0</v>
      </c>
      <c r="EX199" s="646">
        <v>14.686046632045953</v>
      </c>
      <c r="EY199" s="646">
        <v>2.2264186890705091E-2</v>
      </c>
      <c r="EZ199" s="646">
        <v>3600</v>
      </c>
      <c r="FA199" s="563" t="s">
        <v>1586</v>
      </c>
      <c r="FB199" s="563">
        <v>2</v>
      </c>
      <c r="FC199" s="563">
        <v>0</v>
      </c>
      <c r="FD199" s="563">
        <v>0</v>
      </c>
      <c r="FE199" s="563">
        <v>0</v>
      </c>
      <c r="FF199" s="650">
        <v>25815.686684332461</v>
      </c>
      <c r="FG199" s="563">
        <v>0</v>
      </c>
      <c r="FH199" s="563">
        <v>0</v>
      </c>
      <c r="FI199" s="563">
        <v>0</v>
      </c>
      <c r="FJ199" s="650">
        <v>35544.131069307921</v>
      </c>
      <c r="FK199" s="564">
        <v>4000</v>
      </c>
      <c r="FL199" s="565">
        <v>41.887902047863911</v>
      </c>
      <c r="FM199" s="649">
        <v>0.85877495858422215</v>
      </c>
      <c r="FN199" s="646">
        <v>3.6332247976636216</v>
      </c>
      <c r="FO199" s="646">
        <v>0</v>
      </c>
      <c r="FP199" s="646">
        <v>0</v>
      </c>
      <c r="FQ199" s="646">
        <v>14.686046632045953</v>
      </c>
      <c r="FR199" s="646">
        <v>2.2264186890705091E-2</v>
      </c>
      <c r="FS199" s="646">
        <v>3600</v>
      </c>
      <c r="FT199" s="563" t="s">
        <v>1586</v>
      </c>
      <c r="FU199" s="563">
        <v>2</v>
      </c>
      <c r="FV199" s="563">
        <v>0</v>
      </c>
      <c r="FW199" s="563">
        <v>0</v>
      </c>
      <c r="FX199" s="563">
        <v>0</v>
      </c>
      <c r="FY199" s="650">
        <v>25815.686684332461</v>
      </c>
      <c r="FZ199" s="563">
        <v>0</v>
      </c>
      <c r="GA199" s="563">
        <v>0</v>
      </c>
      <c r="GB199" s="563">
        <v>0</v>
      </c>
      <c r="GC199" s="650">
        <v>35544.131069307921</v>
      </c>
      <c r="GD199" s="564">
        <v>4000</v>
      </c>
      <c r="GE199" s="565">
        <v>41.887902047863911</v>
      </c>
      <c r="GF199" s="649">
        <v>0.85877495858422215</v>
      </c>
      <c r="GG199" s="646">
        <v>3.6332247976636216</v>
      </c>
      <c r="GH199" s="646">
        <v>0</v>
      </c>
      <c r="GI199" s="646">
        <v>0</v>
      </c>
      <c r="GJ199" s="646">
        <v>14.686046632045953</v>
      </c>
      <c r="GK199" s="646">
        <v>2.2264186890705091E-2</v>
      </c>
      <c r="GL199" s="646">
        <v>3600</v>
      </c>
      <c r="GM199" s="563" t="s">
        <v>1587</v>
      </c>
      <c r="GN199" s="563">
        <v>2</v>
      </c>
      <c r="GO199" s="563">
        <v>0</v>
      </c>
      <c r="GP199" s="563">
        <v>0</v>
      </c>
      <c r="GQ199" s="563">
        <v>0</v>
      </c>
      <c r="GR199" s="650">
        <v>30377.236190817395</v>
      </c>
      <c r="GS199" s="563">
        <v>0</v>
      </c>
      <c r="GT199" s="563">
        <v>0</v>
      </c>
      <c r="GU199" s="563">
        <v>0</v>
      </c>
      <c r="GV199" s="650">
        <v>41824.665672946314</v>
      </c>
      <c r="GW199" s="564">
        <v>4000</v>
      </c>
      <c r="GX199" s="565">
        <v>41.887902047863911</v>
      </c>
      <c r="GY199" s="649">
        <v>0.85877495858422215</v>
      </c>
      <c r="GZ199" s="646">
        <v>3.6332247976636216</v>
      </c>
      <c r="HA199" s="646">
        <v>0</v>
      </c>
      <c r="HB199" s="646">
        <v>0</v>
      </c>
      <c r="HC199" s="646">
        <v>14.686046632045953</v>
      </c>
      <c r="HD199" s="646">
        <v>2.2264186890705091E-2</v>
      </c>
      <c r="HE199" s="646">
        <v>3600</v>
      </c>
      <c r="HF199" s="563" t="s">
        <v>1587</v>
      </c>
      <c r="HG199" s="563">
        <v>2</v>
      </c>
      <c r="HH199" s="563">
        <v>0</v>
      </c>
      <c r="HI199" s="563">
        <v>0</v>
      </c>
      <c r="HJ199" s="563">
        <v>0</v>
      </c>
      <c r="HK199" s="650">
        <v>30377.236190817395</v>
      </c>
      <c r="HL199" s="563">
        <v>0</v>
      </c>
      <c r="HM199" s="563">
        <v>0</v>
      </c>
      <c r="HN199" s="563">
        <v>0</v>
      </c>
      <c r="HO199" s="650">
        <v>41824.665672946314</v>
      </c>
      <c r="HP199" s="564">
        <v>4000</v>
      </c>
      <c r="HQ199" s="565">
        <v>41.887902047863911</v>
      </c>
      <c r="HR199" s="649">
        <v>0.85877495858422215</v>
      </c>
      <c r="HS199" s="646">
        <v>3.6332247976636216</v>
      </c>
      <c r="HT199" s="646">
        <v>0</v>
      </c>
      <c r="HU199" s="646">
        <v>0</v>
      </c>
      <c r="HV199" s="646">
        <v>14.686046632045953</v>
      </c>
      <c r="HW199" s="646">
        <v>2.2264186890705091E-2</v>
      </c>
      <c r="HX199" s="646">
        <v>3600</v>
      </c>
      <c r="HY199" s="563" t="s">
        <v>68</v>
      </c>
      <c r="HZ199" s="563">
        <v>2</v>
      </c>
      <c r="IA199" s="563">
        <v>0</v>
      </c>
      <c r="IB199" s="563">
        <v>0</v>
      </c>
      <c r="IC199" s="563">
        <v>0</v>
      </c>
      <c r="ID199" s="650">
        <v>26790.204159457946</v>
      </c>
      <c r="IE199" s="563">
        <v>0</v>
      </c>
      <c r="IF199" s="563">
        <v>0</v>
      </c>
      <c r="IG199" s="563">
        <v>0</v>
      </c>
      <c r="IH199" s="650">
        <v>36885.888013011958</v>
      </c>
      <c r="II199" s="564">
        <v>4000</v>
      </c>
      <c r="IJ199" s="565">
        <v>41.887902047863911</v>
      </c>
      <c r="IK199" s="649">
        <v>0.85877495858422215</v>
      </c>
      <c r="IL199" s="646">
        <v>3.6332247976636216</v>
      </c>
      <c r="IM199" s="646">
        <v>0</v>
      </c>
      <c r="IN199" s="646">
        <v>0</v>
      </c>
      <c r="IO199" s="646">
        <v>14.686046632045953</v>
      </c>
      <c r="IP199" s="646">
        <v>2.2264186890705091E-2</v>
      </c>
      <c r="IQ199" s="646">
        <v>3600</v>
      </c>
      <c r="IR199" s="563" t="s">
        <v>68</v>
      </c>
      <c r="IS199" s="563">
        <v>2</v>
      </c>
      <c r="IT199" s="563">
        <v>0</v>
      </c>
      <c r="IU199" s="563">
        <v>0</v>
      </c>
      <c r="IV199" s="563">
        <v>0</v>
      </c>
      <c r="IW199" s="650">
        <v>26790.204159457946</v>
      </c>
      <c r="IX199" s="563">
        <v>0</v>
      </c>
      <c r="IY199" s="563">
        <v>0</v>
      </c>
      <c r="IZ199" s="563">
        <v>0</v>
      </c>
      <c r="JA199" s="650">
        <v>36885.888013011958</v>
      </c>
      <c r="JB199" s="564">
        <v>4000</v>
      </c>
      <c r="JC199" s="565">
        <v>41.887902047863911</v>
      </c>
      <c r="JD199" s="649">
        <v>0.85877495858422215</v>
      </c>
      <c r="JE199" s="646">
        <v>3.6332247976636216</v>
      </c>
      <c r="JF199" s="646">
        <v>0</v>
      </c>
      <c r="JG199" s="646">
        <v>0</v>
      </c>
      <c r="JH199" s="646">
        <v>14.686046632045953</v>
      </c>
      <c r="JI199" s="646">
        <v>2.2264186890705091E-2</v>
      </c>
      <c r="JJ199" s="646">
        <v>3600</v>
      </c>
      <c r="JK199" s="563" t="s">
        <v>67</v>
      </c>
      <c r="JL199" s="563">
        <v>2</v>
      </c>
      <c r="JM199" s="563">
        <v>0</v>
      </c>
      <c r="JN199" s="563">
        <v>0</v>
      </c>
      <c r="JO199" s="563">
        <v>0</v>
      </c>
      <c r="JP199" s="650">
        <v>36508.8942309575</v>
      </c>
      <c r="JQ199" s="563">
        <v>0</v>
      </c>
      <c r="JR199" s="563">
        <v>0</v>
      </c>
      <c r="JS199" s="563">
        <v>0</v>
      </c>
      <c r="JT199" s="650">
        <v>50266.992220982153</v>
      </c>
      <c r="JU199" s="564">
        <v>4000</v>
      </c>
      <c r="JV199" s="565">
        <v>41.887902047863911</v>
      </c>
      <c r="JW199" s="649">
        <v>0.85877495858422215</v>
      </c>
      <c r="JX199" s="646">
        <v>3.6332247976636216</v>
      </c>
      <c r="JY199" s="646">
        <v>0</v>
      </c>
      <c r="JZ199" s="646">
        <v>0</v>
      </c>
      <c r="KA199" s="646">
        <v>14.686046632045953</v>
      </c>
      <c r="KB199" s="646">
        <v>2.2264186890705091E-2</v>
      </c>
      <c r="KC199" s="646">
        <v>3600</v>
      </c>
      <c r="KD199" s="563" t="s">
        <v>67</v>
      </c>
      <c r="KE199" s="563">
        <v>2</v>
      </c>
      <c r="KF199" s="563">
        <v>0</v>
      </c>
      <c r="KG199" s="563">
        <v>0</v>
      </c>
      <c r="KH199" s="563">
        <v>0</v>
      </c>
      <c r="KI199" s="650">
        <v>36508.8942309575</v>
      </c>
      <c r="KJ199" s="563">
        <v>0</v>
      </c>
      <c r="KK199" s="563">
        <v>0</v>
      </c>
      <c r="KL199" s="563">
        <v>0</v>
      </c>
      <c r="KM199" s="650">
        <v>50266.992220982153</v>
      </c>
      <c r="KN199" s="564">
        <v>4000</v>
      </c>
      <c r="KO199" s="566">
        <v>41.887902047863911</v>
      </c>
    </row>
    <row r="200" spans="1:301" ht="15" customHeight="1">
      <c r="A200" s="663" t="s">
        <v>949</v>
      </c>
      <c r="B200" s="629" t="s">
        <v>382</v>
      </c>
      <c r="C200" s="629">
        <v>230</v>
      </c>
      <c r="D200" s="629">
        <v>200</v>
      </c>
      <c r="E200" s="629">
        <v>0</v>
      </c>
      <c r="F200" s="629">
        <v>212.51592415822185</v>
      </c>
      <c r="G200" s="629">
        <v>50.726365485241438</v>
      </c>
      <c r="H200" s="629">
        <v>34.284679362746786</v>
      </c>
      <c r="I200" s="629">
        <v>0</v>
      </c>
      <c r="J200" s="629">
        <v>128.19999999999999</v>
      </c>
      <c r="K200" s="629">
        <v>59.48</v>
      </c>
      <c r="L200" s="629">
        <v>16</v>
      </c>
      <c r="M200" s="629">
        <v>239.50946875120258</v>
      </c>
      <c r="N200" s="629">
        <v>4</v>
      </c>
      <c r="O200" s="623">
        <v>0.98646009322719508</v>
      </c>
      <c r="P200" s="629">
        <v>4</v>
      </c>
      <c r="Q200" s="623">
        <v>0.18742741771316707</v>
      </c>
      <c r="R200" s="629">
        <v>7</v>
      </c>
      <c r="S200" s="629">
        <v>180</v>
      </c>
      <c r="T200" s="645">
        <v>1.398307182149549</v>
      </c>
      <c r="U200" s="645">
        <v>27</v>
      </c>
      <c r="V200" s="645">
        <v>60</v>
      </c>
      <c r="W200" s="793">
        <v>0.20225514598948835</v>
      </c>
      <c r="X200" s="646">
        <v>0</v>
      </c>
      <c r="Y200" s="646">
        <v>0</v>
      </c>
      <c r="Z200" s="646">
        <v>0</v>
      </c>
      <c r="AA200" s="646">
        <v>0</v>
      </c>
      <c r="AB200" s="647">
        <v>0.23231816577124081</v>
      </c>
      <c r="AC200" s="784">
        <v>4000</v>
      </c>
      <c r="AD200" s="631"/>
      <c r="AE200" s="631"/>
      <c r="AF200" s="631"/>
      <c r="AG200" s="631"/>
      <c r="AH200" s="629"/>
      <c r="AI200" s="648">
        <v>0.17395266590377051</v>
      </c>
      <c r="AJ200" s="649">
        <v>1.0313650707638864</v>
      </c>
      <c r="AK200" s="646">
        <v>3.8058149098432859</v>
      </c>
      <c r="AL200" s="646">
        <v>0</v>
      </c>
      <c r="AM200" s="646">
        <v>0</v>
      </c>
      <c r="AN200" s="646">
        <v>16.510803657080587</v>
      </c>
      <c r="AO200" s="646">
        <v>2.4268389568391439E-2</v>
      </c>
      <c r="AP200" s="801">
        <v>3600</v>
      </c>
      <c r="AQ200" s="563" t="s">
        <v>67</v>
      </c>
      <c r="AR200" s="563">
        <v>2</v>
      </c>
      <c r="AS200" s="563">
        <v>0</v>
      </c>
      <c r="AT200" s="563">
        <v>0</v>
      </c>
      <c r="AU200" s="563">
        <v>0</v>
      </c>
      <c r="AV200" s="650">
        <v>13073.463515265643</v>
      </c>
      <c r="AW200" s="563">
        <v>0</v>
      </c>
      <c r="AX200" s="563">
        <v>0</v>
      </c>
      <c r="AY200" s="563">
        <v>0</v>
      </c>
      <c r="AZ200" s="650">
        <v>12522.957577636493</v>
      </c>
      <c r="BA200" s="564">
        <v>4000</v>
      </c>
      <c r="BB200" s="565">
        <v>41.887902047863911</v>
      </c>
      <c r="BC200" s="649">
        <v>1.0313650707638864</v>
      </c>
      <c r="BD200" s="646">
        <v>3.8058149098432859</v>
      </c>
      <c r="BE200" s="646">
        <v>0</v>
      </c>
      <c r="BF200" s="646">
        <v>0</v>
      </c>
      <c r="BG200" s="646">
        <v>16.510803657080587</v>
      </c>
      <c r="BH200" s="646">
        <v>2.4268389568391439E-2</v>
      </c>
      <c r="BI200" s="646">
        <v>3600</v>
      </c>
      <c r="BJ200" s="563" t="s">
        <v>67</v>
      </c>
      <c r="BK200" s="563">
        <v>2</v>
      </c>
      <c r="BL200" s="563">
        <v>0</v>
      </c>
      <c r="BM200" s="563">
        <v>0</v>
      </c>
      <c r="BN200" s="563">
        <v>0</v>
      </c>
      <c r="BO200" s="650">
        <v>13073.463515265643</v>
      </c>
      <c r="BP200" s="563">
        <v>0</v>
      </c>
      <c r="BQ200" s="563">
        <v>0</v>
      </c>
      <c r="BR200" s="563">
        <v>0</v>
      </c>
      <c r="BS200" s="650">
        <v>12522.957577636493</v>
      </c>
      <c r="BT200" s="564">
        <v>4000</v>
      </c>
      <c r="BU200" s="565">
        <v>41.887902047863911</v>
      </c>
      <c r="BV200" s="649">
        <v>1.5470476061458296</v>
      </c>
      <c r="BW200" s="646">
        <v>4.3603383464674375</v>
      </c>
      <c r="BX200" s="646">
        <v>0</v>
      </c>
      <c r="BY200" s="646">
        <v>3.8840901242208389E-2</v>
      </c>
      <c r="BZ200" s="646">
        <v>16.438418816501063</v>
      </c>
      <c r="CA200" s="646">
        <v>3.062504594544288E-2</v>
      </c>
      <c r="CB200" s="646">
        <v>3600</v>
      </c>
      <c r="CC200" s="563" t="s">
        <v>1584</v>
      </c>
      <c r="CD200" s="563">
        <v>3</v>
      </c>
      <c r="CE200" s="563">
        <v>0</v>
      </c>
      <c r="CF200" s="563">
        <v>0</v>
      </c>
      <c r="CG200" s="563">
        <v>0</v>
      </c>
      <c r="CH200" s="650">
        <v>12723.68149370472</v>
      </c>
      <c r="CI200" s="563">
        <v>1</v>
      </c>
      <c r="CJ200" s="563">
        <v>3</v>
      </c>
      <c r="CK200" s="563">
        <v>5.3206426730718208</v>
      </c>
      <c r="CL200" s="650">
        <v>10943.945720432985</v>
      </c>
      <c r="CM200" s="564">
        <v>4000</v>
      </c>
      <c r="CN200" s="565">
        <v>41.887902047863911</v>
      </c>
      <c r="CO200" s="649">
        <v>1.5470476061458296</v>
      </c>
      <c r="CP200" s="646">
        <v>4.3603383464674375</v>
      </c>
      <c r="CQ200" s="646">
        <v>0</v>
      </c>
      <c r="CR200" s="646">
        <v>3.8840901242208389E-2</v>
      </c>
      <c r="CS200" s="646">
        <v>16.438418816501063</v>
      </c>
      <c r="CT200" s="646">
        <v>3.062504594544288E-2</v>
      </c>
      <c r="CU200" s="646">
        <v>3600</v>
      </c>
      <c r="CV200" s="563" t="s">
        <v>1584</v>
      </c>
      <c r="CW200" s="563">
        <v>3</v>
      </c>
      <c r="CX200" s="563">
        <v>0</v>
      </c>
      <c r="CY200" s="563">
        <v>0</v>
      </c>
      <c r="CZ200" s="563">
        <v>0</v>
      </c>
      <c r="DA200" s="650">
        <v>12723.68149370472</v>
      </c>
      <c r="DB200" s="563">
        <v>1</v>
      </c>
      <c r="DC200" s="563">
        <v>3</v>
      </c>
      <c r="DD200" s="563">
        <v>5.3206426730718208</v>
      </c>
      <c r="DE200" s="650">
        <v>10943.945720432985</v>
      </c>
      <c r="DF200" s="564">
        <v>4000</v>
      </c>
      <c r="DG200" s="565">
        <v>41.887902047863911</v>
      </c>
      <c r="DH200" s="649">
        <v>1.0313650707638864</v>
      </c>
      <c r="DI200" s="646">
        <v>3.8058149098432859</v>
      </c>
      <c r="DJ200" s="646">
        <v>0</v>
      </c>
      <c r="DK200" s="646">
        <v>0</v>
      </c>
      <c r="DL200" s="646">
        <v>16.510803657080587</v>
      </c>
      <c r="DM200" s="646">
        <v>2.4268389568391439E-2</v>
      </c>
      <c r="DN200" s="646">
        <v>3600</v>
      </c>
      <c r="DO200" s="563" t="s">
        <v>1585</v>
      </c>
      <c r="DP200" s="563">
        <v>2</v>
      </c>
      <c r="DQ200" s="563">
        <v>0</v>
      </c>
      <c r="DR200" s="563">
        <v>0</v>
      </c>
      <c r="DS200" s="563">
        <v>0</v>
      </c>
      <c r="DT200" s="650">
        <v>8807.3445962463793</v>
      </c>
      <c r="DU200" s="563">
        <v>0</v>
      </c>
      <c r="DV200" s="563">
        <v>0</v>
      </c>
      <c r="DW200" s="563">
        <v>0</v>
      </c>
      <c r="DX200" s="650">
        <v>8436.4791794944831</v>
      </c>
      <c r="DY200" s="564">
        <v>4000</v>
      </c>
      <c r="DZ200" s="565">
        <v>41.887902047863911</v>
      </c>
      <c r="EA200" s="649">
        <v>1.0313650707638864</v>
      </c>
      <c r="EB200" s="646">
        <v>3.8058149098432859</v>
      </c>
      <c r="EC200" s="646">
        <v>0</v>
      </c>
      <c r="ED200" s="646">
        <v>0</v>
      </c>
      <c r="EE200" s="646">
        <v>16.510803657080587</v>
      </c>
      <c r="EF200" s="646">
        <v>2.4268389568391439E-2</v>
      </c>
      <c r="EG200" s="646">
        <v>3600</v>
      </c>
      <c r="EH200" s="563" t="s">
        <v>1585</v>
      </c>
      <c r="EI200" s="563">
        <v>2</v>
      </c>
      <c r="EJ200" s="563">
        <v>0</v>
      </c>
      <c r="EK200" s="563">
        <v>0</v>
      </c>
      <c r="EL200" s="563">
        <v>0</v>
      </c>
      <c r="EM200" s="650">
        <v>8807.3445962463793</v>
      </c>
      <c r="EN200" s="563">
        <v>0</v>
      </c>
      <c r="EO200" s="563">
        <v>0</v>
      </c>
      <c r="EP200" s="563">
        <v>0</v>
      </c>
      <c r="EQ200" s="650">
        <v>8436.4791794944831</v>
      </c>
      <c r="ER200" s="564">
        <v>4000</v>
      </c>
      <c r="ES200" s="565">
        <v>41.887902047863911</v>
      </c>
      <c r="ET200" s="649">
        <v>1.0313650707638864</v>
      </c>
      <c r="EU200" s="646">
        <v>3.8058149098432859</v>
      </c>
      <c r="EV200" s="646">
        <v>0</v>
      </c>
      <c r="EW200" s="646">
        <v>0</v>
      </c>
      <c r="EX200" s="646">
        <v>16.510803657080587</v>
      </c>
      <c r="EY200" s="646">
        <v>2.4268389568391439E-2</v>
      </c>
      <c r="EZ200" s="646">
        <v>3600</v>
      </c>
      <c r="FA200" s="563" t="s">
        <v>1586</v>
      </c>
      <c r="FB200" s="563">
        <v>2</v>
      </c>
      <c r="FC200" s="563">
        <v>0</v>
      </c>
      <c r="FD200" s="563">
        <v>0</v>
      </c>
      <c r="FE200" s="563">
        <v>0</v>
      </c>
      <c r="FF200" s="650">
        <v>9244.3347052392564</v>
      </c>
      <c r="FG200" s="563">
        <v>0</v>
      </c>
      <c r="FH200" s="563">
        <v>0</v>
      </c>
      <c r="FI200" s="563">
        <v>0</v>
      </c>
      <c r="FJ200" s="650">
        <v>8855.0682236582252</v>
      </c>
      <c r="FK200" s="564">
        <v>4000</v>
      </c>
      <c r="FL200" s="565">
        <v>41.887902047863911</v>
      </c>
      <c r="FM200" s="649">
        <v>1.0313650707638864</v>
      </c>
      <c r="FN200" s="646">
        <v>3.8058149098432859</v>
      </c>
      <c r="FO200" s="646">
        <v>0</v>
      </c>
      <c r="FP200" s="646">
        <v>0</v>
      </c>
      <c r="FQ200" s="646">
        <v>16.510803657080587</v>
      </c>
      <c r="FR200" s="646">
        <v>2.4268389568391439E-2</v>
      </c>
      <c r="FS200" s="646">
        <v>3600</v>
      </c>
      <c r="FT200" s="563" t="s">
        <v>1586</v>
      </c>
      <c r="FU200" s="563">
        <v>2</v>
      </c>
      <c r="FV200" s="563">
        <v>0</v>
      </c>
      <c r="FW200" s="563">
        <v>0</v>
      </c>
      <c r="FX200" s="563">
        <v>0</v>
      </c>
      <c r="FY200" s="650">
        <v>9244.3347052392564</v>
      </c>
      <c r="FZ200" s="563">
        <v>0</v>
      </c>
      <c r="GA200" s="563">
        <v>0</v>
      </c>
      <c r="GB200" s="563">
        <v>0</v>
      </c>
      <c r="GC200" s="650">
        <v>8855.0682236582252</v>
      </c>
      <c r="GD200" s="564">
        <v>4000</v>
      </c>
      <c r="GE200" s="565">
        <v>41.887902047863911</v>
      </c>
      <c r="GF200" s="649">
        <v>1.0313650707638864</v>
      </c>
      <c r="GG200" s="646">
        <v>3.8058149098432859</v>
      </c>
      <c r="GH200" s="646">
        <v>0</v>
      </c>
      <c r="GI200" s="646">
        <v>0</v>
      </c>
      <c r="GJ200" s="646">
        <v>16.510803657080587</v>
      </c>
      <c r="GK200" s="646">
        <v>2.4268389568391439E-2</v>
      </c>
      <c r="GL200" s="646">
        <v>3600</v>
      </c>
      <c r="GM200" s="563" t="s">
        <v>1587</v>
      </c>
      <c r="GN200" s="563">
        <v>2</v>
      </c>
      <c r="GO200" s="563">
        <v>0</v>
      </c>
      <c r="GP200" s="563">
        <v>0</v>
      </c>
      <c r="GQ200" s="563">
        <v>0</v>
      </c>
      <c r="GR200" s="650">
        <v>10877.779165891841</v>
      </c>
      <c r="GS200" s="563">
        <v>0</v>
      </c>
      <c r="GT200" s="563">
        <v>0</v>
      </c>
      <c r="GU200" s="563">
        <v>0</v>
      </c>
      <c r="GV200" s="650">
        <v>10419.730538452774</v>
      </c>
      <c r="GW200" s="564">
        <v>4000</v>
      </c>
      <c r="GX200" s="565">
        <v>41.887902047863911</v>
      </c>
      <c r="GY200" s="649">
        <v>1.0313650707638864</v>
      </c>
      <c r="GZ200" s="646">
        <v>3.8058149098432859</v>
      </c>
      <c r="HA200" s="646">
        <v>0</v>
      </c>
      <c r="HB200" s="646">
        <v>0</v>
      </c>
      <c r="HC200" s="646">
        <v>16.510803657080587</v>
      </c>
      <c r="HD200" s="646">
        <v>2.4268389568391439E-2</v>
      </c>
      <c r="HE200" s="646">
        <v>3600</v>
      </c>
      <c r="HF200" s="563" t="s">
        <v>1587</v>
      </c>
      <c r="HG200" s="563">
        <v>2</v>
      </c>
      <c r="HH200" s="563">
        <v>0</v>
      </c>
      <c r="HI200" s="563">
        <v>0</v>
      </c>
      <c r="HJ200" s="563">
        <v>0</v>
      </c>
      <c r="HK200" s="650">
        <v>10877.779165891841</v>
      </c>
      <c r="HL200" s="563">
        <v>0</v>
      </c>
      <c r="HM200" s="563">
        <v>0</v>
      </c>
      <c r="HN200" s="563">
        <v>0</v>
      </c>
      <c r="HO200" s="650">
        <v>10419.730538452774</v>
      </c>
      <c r="HP200" s="564">
        <v>4000</v>
      </c>
      <c r="HQ200" s="565">
        <v>41.887902047863911</v>
      </c>
      <c r="HR200" s="649">
        <v>1.0313650707638864</v>
      </c>
      <c r="HS200" s="646">
        <v>3.8058149098432859</v>
      </c>
      <c r="HT200" s="646">
        <v>0</v>
      </c>
      <c r="HU200" s="646">
        <v>0</v>
      </c>
      <c r="HV200" s="646">
        <v>16.510803657080587</v>
      </c>
      <c r="HW200" s="646">
        <v>2.4268389568391439E-2</v>
      </c>
      <c r="HX200" s="646">
        <v>3600</v>
      </c>
      <c r="HY200" s="563" t="s">
        <v>68</v>
      </c>
      <c r="HZ200" s="563">
        <v>2</v>
      </c>
      <c r="IA200" s="563">
        <v>0</v>
      </c>
      <c r="IB200" s="563">
        <v>0</v>
      </c>
      <c r="IC200" s="563">
        <v>0</v>
      </c>
      <c r="ID200" s="650">
        <v>9593.2994965431426</v>
      </c>
      <c r="IE200" s="563">
        <v>0</v>
      </c>
      <c r="IF200" s="563">
        <v>0</v>
      </c>
      <c r="IG200" s="563">
        <v>0</v>
      </c>
      <c r="IH200" s="650">
        <v>9189.338577683724</v>
      </c>
      <c r="II200" s="564">
        <v>4000</v>
      </c>
      <c r="IJ200" s="565">
        <v>41.887902047863911</v>
      </c>
      <c r="IK200" s="649">
        <v>1.0313650707638864</v>
      </c>
      <c r="IL200" s="646">
        <v>3.8058149098432859</v>
      </c>
      <c r="IM200" s="646">
        <v>0</v>
      </c>
      <c r="IN200" s="646">
        <v>0</v>
      </c>
      <c r="IO200" s="646">
        <v>16.510803657080587</v>
      </c>
      <c r="IP200" s="646">
        <v>2.4268389568391439E-2</v>
      </c>
      <c r="IQ200" s="646">
        <v>3600</v>
      </c>
      <c r="IR200" s="563" t="s">
        <v>68</v>
      </c>
      <c r="IS200" s="563">
        <v>2</v>
      </c>
      <c r="IT200" s="563">
        <v>0</v>
      </c>
      <c r="IU200" s="563">
        <v>0</v>
      </c>
      <c r="IV200" s="563">
        <v>0</v>
      </c>
      <c r="IW200" s="650">
        <v>9593.2994965431426</v>
      </c>
      <c r="IX200" s="563">
        <v>0</v>
      </c>
      <c r="IY200" s="563">
        <v>0</v>
      </c>
      <c r="IZ200" s="563">
        <v>0</v>
      </c>
      <c r="JA200" s="650">
        <v>9189.338577683724</v>
      </c>
      <c r="JB200" s="564">
        <v>4000</v>
      </c>
      <c r="JC200" s="565">
        <v>41.887902047863911</v>
      </c>
      <c r="JD200" s="649">
        <v>1.0313650707638864</v>
      </c>
      <c r="JE200" s="646">
        <v>3.8058149098432859</v>
      </c>
      <c r="JF200" s="646">
        <v>0</v>
      </c>
      <c r="JG200" s="646">
        <v>0</v>
      </c>
      <c r="JH200" s="646">
        <v>16.510803657080587</v>
      </c>
      <c r="JI200" s="646">
        <v>2.4268389568391439E-2</v>
      </c>
      <c r="JJ200" s="646">
        <v>3600</v>
      </c>
      <c r="JK200" s="563" t="s">
        <v>67</v>
      </c>
      <c r="JL200" s="563">
        <v>2</v>
      </c>
      <c r="JM200" s="563">
        <v>0</v>
      </c>
      <c r="JN200" s="563">
        <v>0</v>
      </c>
      <c r="JO200" s="563">
        <v>0</v>
      </c>
      <c r="JP200" s="650">
        <v>13073.463515265643</v>
      </c>
      <c r="JQ200" s="563">
        <v>0</v>
      </c>
      <c r="JR200" s="563">
        <v>0</v>
      </c>
      <c r="JS200" s="563">
        <v>0</v>
      </c>
      <c r="JT200" s="650">
        <v>12522.957577636493</v>
      </c>
      <c r="JU200" s="564">
        <v>4000</v>
      </c>
      <c r="JV200" s="565">
        <v>41.887902047863911</v>
      </c>
      <c r="JW200" s="649">
        <v>1.0313650707638864</v>
      </c>
      <c r="JX200" s="646">
        <v>3.8058149098432859</v>
      </c>
      <c r="JY200" s="646">
        <v>0</v>
      </c>
      <c r="JZ200" s="646">
        <v>0</v>
      </c>
      <c r="KA200" s="646">
        <v>16.510803657080587</v>
      </c>
      <c r="KB200" s="646">
        <v>2.4268389568391439E-2</v>
      </c>
      <c r="KC200" s="646">
        <v>3600</v>
      </c>
      <c r="KD200" s="563" t="s">
        <v>67</v>
      </c>
      <c r="KE200" s="563">
        <v>2</v>
      </c>
      <c r="KF200" s="563">
        <v>0</v>
      </c>
      <c r="KG200" s="563">
        <v>0</v>
      </c>
      <c r="KH200" s="563">
        <v>0</v>
      </c>
      <c r="KI200" s="650">
        <v>13073.463515265643</v>
      </c>
      <c r="KJ200" s="563">
        <v>0</v>
      </c>
      <c r="KK200" s="563">
        <v>0</v>
      </c>
      <c r="KL200" s="563">
        <v>0</v>
      </c>
      <c r="KM200" s="650">
        <v>12522.957577636493</v>
      </c>
      <c r="KN200" s="564">
        <v>4000</v>
      </c>
      <c r="KO200" s="566">
        <v>41.887902047863911</v>
      </c>
    </row>
    <row r="201" spans="1:301" ht="15" customHeight="1">
      <c r="A201" s="663" t="s">
        <v>950</v>
      </c>
      <c r="B201" s="629" t="s">
        <v>382</v>
      </c>
      <c r="C201" s="629">
        <v>230</v>
      </c>
      <c r="D201" s="629">
        <v>265</v>
      </c>
      <c r="E201" s="629">
        <v>0</v>
      </c>
      <c r="F201" s="629">
        <v>210.64263031803131</v>
      </c>
      <c r="G201" s="629">
        <v>55.726365485241438</v>
      </c>
      <c r="H201" s="629">
        <v>38.934982518471109</v>
      </c>
      <c r="I201" s="629">
        <v>70</v>
      </c>
      <c r="J201" s="629">
        <v>43.01</v>
      </c>
      <c r="K201" s="629">
        <v>26.98</v>
      </c>
      <c r="L201" s="629">
        <v>16</v>
      </c>
      <c r="M201" s="629">
        <v>239.54909450687865</v>
      </c>
      <c r="N201" s="629">
        <v>4</v>
      </c>
      <c r="O201" s="623">
        <v>1.7318540011719943</v>
      </c>
      <c r="P201" s="629">
        <v>4</v>
      </c>
      <c r="Q201" s="623">
        <v>0.42726052787902885</v>
      </c>
      <c r="R201" s="629">
        <v>7</v>
      </c>
      <c r="S201" s="629">
        <v>230</v>
      </c>
      <c r="T201" s="645">
        <v>2.2830385782626896</v>
      </c>
      <c r="U201" s="645">
        <v>34.5</v>
      </c>
      <c r="V201" s="645">
        <v>60</v>
      </c>
      <c r="W201" s="793">
        <v>0.3302252229272819</v>
      </c>
      <c r="X201" s="646">
        <v>0</v>
      </c>
      <c r="Y201" s="646">
        <v>0</v>
      </c>
      <c r="Z201" s="646">
        <v>0</v>
      </c>
      <c r="AA201" s="646">
        <v>0</v>
      </c>
      <c r="AB201" s="647">
        <v>0.5545270120848782</v>
      </c>
      <c r="AC201" s="784">
        <v>4000</v>
      </c>
      <c r="AD201" s="631"/>
      <c r="AE201" s="631"/>
      <c r="AF201" s="631"/>
      <c r="AG201" s="631"/>
      <c r="AH201" s="629"/>
      <c r="AI201" s="648">
        <v>0.55504764116965166</v>
      </c>
      <c r="AJ201" s="649">
        <v>3.2775667186562552</v>
      </c>
      <c r="AK201" s="646">
        <v>8.0499450488972499</v>
      </c>
      <c r="AL201" s="646">
        <v>0</v>
      </c>
      <c r="AM201" s="646">
        <v>0</v>
      </c>
      <c r="AN201" s="646">
        <v>18.63212960630338</v>
      </c>
      <c r="AO201" s="646">
        <v>8.7318630344007053E-2</v>
      </c>
      <c r="AP201" s="801">
        <v>3600</v>
      </c>
      <c r="AQ201" s="563" t="s">
        <v>67</v>
      </c>
      <c r="AR201" s="563">
        <v>2</v>
      </c>
      <c r="AS201" s="563">
        <v>0</v>
      </c>
      <c r="AT201" s="563">
        <v>0</v>
      </c>
      <c r="AU201" s="563">
        <v>0</v>
      </c>
      <c r="AV201" s="650">
        <v>10488.756292136948</v>
      </c>
      <c r="AW201" s="563">
        <v>0</v>
      </c>
      <c r="AX201" s="563">
        <v>0</v>
      </c>
      <c r="AY201" s="563">
        <v>0</v>
      </c>
      <c r="AZ201" s="650">
        <v>8212.6438592820978</v>
      </c>
      <c r="BA201" s="564">
        <v>4000</v>
      </c>
      <c r="BB201" s="565">
        <v>55.50147021341968</v>
      </c>
      <c r="BC201" s="649">
        <v>3.2775667186562552</v>
      </c>
      <c r="BD201" s="646">
        <v>8.0499450488972499</v>
      </c>
      <c r="BE201" s="646">
        <v>0</v>
      </c>
      <c r="BF201" s="646">
        <v>0</v>
      </c>
      <c r="BG201" s="646">
        <v>18.63212960630338</v>
      </c>
      <c r="BH201" s="646">
        <v>8.7318630344007053E-2</v>
      </c>
      <c r="BI201" s="646">
        <v>3600</v>
      </c>
      <c r="BJ201" s="563" t="s">
        <v>67</v>
      </c>
      <c r="BK201" s="563">
        <v>2</v>
      </c>
      <c r="BL201" s="563">
        <v>0</v>
      </c>
      <c r="BM201" s="563">
        <v>0</v>
      </c>
      <c r="BN201" s="563">
        <v>0</v>
      </c>
      <c r="BO201" s="650">
        <v>10488.756292136948</v>
      </c>
      <c r="BP201" s="563">
        <v>0</v>
      </c>
      <c r="BQ201" s="563">
        <v>0</v>
      </c>
      <c r="BR201" s="563">
        <v>0</v>
      </c>
      <c r="BS201" s="650">
        <v>8212.6438592820978</v>
      </c>
      <c r="BT201" s="564">
        <v>4000</v>
      </c>
      <c r="BU201" s="565">
        <v>55.50147021341968</v>
      </c>
      <c r="BV201" s="649">
        <v>4.9163500779843829</v>
      </c>
      <c r="BW201" s="646">
        <v>9.8999139016547417</v>
      </c>
      <c r="BX201" s="646">
        <v>8.2916885978088037E-2</v>
      </c>
      <c r="BY201" s="646">
        <v>0.12826860745127625</v>
      </c>
      <c r="BZ201" s="646">
        <v>18.98947880552458</v>
      </c>
      <c r="CA201" s="646">
        <v>0.11587833678795077</v>
      </c>
      <c r="CB201" s="646">
        <v>3600</v>
      </c>
      <c r="CC201" s="563" t="s">
        <v>1584</v>
      </c>
      <c r="CD201" s="563">
        <v>3</v>
      </c>
      <c r="CE201" s="563">
        <v>1</v>
      </c>
      <c r="CF201" s="563">
        <v>3</v>
      </c>
      <c r="CG201" s="563">
        <v>9.961213431979127</v>
      </c>
      <c r="CH201" s="650">
        <v>12838.088739510078</v>
      </c>
      <c r="CI201" s="563">
        <v>2</v>
      </c>
      <c r="CJ201" s="563">
        <v>3</v>
      </c>
      <c r="CK201" s="563">
        <v>6.6251658575254178</v>
      </c>
      <c r="CL201" s="650">
        <v>9926.5362734045793</v>
      </c>
      <c r="CM201" s="564">
        <v>4000</v>
      </c>
      <c r="CN201" s="565">
        <v>55.50147021341968</v>
      </c>
      <c r="CO201" s="649">
        <v>4.9163500779843829</v>
      </c>
      <c r="CP201" s="646">
        <v>9.8999139016547417</v>
      </c>
      <c r="CQ201" s="646">
        <v>8.2916885978088037E-2</v>
      </c>
      <c r="CR201" s="646">
        <v>0.12826860745127625</v>
      </c>
      <c r="CS201" s="646">
        <v>18.98947880552458</v>
      </c>
      <c r="CT201" s="646">
        <v>0.11587833678795077</v>
      </c>
      <c r="CU201" s="646">
        <v>3600</v>
      </c>
      <c r="CV201" s="563" t="s">
        <v>1584</v>
      </c>
      <c r="CW201" s="563">
        <v>3</v>
      </c>
      <c r="CX201" s="563">
        <v>1</v>
      </c>
      <c r="CY201" s="563">
        <v>3</v>
      </c>
      <c r="CZ201" s="563">
        <v>9.961213431979127</v>
      </c>
      <c r="DA201" s="650">
        <v>12838.088739510078</v>
      </c>
      <c r="DB201" s="563">
        <v>2</v>
      </c>
      <c r="DC201" s="563">
        <v>3</v>
      </c>
      <c r="DD201" s="563">
        <v>6.6251658575254178</v>
      </c>
      <c r="DE201" s="650">
        <v>9926.5362734045793</v>
      </c>
      <c r="DF201" s="564">
        <v>4000</v>
      </c>
      <c r="DG201" s="565">
        <v>55.50147021341968</v>
      </c>
      <c r="DH201" s="649">
        <v>3.2775667186562552</v>
      </c>
      <c r="DI201" s="646">
        <v>8.3012912258209433</v>
      </c>
      <c r="DJ201" s="646">
        <v>0.16583377195617607</v>
      </c>
      <c r="DK201" s="646">
        <v>8.5512404967517497E-2</v>
      </c>
      <c r="DL201" s="646">
        <v>18.817424531342322</v>
      </c>
      <c r="DM201" s="646">
        <v>9.1138066726762113E-2</v>
      </c>
      <c r="DN201" s="646">
        <v>3600</v>
      </c>
      <c r="DO201" s="563" t="s">
        <v>1585</v>
      </c>
      <c r="DP201" s="563">
        <v>2</v>
      </c>
      <c r="DQ201" s="563">
        <v>1</v>
      </c>
      <c r="DR201" s="563">
        <v>6</v>
      </c>
      <c r="DS201" s="563">
        <v>9.961213431979127</v>
      </c>
      <c r="DT201" s="650">
        <v>16778.686382583521</v>
      </c>
      <c r="DU201" s="563">
        <v>2</v>
      </c>
      <c r="DV201" s="563">
        <v>2</v>
      </c>
      <c r="DW201" s="563">
        <v>6.6251658575254178</v>
      </c>
      <c r="DX201" s="650">
        <v>11005.331303552568</v>
      </c>
      <c r="DY201" s="564">
        <v>4000</v>
      </c>
      <c r="DZ201" s="565">
        <v>55.50147021341968</v>
      </c>
      <c r="EA201" s="649">
        <v>3.2775667186562552</v>
      </c>
      <c r="EB201" s="646">
        <v>8.3012912258209433</v>
      </c>
      <c r="EC201" s="646">
        <v>0.16583377195617607</v>
      </c>
      <c r="ED201" s="646">
        <v>8.5512404967517497E-2</v>
      </c>
      <c r="EE201" s="646">
        <v>18.817424531342322</v>
      </c>
      <c r="EF201" s="646">
        <v>9.1138066726762113E-2</v>
      </c>
      <c r="EG201" s="646">
        <v>3600</v>
      </c>
      <c r="EH201" s="563" t="s">
        <v>1585</v>
      </c>
      <c r="EI201" s="563">
        <v>2</v>
      </c>
      <c r="EJ201" s="563">
        <v>1</v>
      </c>
      <c r="EK201" s="563">
        <v>6</v>
      </c>
      <c r="EL201" s="563">
        <v>9.961213431979127</v>
      </c>
      <c r="EM201" s="650">
        <v>16778.686382583521</v>
      </c>
      <c r="EN201" s="563">
        <v>2</v>
      </c>
      <c r="EO201" s="563">
        <v>2</v>
      </c>
      <c r="EP201" s="563">
        <v>6.6251658575254178</v>
      </c>
      <c r="EQ201" s="650">
        <v>11005.331303552568</v>
      </c>
      <c r="ER201" s="564">
        <v>4000</v>
      </c>
      <c r="ES201" s="565">
        <v>55.50147021341968</v>
      </c>
      <c r="ET201" s="649">
        <v>3.2775667186562552</v>
      </c>
      <c r="EU201" s="646">
        <v>8.0927012513810084</v>
      </c>
      <c r="EV201" s="646">
        <v>0</v>
      </c>
      <c r="EW201" s="646">
        <v>4.2756202483758748E-2</v>
      </c>
      <c r="EX201" s="646">
        <v>18.718606044644826</v>
      </c>
      <c r="EY201" s="646">
        <v>8.803267440046042E-2</v>
      </c>
      <c r="EZ201" s="646">
        <v>3600</v>
      </c>
      <c r="FA201" s="563" t="s">
        <v>1587</v>
      </c>
      <c r="FB201" s="563">
        <v>2</v>
      </c>
      <c r="FC201" s="563">
        <v>0</v>
      </c>
      <c r="FD201" s="563">
        <v>0</v>
      </c>
      <c r="FE201" s="563">
        <v>0</v>
      </c>
      <c r="FF201" s="650">
        <v>8727.172760110454</v>
      </c>
      <c r="FG201" s="563">
        <v>1</v>
      </c>
      <c r="FH201" s="563">
        <v>2</v>
      </c>
      <c r="FI201" s="563">
        <v>6.6251658575254178</v>
      </c>
      <c r="FJ201" s="650">
        <v>12806.571305398495</v>
      </c>
      <c r="FK201" s="564">
        <v>4000</v>
      </c>
      <c r="FL201" s="565">
        <v>55.50147021341968</v>
      </c>
      <c r="FM201" s="649">
        <v>3.2775667186562552</v>
      </c>
      <c r="FN201" s="646">
        <v>8.0927012513810084</v>
      </c>
      <c r="FO201" s="646">
        <v>0</v>
      </c>
      <c r="FP201" s="646">
        <v>4.2756202483758748E-2</v>
      </c>
      <c r="FQ201" s="646">
        <v>18.718606044644826</v>
      </c>
      <c r="FR201" s="646">
        <v>8.803267440046042E-2</v>
      </c>
      <c r="FS201" s="646">
        <v>3600</v>
      </c>
      <c r="FT201" s="563" t="s">
        <v>1587</v>
      </c>
      <c r="FU201" s="563">
        <v>2</v>
      </c>
      <c r="FV201" s="563">
        <v>0</v>
      </c>
      <c r="FW201" s="563">
        <v>0</v>
      </c>
      <c r="FX201" s="563">
        <v>0</v>
      </c>
      <c r="FY201" s="650">
        <v>8727.172760110454</v>
      </c>
      <c r="FZ201" s="563">
        <v>1</v>
      </c>
      <c r="GA201" s="563">
        <v>2</v>
      </c>
      <c r="GB201" s="563">
        <v>6.6251658575254178</v>
      </c>
      <c r="GC201" s="650">
        <v>12806.571305398495</v>
      </c>
      <c r="GD201" s="564">
        <v>4000</v>
      </c>
      <c r="GE201" s="565">
        <v>55.50147021341968</v>
      </c>
      <c r="GF201" s="649">
        <v>3.2775667186562552</v>
      </c>
      <c r="GG201" s="646">
        <v>8.0927012513810084</v>
      </c>
      <c r="GH201" s="646">
        <v>0</v>
      </c>
      <c r="GI201" s="646">
        <v>4.2756202483758748E-2</v>
      </c>
      <c r="GJ201" s="646">
        <v>18.718606044644826</v>
      </c>
      <c r="GK201" s="646">
        <v>8.803267440046042E-2</v>
      </c>
      <c r="GL201" s="646">
        <v>3600</v>
      </c>
      <c r="GM201" s="563" t="s">
        <v>1587</v>
      </c>
      <c r="GN201" s="563">
        <v>2</v>
      </c>
      <c r="GO201" s="563">
        <v>0</v>
      </c>
      <c r="GP201" s="563">
        <v>0</v>
      </c>
      <c r="GQ201" s="563">
        <v>0</v>
      </c>
      <c r="GR201" s="650">
        <v>8727.172760110454</v>
      </c>
      <c r="GS201" s="563">
        <v>1</v>
      </c>
      <c r="GT201" s="563">
        <v>2</v>
      </c>
      <c r="GU201" s="563">
        <v>6.6251658575254178</v>
      </c>
      <c r="GV201" s="650">
        <v>12806.571305398495</v>
      </c>
      <c r="GW201" s="564">
        <v>4000</v>
      </c>
      <c r="GX201" s="565">
        <v>55.50147021341968</v>
      </c>
      <c r="GY201" s="649">
        <v>3.2775667186562552</v>
      </c>
      <c r="GZ201" s="646">
        <v>8.0927012513810084</v>
      </c>
      <c r="HA201" s="646">
        <v>0</v>
      </c>
      <c r="HB201" s="646">
        <v>4.2756202483758748E-2</v>
      </c>
      <c r="HC201" s="646">
        <v>18.718606044644826</v>
      </c>
      <c r="HD201" s="646">
        <v>8.803267440046042E-2</v>
      </c>
      <c r="HE201" s="646">
        <v>3600</v>
      </c>
      <c r="HF201" s="563" t="s">
        <v>1587</v>
      </c>
      <c r="HG201" s="563">
        <v>2</v>
      </c>
      <c r="HH201" s="563">
        <v>0</v>
      </c>
      <c r="HI201" s="563">
        <v>0</v>
      </c>
      <c r="HJ201" s="563">
        <v>0</v>
      </c>
      <c r="HK201" s="650">
        <v>8727.172760110454</v>
      </c>
      <c r="HL201" s="563">
        <v>1</v>
      </c>
      <c r="HM201" s="563">
        <v>2</v>
      </c>
      <c r="HN201" s="563">
        <v>6.6251658575254178</v>
      </c>
      <c r="HO201" s="650">
        <v>12806.571305398495</v>
      </c>
      <c r="HP201" s="564">
        <v>4000</v>
      </c>
      <c r="HQ201" s="565">
        <v>55.50147021341968</v>
      </c>
      <c r="HR201" s="649">
        <v>3.2775667186562552</v>
      </c>
      <c r="HS201" s="646">
        <v>8.0499450488972499</v>
      </c>
      <c r="HT201" s="646">
        <v>0</v>
      </c>
      <c r="HU201" s="646">
        <v>0</v>
      </c>
      <c r="HV201" s="646">
        <v>18.63212960630338</v>
      </c>
      <c r="HW201" s="646">
        <v>8.7318630344007053E-2</v>
      </c>
      <c r="HX201" s="646">
        <v>3600</v>
      </c>
      <c r="HY201" s="563" t="s">
        <v>68</v>
      </c>
      <c r="HZ201" s="563">
        <v>2</v>
      </c>
      <c r="IA201" s="563">
        <v>0</v>
      </c>
      <c r="IB201" s="563">
        <v>0</v>
      </c>
      <c r="IC201" s="563">
        <v>0</v>
      </c>
      <c r="ID201" s="650">
        <v>7696.6429239831386</v>
      </c>
      <c r="IE201" s="563">
        <v>0</v>
      </c>
      <c r="IF201" s="563">
        <v>0</v>
      </c>
      <c r="IG201" s="563">
        <v>0</v>
      </c>
      <c r="IH201" s="650">
        <v>6026.4330189579587</v>
      </c>
      <c r="II201" s="564">
        <v>4000</v>
      </c>
      <c r="IJ201" s="565">
        <v>55.50147021341968</v>
      </c>
      <c r="IK201" s="649">
        <v>3.2775667186562552</v>
      </c>
      <c r="IL201" s="646">
        <v>8.0499450488972499</v>
      </c>
      <c r="IM201" s="646">
        <v>0</v>
      </c>
      <c r="IN201" s="646">
        <v>0</v>
      </c>
      <c r="IO201" s="646">
        <v>18.63212960630338</v>
      </c>
      <c r="IP201" s="646">
        <v>8.7318630344007053E-2</v>
      </c>
      <c r="IQ201" s="646">
        <v>3600</v>
      </c>
      <c r="IR201" s="563" t="s">
        <v>68</v>
      </c>
      <c r="IS201" s="563">
        <v>2</v>
      </c>
      <c r="IT201" s="563">
        <v>0</v>
      </c>
      <c r="IU201" s="563">
        <v>0</v>
      </c>
      <c r="IV201" s="563">
        <v>0</v>
      </c>
      <c r="IW201" s="650">
        <v>7696.6429239831386</v>
      </c>
      <c r="IX201" s="563">
        <v>0</v>
      </c>
      <c r="IY201" s="563">
        <v>0</v>
      </c>
      <c r="IZ201" s="563">
        <v>0</v>
      </c>
      <c r="JA201" s="650">
        <v>6026.4330189579587</v>
      </c>
      <c r="JB201" s="564">
        <v>4000</v>
      </c>
      <c r="JC201" s="565">
        <v>55.50147021341968</v>
      </c>
      <c r="JD201" s="649">
        <v>3.2775667186562552</v>
      </c>
      <c r="JE201" s="646">
        <v>8.0499450488972499</v>
      </c>
      <c r="JF201" s="646">
        <v>0</v>
      </c>
      <c r="JG201" s="646">
        <v>0</v>
      </c>
      <c r="JH201" s="646">
        <v>18.63212960630338</v>
      </c>
      <c r="JI201" s="646">
        <v>8.7318630344007053E-2</v>
      </c>
      <c r="JJ201" s="646">
        <v>3600</v>
      </c>
      <c r="JK201" s="563" t="s">
        <v>67</v>
      </c>
      <c r="JL201" s="563">
        <v>2</v>
      </c>
      <c r="JM201" s="563">
        <v>0</v>
      </c>
      <c r="JN201" s="563">
        <v>0</v>
      </c>
      <c r="JO201" s="563">
        <v>0</v>
      </c>
      <c r="JP201" s="650">
        <v>10488.756292136948</v>
      </c>
      <c r="JQ201" s="563">
        <v>0</v>
      </c>
      <c r="JR201" s="563">
        <v>0</v>
      </c>
      <c r="JS201" s="563">
        <v>0</v>
      </c>
      <c r="JT201" s="650">
        <v>8212.6438592820978</v>
      </c>
      <c r="JU201" s="564">
        <v>4000</v>
      </c>
      <c r="JV201" s="565">
        <v>55.50147021341968</v>
      </c>
      <c r="JW201" s="649">
        <v>3.2775667186562552</v>
      </c>
      <c r="JX201" s="646">
        <v>8.0499450488972499</v>
      </c>
      <c r="JY201" s="646">
        <v>0</v>
      </c>
      <c r="JZ201" s="646">
        <v>0</v>
      </c>
      <c r="KA201" s="646">
        <v>18.63212960630338</v>
      </c>
      <c r="KB201" s="646">
        <v>8.7318630344007053E-2</v>
      </c>
      <c r="KC201" s="646">
        <v>3600</v>
      </c>
      <c r="KD201" s="563" t="s">
        <v>67</v>
      </c>
      <c r="KE201" s="563">
        <v>2</v>
      </c>
      <c r="KF201" s="563">
        <v>0</v>
      </c>
      <c r="KG201" s="563">
        <v>0</v>
      </c>
      <c r="KH201" s="563">
        <v>0</v>
      </c>
      <c r="KI201" s="650">
        <v>10488.756292136948</v>
      </c>
      <c r="KJ201" s="563">
        <v>0</v>
      </c>
      <c r="KK201" s="563">
        <v>0</v>
      </c>
      <c r="KL201" s="563">
        <v>0</v>
      </c>
      <c r="KM201" s="650">
        <v>8212.6438592820978</v>
      </c>
      <c r="KN201" s="564">
        <v>4000</v>
      </c>
      <c r="KO201" s="566">
        <v>55.50147021341968</v>
      </c>
    </row>
    <row r="202" spans="1:301" ht="15" customHeight="1">
      <c r="A202" s="663" t="s">
        <v>951</v>
      </c>
      <c r="B202" s="629" t="s">
        <v>382</v>
      </c>
      <c r="C202" s="629">
        <v>230</v>
      </c>
      <c r="D202" s="629">
        <v>265</v>
      </c>
      <c r="E202" s="629">
        <v>0</v>
      </c>
      <c r="F202" s="629">
        <v>208.9512096662088</v>
      </c>
      <c r="G202" s="629">
        <v>60.726365485241445</v>
      </c>
      <c r="H202" s="629">
        <v>43.623972768781691</v>
      </c>
      <c r="I202" s="629">
        <v>70</v>
      </c>
      <c r="J202" s="629">
        <v>43.01</v>
      </c>
      <c r="K202" s="629">
        <v>26.98</v>
      </c>
      <c r="L202" s="629">
        <v>16</v>
      </c>
      <c r="M202" s="629">
        <v>220.12343130957686</v>
      </c>
      <c r="N202" s="629">
        <v>4</v>
      </c>
      <c r="O202" s="623">
        <v>1.7318540011719943</v>
      </c>
      <c r="P202" s="629">
        <v>4</v>
      </c>
      <c r="Q202" s="623">
        <v>0.42726052787902885</v>
      </c>
      <c r="R202" s="629">
        <v>7</v>
      </c>
      <c r="S202" s="629">
        <v>230</v>
      </c>
      <c r="T202" s="645">
        <v>2.2830385782626896</v>
      </c>
      <c r="U202" s="645">
        <v>34.5</v>
      </c>
      <c r="V202" s="645">
        <v>60</v>
      </c>
      <c r="W202" s="793">
        <v>0.3302252229272819</v>
      </c>
      <c r="X202" s="646">
        <v>0</v>
      </c>
      <c r="Y202" s="646">
        <v>0</v>
      </c>
      <c r="Z202" s="646">
        <v>0</v>
      </c>
      <c r="AA202" s="646">
        <v>0</v>
      </c>
      <c r="AB202" s="647">
        <v>0.60198083018612103</v>
      </c>
      <c r="AC202" s="784">
        <v>4000</v>
      </c>
      <c r="AD202" s="631"/>
      <c r="AE202" s="631"/>
      <c r="AF202" s="631"/>
      <c r="AG202" s="631"/>
      <c r="AH202" s="629"/>
      <c r="AI202" s="648">
        <v>0.53770399864913565</v>
      </c>
      <c r="AJ202" s="649">
        <v>3.141419124870203</v>
      </c>
      <c r="AK202" s="646">
        <v>7.9137974551111974</v>
      </c>
      <c r="AL202" s="646">
        <v>0</v>
      </c>
      <c r="AM202" s="646">
        <v>0</v>
      </c>
      <c r="AN202" s="646">
        <v>20.574554334632595</v>
      </c>
      <c r="AO202" s="646">
        <v>8.5223233783393595E-2</v>
      </c>
      <c r="AP202" s="801">
        <v>3600</v>
      </c>
      <c r="AQ202" s="563" t="s">
        <v>67</v>
      </c>
      <c r="AR202" s="563">
        <v>2</v>
      </c>
      <c r="AS202" s="563">
        <v>0</v>
      </c>
      <c r="AT202" s="563">
        <v>0</v>
      </c>
      <c r="AU202" s="563">
        <v>0</v>
      </c>
      <c r="AV202" s="650">
        <v>10488.756292136948</v>
      </c>
      <c r="AW202" s="563">
        <v>0</v>
      </c>
      <c r="AX202" s="563">
        <v>0</v>
      </c>
      <c r="AY202" s="563">
        <v>0</v>
      </c>
      <c r="AZ202" s="650">
        <v>8212.6438592820978</v>
      </c>
      <c r="BA202" s="564">
        <v>4000</v>
      </c>
      <c r="BB202" s="565">
        <v>55.50147021341968</v>
      </c>
      <c r="BC202" s="649">
        <v>3.141419124870203</v>
      </c>
      <c r="BD202" s="646">
        <v>7.9137974551111974</v>
      </c>
      <c r="BE202" s="646">
        <v>0</v>
      </c>
      <c r="BF202" s="646">
        <v>0</v>
      </c>
      <c r="BG202" s="646">
        <v>20.574554334632595</v>
      </c>
      <c r="BH202" s="646">
        <v>8.5223233783393595E-2</v>
      </c>
      <c r="BI202" s="646">
        <v>3600</v>
      </c>
      <c r="BJ202" s="563" t="s">
        <v>67</v>
      </c>
      <c r="BK202" s="563">
        <v>2</v>
      </c>
      <c r="BL202" s="563">
        <v>0</v>
      </c>
      <c r="BM202" s="563">
        <v>0</v>
      </c>
      <c r="BN202" s="563">
        <v>0</v>
      </c>
      <c r="BO202" s="650">
        <v>10488.756292136948</v>
      </c>
      <c r="BP202" s="563">
        <v>0</v>
      </c>
      <c r="BQ202" s="563">
        <v>0</v>
      </c>
      <c r="BR202" s="563">
        <v>0</v>
      </c>
      <c r="BS202" s="650">
        <v>8212.6438592820978</v>
      </c>
      <c r="BT202" s="564">
        <v>4000</v>
      </c>
      <c r="BU202" s="565">
        <v>55.50147021341968</v>
      </c>
      <c r="BV202" s="649">
        <v>4.7121286873053041</v>
      </c>
      <c r="BW202" s="646">
        <v>9.6956925109756646</v>
      </c>
      <c r="BX202" s="646">
        <v>8.2916885978088037E-2</v>
      </c>
      <c r="BY202" s="646">
        <v>0.12826860745127625</v>
      </c>
      <c r="BZ202" s="646">
        <v>20.976442305867668</v>
      </c>
      <c r="CA202" s="646">
        <v>0.11273524194703058</v>
      </c>
      <c r="CB202" s="646">
        <v>3600</v>
      </c>
      <c r="CC202" s="563" t="s">
        <v>1584</v>
      </c>
      <c r="CD202" s="563">
        <v>3</v>
      </c>
      <c r="CE202" s="563">
        <v>1</v>
      </c>
      <c r="CF202" s="563">
        <v>3</v>
      </c>
      <c r="CG202" s="563">
        <v>9.961213431979127</v>
      </c>
      <c r="CH202" s="650">
        <v>12838.088739510078</v>
      </c>
      <c r="CI202" s="563">
        <v>2</v>
      </c>
      <c r="CJ202" s="563">
        <v>3</v>
      </c>
      <c r="CK202" s="563">
        <v>6.6251658575254178</v>
      </c>
      <c r="CL202" s="650">
        <v>9926.5362734045793</v>
      </c>
      <c r="CM202" s="564">
        <v>4000</v>
      </c>
      <c r="CN202" s="565">
        <v>55.50147021341968</v>
      </c>
      <c r="CO202" s="649">
        <v>4.7121286873053041</v>
      </c>
      <c r="CP202" s="646">
        <v>9.6956925109756646</v>
      </c>
      <c r="CQ202" s="646">
        <v>8.2916885978088037E-2</v>
      </c>
      <c r="CR202" s="646">
        <v>0.12826860745127625</v>
      </c>
      <c r="CS202" s="646">
        <v>20.976442305867668</v>
      </c>
      <c r="CT202" s="646">
        <v>0.11273524194703058</v>
      </c>
      <c r="CU202" s="646">
        <v>3600</v>
      </c>
      <c r="CV202" s="563" t="s">
        <v>1584</v>
      </c>
      <c r="CW202" s="563">
        <v>3</v>
      </c>
      <c r="CX202" s="563">
        <v>1</v>
      </c>
      <c r="CY202" s="563">
        <v>3</v>
      </c>
      <c r="CZ202" s="563">
        <v>9.961213431979127</v>
      </c>
      <c r="DA202" s="650">
        <v>12838.088739510078</v>
      </c>
      <c r="DB202" s="563">
        <v>2</v>
      </c>
      <c r="DC202" s="563">
        <v>3</v>
      </c>
      <c r="DD202" s="563">
        <v>6.6251658575254178</v>
      </c>
      <c r="DE202" s="650">
        <v>9926.5362734045793</v>
      </c>
      <c r="DF202" s="564">
        <v>4000</v>
      </c>
      <c r="DG202" s="565">
        <v>55.50147021341968</v>
      </c>
      <c r="DH202" s="649">
        <v>3.141419124870203</v>
      </c>
      <c r="DI202" s="646">
        <v>8.1651436320348907</v>
      </c>
      <c r="DJ202" s="646">
        <v>0.16583377195617607</v>
      </c>
      <c r="DK202" s="646">
        <v>8.5512404967517497E-2</v>
      </c>
      <c r="DL202" s="646">
        <v>20.750762205646634</v>
      </c>
      <c r="DM202" s="646">
        <v>8.9042670166148655E-2</v>
      </c>
      <c r="DN202" s="646">
        <v>3600</v>
      </c>
      <c r="DO202" s="563" t="s">
        <v>1585</v>
      </c>
      <c r="DP202" s="563">
        <v>2</v>
      </c>
      <c r="DQ202" s="563">
        <v>1</v>
      </c>
      <c r="DR202" s="563">
        <v>6</v>
      </c>
      <c r="DS202" s="563">
        <v>9.961213431979127</v>
      </c>
      <c r="DT202" s="650">
        <v>16778.686382583521</v>
      </c>
      <c r="DU202" s="563">
        <v>2</v>
      </c>
      <c r="DV202" s="563">
        <v>2</v>
      </c>
      <c r="DW202" s="563">
        <v>6.6251658575254178</v>
      </c>
      <c r="DX202" s="650">
        <v>11005.331303552568</v>
      </c>
      <c r="DY202" s="564">
        <v>4000</v>
      </c>
      <c r="DZ202" s="565">
        <v>55.50147021341968</v>
      </c>
      <c r="EA202" s="649">
        <v>3.141419124870203</v>
      </c>
      <c r="EB202" s="646">
        <v>8.1651436320348907</v>
      </c>
      <c r="EC202" s="646">
        <v>0.16583377195617607</v>
      </c>
      <c r="ED202" s="646">
        <v>8.5512404967517497E-2</v>
      </c>
      <c r="EE202" s="646">
        <v>20.750762205646634</v>
      </c>
      <c r="EF202" s="646">
        <v>8.9042670166148655E-2</v>
      </c>
      <c r="EG202" s="646">
        <v>3600</v>
      </c>
      <c r="EH202" s="563" t="s">
        <v>1585</v>
      </c>
      <c r="EI202" s="563">
        <v>2</v>
      </c>
      <c r="EJ202" s="563">
        <v>1</v>
      </c>
      <c r="EK202" s="563">
        <v>6</v>
      </c>
      <c r="EL202" s="563">
        <v>9.961213431979127</v>
      </c>
      <c r="EM202" s="650">
        <v>16778.686382583521</v>
      </c>
      <c r="EN202" s="563">
        <v>2</v>
      </c>
      <c r="EO202" s="563">
        <v>2</v>
      </c>
      <c r="EP202" s="563">
        <v>6.6251658575254178</v>
      </c>
      <c r="EQ202" s="650">
        <v>11005.331303552568</v>
      </c>
      <c r="ER202" s="564">
        <v>4000</v>
      </c>
      <c r="ES202" s="565">
        <v>55.50147021341968</v>
      </c>
      <c r="ET202" s="649">
        <v>3.141419124870203</v>
      </c>
      <c r="EU202" s="646">
        <v>7.9565536575949558</v>
      </c>
      <c r="EV202" s="646">
        <v>0</v>
      </c>
      <c r="EW202" s="646">
        <v>4.2756202483758748E-2</v>
      </c>
      <c r="EX202" s="646">
        <v>20.65207247908678</v>
      </c>
      <c r="EY202" s="646">
        <v>8.5937277839846962E-2</v>
      </c>
      <c r="EZ202" s="646">
        <v>3600</v>
      </c>
      <c r="FA202" s="563" t="s">
        <v>1587</v>
      </c>
      <c r="FB202" s="563">
        <v>2</v>
      </c>
      <c r="FC202" s="563">
        <v>0</v>
      </c>
      <c r="FD202" s="563">
        <v>0</v>
      </c>
      <c r="FE202" s="563">
        <v>0</v>
      </c>
      <c r="FF202" s="650">
        <v>8727.172760110454</v>
      </c>
      <c r="FG202" s="563">
        <v>1</v>
      </c>
      <c r="FH202" s="563">
        <v>2</v>
      </c>
      <c r="FI202" s="563">
        <v>6.6251658575254178</v>
      </c>
      <c r="FJ202" s="650">
        <v>12806.571305398495</v>
      </c>
      <c r="FK202" s="564">
        <v>4000</v>
      </c>
      <c r="FL202" s="565">
        <v>55.50147021341968</v>
      </c>
      <c r="FM202" s="649">
        <v>3.141419124870203</v>
      </c>
      <c r="FN202" s="646">
        <v>7.9565536575949558</v>
      </c>
      <c r="FO202" s="646">
        <v>0</v>
      </c>
      <c r="FP202" s="646">
        <v>4.2756202483758748E-2</v>
      </c>
      <c r="FQ202" s="646">
        <v>20.65207247908678</v>
      </c>
      <c r="FR202" s="646">
        <v>8.5937277839846962E-2</v>
      </c>
      <c r="FS202" s="646">
        <v>3600</v>
      </c>
      <c r="FT202" s="563" t="s">
        <v>1587</v>
      </c>
      <c r="FU202" s="563">
        <v>2</v>
      </c>
      <c r="FV202" s="563">
        <v>0</v>
      </c>
      <c r="FW202" s="563">
        <v>0</v>
      </c>
      <c r="FX202" s="563">
        <v>0</v>
      </c>
      <c r="FY202" s="650">
        <v>8727.172760110454</v>
      </c>
      <c r="FZ202" s="563">
        <v>1</v>
      </c>
      <c r="GA202" s="563">
        <v>2</v>
      </c>
      <c r="GB202" s="563">
        <v>6.6251658575254178</v>
      </c>
      <c r="GC202" s="650">
        <v>12806.571305398495</v>
      </c>
      <c r="GD202" s="564">
        <v>4000</v>
      </c>
      <c r="GE202" s="565">
        <v>55.50147021341968</v>
      </c>
      <c r="GF202" s="649">
        <v>3.141419124870203</v>
      </c>
      <c r="GG202" s="646">
        <v>7.9565536575949558</v>
      </c>
      <c r="GH202" s="646">
        <v>0</v>
      </c>
      <c r="GI202" s="646">
        <v>4.2756202483758748E-2</v>
      </c>
      <c r="GJ202" s="646">
        <v>20.65207247908678</v>
      </c>
      <c r="GK202" s="646">
        <v>8.5937277839846962E-2</v>
      </c>
      <c r="GL202" s="646">
        <v>3600</v>
      </c>
      <c r="GM202" s="563" t="s">
        <v>1587</v>
      </c>
      <c r="GN202" s="563">
        <v>2</v>
      </c>
      <c r="GO202" s="563">
        <v>0</v>
      </c>
      <c r="GP202" s="563">
        <v>0</v>
      </c>
      <c r="GQ202" s="563">
        <v>0</v>
      </c>
      <c r="GR202" s="650">
        <v>8727.172760110454</v>
      </c>
      <c r="GS202" s="563">
        <v>1</v>
      </c>
      <c r="GT202" s="563">
        <v>2</v>
      </c>
      <c r="GU202" s="563">
        <v>6.6251658575254178</v>
      </c>
      <c r="GV202" s="650">
        <v>12806.571305398495</v>
      </c>
      <c r="GW202" s="564">
        <v>4000</v>
      </c>
      <c r="GX202" s="565">
        <v>55.50147021341968</v>
      </c>
      <c r="GY202" s="649">
        <v>3.141419124870203</v>
      </c>
      <c r="GZ202" s="646">
        <v>7.9565536575949558</v>
      </c>
      <c r="HA202" s="646">
        <v>0</v>
      </c>
      <c r="HB202" s="646">
        <v>4.2756202483758748E-2</v>
      </c>
      <c r="HC202" s="646">
        <v>20.65207247908678</v>
      </c>
      <c r="HD202" s="646">
        <v>8.5937277839846962E-2</v>
      </c>
      <c r="HE202" s="646">
        <v>3600</v>
      </c>
      <c r="HF202" s="563" t="s">
        <v>1587</v>
      </c>
      <c r="HG202" s="563">
        <v>2</v>
      </c>
      <c r="HH202" s="563">
        <v>0</v>
      </c>
      <c r="HI202" s="563">
        <v>0</v>
      </c>
      <c r="HJ202" s="563">
        <v>0</v>
      </c>
      <c r="HK202" s="650">
        <v>8727.172760110454</v>
      </c>
      <c r="HL202" s="563">
        <v>1</v>
      </c>
      <c r="HM202" s="563">
        <v>2</v>
      </c>
      <c r="HN202" s="563">
        <v>6.6251658575254178</v>
      </c>
      <c r="HO202" s="650">
        <v>12806.571305398495</v>
      </c>
      <c r="HP202" s="564">
        <v>4000</v>
      </c>
      <c r="HQ202" s="565">
        <v>55.50147021341968</v>
      </c>
      <c r="HR202" s="649">
        <v>3.141419124870203</v>
      </c>
      <c r="HS202" s="646">
        <v>7.9137974551111974</v>
      </c>
      <c r="HT202" s="646">
        <v>0</v>
      </c>
      <c r="HU202" s="646">
        <v>0</v>
      </c>
      <c r="HV202" s="646">
        <v>20.574554334632595</v>
      </c>
      <c r="HW202" s="646">
        <v>8.5223233783393595E-2</v>
      </c>
      <c r="HX202" s="646">
        <v>3600</v>
      </c>
      <c r="HY202" s="563" t="s">
        <v>68</v>
      </c>
      <c r="HZ202" s="563">
        <v>2</v>
      </c>
      <c r="IA202" s="563">
        <v>0</v>
      </c>
      <c r="IB202" s="563">
        <v>0</v>
      </c>
      <c r="IC202" s="563">
        <v>0</v>
      </c>
      <c r="ID202" s="650">
        <v>7696.6429239831386</v>
      </c>
      <c r="IE202" s="563">
        <v>0</v>
      </c>
      <c r="IF202" s="563">
        <v>0</v>
      </c>
      <c r="IG202" s="563">
        <v>0</v>
      </c>
      <c r="IH202" s="650">
        <v>6026.4330189579587</v>
      </c>
      <c r="II202" s="564">
        <v>4000</v>
      </c>
      <c r="IJ202" s="565">
        <v>55.50147021341968</v>
      </c>
      <c r="IK202" s="649">
        <v>3.141419124870203</v>
      </c>
      <c r="IL202" s="646">
        <v>7.9137974551111974</v>
      </c>
      <c r="IM202" s="646">
        <v>0</v>
      </c>
      <c r="IN202" s="646">
        <v>0</v>
      </c>
      <c r="IO202" s="646">
        <v>20.574554334632595</v>
      </c>
      <c r="IP202" s="646">
        <v>8.5223233783393595E-2</v>
      </c>
      <c r="IQ202" s="646">
        <v>3600</v>
      </c>
      <c r="IR202" s="563" t="s">
        <v>68</v>
      </c>
      <c r="IS202" s="563">
        <v>2</v>
      </c>
      <c r="IT202" s="563">
        <v>0</v>
      </c>
      <c r="IU202" s="563">
        <v>0</v>
      </c>
      <c r="IV202" s="563">
        <v>0</v>
      </c>
      <c r="IW202" s="650">
        <v>7696.6429239831386</v>
      </c>
      <c r="IX202" s="563">
        <v>0</v>
      </c>
      <c r="IY202" s="563">
        <v>0</v>
      </c>
      <c r="IZ202" s="563">
        <v>0</v>
      </c>
      <c r="JA202" s="650">
        <v>6026.4330189579587</v>
      </c>
      <c r="JB202" s="564">
        <v>4000</v>
      </c>
      <c r="JC202" s="565">
        <v>55.50147021341968</v>
      </c>
      <c r="JD202" s="649">
        <v>3.141419124870203</v>
      </c>
      <c r="JE202" s="646">
        <v>7.9137974551111974</v>
      </c>
      <c r="JF202" s="646">
        <v>0</v>
      </c>
      <c r="JG202" s="646">
        <v>0</v>
      </c>
      <c r="JH202" s="646">
        <v>20.574554334632595</v>
      </c>
      <c r="JI202" s="646">
        <v>8.5223233783393595E-2</v>
      </c>
      <c r="JJ202" s="646">
        <v>3600</v>
      </c>
      <c r="JK202" s="563" t="s">
        <v>67</v>
      </c>
      <c r="JL202" s="563">
        <v>2</v>
      </c>
      <c r="JM202" s="563">
        <v>0</v>
      </c>
      <c r="JN202" s="563">
        <v>0</v>
      </c>
      <c r="JO202" s="563">
        <v>0</v>
      </c>
      <c r="JP202" s="650">
        <v>10488.756292136948</v>
      </c>
      <c r="JQ202" s="563">
        <v>0</v>
      </c>
      <c r="JR202" s="563">
        <v>0</v>
      </c>
      <c r="JS202" s="563">
        <v>0</v>
      </c>
      <c r="JT202" s="650">
        <v>8212.6438592820978</v>
      </c>
      <c r="JU202" s="564">
        <v>4000</v>
      </c>
      <c r="JV202" s="565">
        <v>55.50147021341968</v>
      </c>
      <c r="JW202" s="649">
        <v>3.141419124870203</v>
      </c>
      <c r="JX202" s="646">
        <v>7.9137974551111974</v>
      </c>
      <c r="JY202" s="646">
        <v>0</v>
      </c>
      <c r="JZ202" s="646">
        <v>0</v>
      </c>
      <c r="KA202" s="646">
        <v>20.574554334632595</v>
      </c>
      <c r="KB202" s="646">
        <v>8.5223233783393595E-2</v>
      </c>
      <c r="KC202" s="646">
        <v>3600</v>
      </c>
      <c r="KD202" s="563" t="s">
        <v>67</v>
      </c>
      <c r="KE202" s="563">
        <v>2</v>
      </c>
      <c r="KF202" s="563">
        <v>0</v>
      </c>
      <c r="KG202" s="563">
        <v>0</v>
      </c>
      <c r="KH202" s="563">
        <v>0</v>
      </c>
      <c r="KI202" s="650">
        <v>10488.756292136948</v>
      </c>
      <c r="KJ202" s="563">
        <v>0</v>
      </c>
      <c r="KK202" s="563">
        <v>0</v>
      </c>
      <c r="KL202" s="563">
        <v>0</v>
      </c>
      <c r="KM202" s="650">
        <v>8212.6438592820978</v>
      </c>
      <c r="KN202" s="564">
        <v>4000</v>
      </c>
      <c r="KO202" s="566">
        <v>55.50147021341968</v>
      </c>
    </row>
    <row r="203" spans="1:301" ht="15" customHeight="1">
      <c r="A203" s="663" t="s">
        <v>952</v>
      </c>
      <c r="B203" s="629" t="s">
        <v>382</v>
      </c>
      <c r="C203" s="629">
        <v>190</v>
      </c>
      <c r="D203" s="629">
        <v>315</v>
      </c>
      <c r="E203" s="629">
        <v>0</v>
      </c>
      <c r="F203" s="629">
        <v>176.34107993830318</v>
      </c>
      <c r="G203" s="629">
        <v>37.502264187537214</v>
      </c>
      <c r="H203" s="629">
        <v>24.633890033307118</v>
      </c>
      <c r="I203" s="629">
        <v>100</v>
      </c>
      <c r="J203" s="629">
        <v>51.15</v>
      </c>
      <c r="K203" s="629">
        <v>25.61</v>
      </c>
      <c r="L203" s="629">
        <v>16</v>
      </c>
      <c r="M203" s="629">
        <v>281.64491968314798</v>
      </c>
      <c r="N203" s="629">
        <v>4</v>
      </c>
      <c r="O203" s="623">
        <v>2.447037568761711</v>
      </c>
      <c r="P203" s="629">
        <v>4</v>
      </c>
      <c r="Q203" s="623">
        <v>1.1424440954687454</v>
      </c>
      <c r="R203" s="629">
        <v>7</v>
      </c>
      <c r="S203" s="629">
        <v>230</v>
      </c>
      <c r="T203" s="645">
        <v>2.2830385782626896</v>
      </c>
      <c r="U203" s="645">
        <v>34.5</v>
      </c>
      <c r="V203" s="645">
        <v>47.5</v>
      </c>
      <c r="W203" s="793">
        <v>0.26142830148409818</v>
      </c>
      <c r="X203" s="646">
        <v>0</v>
      </c>
      <c r="Y203" s="646">
        <v>0</v>
      </c>
      <c r="Z203" s="646">
        <v>0</v>
      </c>
      <c r="AA203" s="646">
        <v>0</v>
      </c>
      <c r="AB203" s="647">
        <v>0.376895276495681</v>
      </c>
      <c r="AC203" s="784">
        <v>4000</v>
      </c>
      <c r="AD203" s="631"/>
      <c r="AE203" s="631"/>
      <c r="AF203" s="631"/>
      <c r="AG203" s="631"/>
      <c r="AH203" s="629"/>
      <c r="AI203" s="648">
        <v>0.81665881482681679</v>
      </c>
      <c r="AJ203" s="649">
        <v>4.4088742446975733</v>
      </c>
      <c r="AK203" s="646">
        <v>10.542822788674819</v>
      </c>
      <c r="AL203" s="646">
        <v>0</v>
      </c>
      <c r="AM203" s="646">
        <v>0</v>
      </c>
      <c r="AN203" s="646">
        <v>12.431998909194041</v>
      </c>
      <c r="AO203" s="646">
        <v>0.14175065734216988</v>
      </c>
      <c r="AP203" s="801">
        <v>2800</v>
      </c>
      <c r="AQ203" s="563" t="s">
        <v>67</v>
      </c>
      <c r="AR203" s="563">
        <v>2</v>
      </c>
      <c r="AS203" s="563">
        <v>0</v>
      </c>
      <c r="AT203" s="563">
        <v>0</v>
      </c>
      <c r="AU203" s="563">
        <v>0</v>
      </c>
      <c r="AV203" s="650">
        <v>7134.8663289478318</v>
      </c>
      <c r="AW203" s="563">
        <v>0</v>
      </c>
      <c r="AX203" s="563">
        <v>0</v>
      </c>
      <c r="AY203" s="563">
        <v>0</v>
      </c>
      <c r="AZ203" s="650">
        <v>5029.3172306668885</v>
      </c>
      <c r="BA203" s="564">
        <v>4000</v>
      </c>
      <c r="BB203" s="565">
        <v>65.973445725385659</v>
      </c>
      <c r="BC203" s="649">
        <v>4.4088742446975733</v>
      </c>
      <c r="BD203" s="646">
        <v>10.542822788674819</v>
      </c>
      <c r="BE203" s="646">
        <v>0</v>
      </c>
      <c r="BF203" s="646">
        <v>0</v>
      </c>
      <c r="BG203" s="646">
        <v>12.431998909194041</v>
      </c>
      <c r="BH203" s="646">
        <v>0.14175065734216988</v>
      </c>
      <c r="BI203" s="646">
        <v>3500</v>
      </c>
      <c r="BJ203" s="563" t="s">
        <v>67</v>
      </c>
      <c r="BK203" s="563">
        <v>2</v>
      </c>
      <c r="BL203" s="563">
        <v>0</v>
      </c>
      <c r="BM203" s="563">
        <v>0</v>
      </c>
      <c r="BN203" s="563">
        <v>0</v>
      </c>
      <c r="BO203" s="650">
        <v>7134.8663289478318</v>
      </c>
      <c r="BP203" s="563">
        <v>0</v>
      </c>
      <c r="BQ203" s="563">
        <v>0</v>
      </c>
      <c r="BR203" s="563">
        <v>0</v>
      </c>
      <c r="BS203" s="650">
        <v>5029.3172306668885</v>
      </c>
      <c r="BT203" s="564">
        <v>4000</v>
      </c>
      <c r="BU203" s="565">
        <v>65.973445725385659</v>
      </c>
      <c r="BV203" s="649">
        <v>6.6133113670463599</v>
      </c>
      <c r="BW203" s="646">
        <v>13.023017417136234</v>
      </c>
      <c r="BX203" s="646">
        <v>9.5499137263655262E-2</v>
      </c>
      <c r="BY203" s="646">
        <v>0.18025836884897428</v>
      </c>
      <c r="BZ203" s="646">
        <v>12.931678036530473</v>
      </c>
      <c r="CA203" s="646">
        <v>0.18429420628737145</v>
      </c>
      <c r="CB203" s="646">
        <v>2800</v>
      </c>
      <c r="CC203" s="563" t="s">
        <v>1584</v>
      </c>
      <c r="CD203" s="563">
        <v>3</v>
      </c>
      <c r="CE203" s="563">
        <v>1</v>
      </c>
      <c r="CF203" s="563">
        <v>3</v>
      </c>
      <c r="CG203" s="563">
        <v>14.111388999350796</v>
      </c>
      <c r="CH203" s="650">
        <v>10676.539959151998</v>
      </c>
      <c r="CI203" s="563">
        <v>2</v>
      </c>
      <c r="CJ203" s="563">
        <v>3</v>
      </c>
      <c r="CK203" s="563">
        <v>7.832078521546455</v>
      </c>
      <c r="CL203" s="650">
        <v>7690.9110007672862</v>
      </c>
      <c r="CM203" s="564">
        <v>4000</v>
      </c>
      <c r="CN203" s="565">
        <v>65.973445725385659</v>
      </c>
      <c r="CO203" s="649">
        <v>6.6133113670463599</v>
      </c>
      <c r="CP203" s="646">
        <v>13.023017417136234</v>
      </c>
      <c r="CQ203" s="646">
        <v>9.5499137263655262E-2</v>
      </c>
      <c r="CR203" s="646">
        <v>0.18025836884897428</v>
      </c>
      <c r="CS203" s="646">
        <v>12.931678036530473</v>
      </c>
      <c r="CT203" s="646">
        <v>0.18429420628737145</v>
      </c>
      <c r="CU203" s="646">
        <v>3500</v>
      </c>
      <c r="CV203" s="563" t="s">
        <v>1584</v>
      </c>
      <c r="CW203" s="563">
        <v>3</v>
      </c>
      <c r="CX203" s="563">
        <v>1</v>
      </c>
      <c r="CY203" s="563">
        <v>3</v>
      </c>
      <c r="CZ203" s="563">
        <v>14.111388999350796</v>
      </c>
      <c r="DA203" s="650">
        <v>10676.539959151998</v>
      </c>
      <c r="DB203" s="563">
        <v>2</v>
      </c>
      <c r="DC203" s="563">
        <v>3</v>
      </c>
      <c r="DD203" s="563">
        <v>7.832078521546455</v>
      </c>
      <c r="DE203" s="650">
        <v>7690.9110007672862</v>
      </c>
      <c r="DF203" s="564">
        <v>4000</v>
      </c>
      <c r="DG203" s="565">
        <v>65.973445725385659</v>
      </c>
      <c r="DH203" s="649">
        <v>4.4088742446975733</v>
      </c>
      <c r="DI203" s="646">
        <v>10.72666112608324</v>
      </c>
      <c r="DJ203" s="646">
        <v>6.3666091509103517E-2</v>
      </c>
      <c r="DK203" s="646">
        <v>0.12017224589931619</v>
      </c>
      <c r="DL203" s="646">
        <v>12.852195462473706</v>
      </c>
      <c r="DM203" s="646">
        <v>0.1452534021738168</v>
      </c>
      <c r="DN203" s="646">
        <v>2800</v>
      </c>
      <c r="DO203" s="563" t="s">
        <v>1585</v>
      </c>
      <c r="DP203" s="563">
        <v>2</v>
      </c>
      <c r="DQ203" s="563">
        <v>1</v>
      </c>
      <c r="DR203" s="563">
        <v>2</v>
      </c>
      <c r="DS203" s="563">
        <v>14.111388999350796</v>
      </c>
      <c r="DT203" s="650">
        <v>11836.843808337373</v>
      </c>
      <c r="DU203" s="563">
        <v>2</v>
      </c>
      <c r="DV203" s="563">
        <v>2</v>
      </c>
      <c r="DW203" s="563">
        <v>7.832078521546455</v>
      </c>
      <c r="DX203" s="650">
        <v>8526.742990538738</v>
      </c>
      <c r="DY203" s="564">
        <v>4000</v>
      </c>
      <c r="DZ203" s="565">
        <v>65.973445725385659</v>
      </c>
      <c r="EA203" s="649">
        <v>4.4088742446975733</v>
      </c>
      <c r="EB203" s="646">
        <v>10.72666112608324</v>
      </c>
      <c r="EC203" s="646">
        <v>6.3666091509103517E-2</v>
      </c>
      <c r="ED203" s="646">
        <v>0.12017224589931619</v>
      </c>
      <c r="EE203" s="646">
        <v>12.852195462473706</v>
      </c>
      <c r="EF203" s="646">
        <v>0.1452534021738168</v>
      </c>
      <c r="EG203" s="646">
        <v>3500</v>
      </c>
      <c r="EH203" s="563" t="s">
        <v>1585</v>
      </c>
      <c r="EI203" s="563">
        <v>2</v>
      </c>
      <c r="EJ203" s="563">
        <v>1</v>
      </c>
      <c r="EK203" s="563">
        <v>2</v>
      </c>
      <c r="EL203" s="563">
        <v>14.111388999350796</v>
      </c>
      <c r="EM203" s="650">
        <v>11836.843808337373</v>
      </c>
      <c r="EN203" s="563">
        <v>2</v>
      </c>
      <c r="EO203" s="563">
        <v>2</v>
      </c>
      <c r="EP203" s="563">
        <v>7.832078521546455</v>
      </c>
      <c r="EQ203" s="650">
        <v>8526.742990538738</v>
      </c>
      <c r="ER203" s="564">
        <v>4000</v>
      </c>
      <c r="ES203" s="565">
        <v>65.973445725385659</v>
      </c>
      <c r="ET203" s="649">
        <v>4.4088742446975733</v>
      </c>
      <c r="EU203" s="646">
        <v>10.602908911624477</v>
      </c>
      <c r="EV203" s="646">
        <v>0</v>
      </c>
      <c r="EW203" s="646">
        <v>6.0086122949658094E-2</v>
      </c>
      <c r="EX203" s="646">
        <v>12.644894780631763</v>
      </c>
      <c r="EY203" s="646">
        <v>0.14316889223546531</v>
      </c>
      <c r="EZ203" s="646">
        <v>2800</v>
      </c>
      <c r="FA203" s="563" t="s">
        <v>1586</v>
      </c>
      <c r="FB203" s="563">
        <v>2</v>
      </c>
      <c r="FC203" s="563">
        <v>0</v>
      </c>
      <c r="FD203" s="563">
        <v>0</v>
      </c>
      <c r="FE203" s="563">
        <v>0</v>
      </c>
      <c r="FF203" s="650">
        <v>5045.1123640585793</v>
      </c>
      <c r="FG203" s="563">
        <v>1</v>
      </c>
      <c r="FH203" s="563">
        <v>2</v>
      </c>
      <c r="FI203" s="563">
        <v>7.832078521546455</v>
      </c>
      <c r="FJ203" s="650">
        <v>8317.2209775843385</v>
      </c>
      <c r="FK203" s="564">
        <v>4000</v>
      </c>
      <c r="FL203" s="565">
        <v>65.973445725385659</v>
      </c>
      <c r="FM203" s="649">
        <v>4.4088742446975733</v>
      </c>
      <c r="FN203" s="646">
        <v>10.602908911624477</v>
      </c>
      <c r="FO203" s="646">
        <v>0</v>
      </c>
      <c r="FP203" s="646">
        <v>6.0086122949658094E-2</v>
      </c>
      <c r="FQ203" s="646">
        <v>12.644894780631763</v>
      </c>
      <c r="FR203" s="646">
        <v>0.14316889223546531</v>
      </c>
      <c r="FS203" s="646">
        <v>3500</v>
      </c>
      <c r="FT203" s="563" t="s">
        <v>1586</v>
      </c>
      <c r="FU203" s="563">
        <v>2</v>
      </c>
      <c r="FV203" s="563">
        <v>0</v>
      </c>
      <c r="FW203" s="563">
        <v>0</v>
      </c>
      <c r="FX203" s="563">
        <v>0</v>
      </c>
      <c r="FY203" s="650">
        <v>5045.1123640585793</v>
      </c>
      <c r="FZ203" s="563">
        <v>1</v>
      </c>
      <c r="GA203" s="563">
        <v>2</v>
      </c>
      <c r="GB203" s="563">
        <v>7.832078521546455</v>
      </c>
      <c r="GC203" s="650">
        <v>8317.2209775843385</v>
      </c>
      <c r="GD203" s="564">
        <v>4000</v>
      </c>
      <c r="GE203" s="565">
        <v>65.973445725385659</v>
      </c>
      <c r="GF203" s="649">
        <v>4.4088742446975733</v>
      </c>
      <c r="GG203" s="646">
        <v>10.602908911624477</v>
      </c>
      <c r="GH203" s="646">
        <v>0</v>
      </c>
      <c r="GI203" s="646">
        <v>6.0086122949658094E-2</v>
      </c>
      <c r="GJ203" s="646">
        <v>12.644894780631763</v>
      </c>
      <c r="GK203" s="646">
        <v>0.14316889223546531</v>
      </c>
      <c r="GL203" s="646">
        <v>2800</v>
      </c>
      <c r="GM203" s="563" t="s">
        <v>1587</v>
      </c>
      <c r="GN203" s="563">
        <v>2</v>
      </c>
      <c r="GO203" s="563">
        <v>0</v>
      </c>
      <c r="GP203" s="563">
        <v>0</v>
      </c>
      <c r="GQ203" s="563">
        <v>0</v>
      </c>
      <c r="GR203" s="650">
        <v>5936.5676290622123</v>
      </c>
      <c r="GS203" s="563">
        <v>1</v>
      </c>
      <c r="GT203" s="563">
        <v>2</v>
      </c>
      <c r="GU203" s="563">
        <v>7.832078521546455</v>
      </c>
      <c r="GV203" s="650">
        <v>9786.8473992844156</v>
      </c>
      <c r="GW203" s="564">
        <v>4000</v>
      </c>
      <c r="GX203" s="565">
        <v>65.973445725385659</v>
      </c>
      <c r="GY203" s="649">
        <v>4.4088742446975733</v>
      </c>
      <c r="GZ203" s="646">
        <v>10.602908911624477</v>
      </c>
      <c r="HA203" s="646">
        <v>0</v>
      </c>
      <c r="HB203" s="646">
        <v>6.0086122949658094E-2</v>
      </c>
      <c r="HC203" s="646">
        <v>12.644894780631763</v>
      </c>
      <c r="HD203" s="646">
        <v>0.14316889223546531</v>
      </c>
      <c r="HE203" s="646">
        <v>3500</v>
      </c>
      <c r="HF203" s="563" t="s">
        <v>1587</v>
      </c>
      <c r="HG203" s="563">
        <v>2</v>
      </c>
      <c r="HH203" s="563">
        <v>0</v>
      </c>
      <c r="HI203" s="563">
        <v>0</v>
      </c>
      <c r="HJ203" s="563">
        <v>0</v>
      </c>
      <c r="HK203" s="650">
        <v>5936.5676290622123</v>
      </c>
      <c r="HL203" s="563">
        <v>1</v>
      </c>
      <c r="HM203" s="563">
        <v>2</v>
      </c>
      <c r="HN203" s="563">
        <v>7.832078521546455</v>
      </c>
      <c r="HO203" s="650">
        <v>9786.8473992844156</v>
      </c>
      <c r="HP203" s="564">
        <v>4000</v>
      </c>
      <c r="HQ203" s="565">
        <v>65.973445725385659</v>
      </c>
      <c r="HR203" s="649">
        <v>4.4088742446975733</v>
      </c>
      <c r="HS203" s="646">
        <v>10.542822788674819</v>
      </c>
      <c r="HT203" s="646">
        <v>0</v>
      </c>
      <c r="HU203" s="646">
        <v>0</v>
      </c>
      <c r="HV203" s="646">
        <v>12.431998909194041</v>
      </c>
      <c r="HW203" s="646">
        <v>0.14175065734216988</v>
      </c>
      <c r="HX203" s="646">
        <v>2800</v>
      </c>
      <c r="HY203" s="563" t="s">
        <v>68</v>
      </c>
      <c r="HZ203" s="563">
        <v>2</v>
      </c>
      <c r="IA203" s="563">
        <v>0</v>
      </c>
      <c r="IB203" s="563">
        <v>0</v>
      </c>
      <c r="IC203" s="563">
        <v>0</v>
      </c>
      <c r="ID203" s="650">
        <v>5235.5605292716527</v>
      </c>
      <c r="IE203" s="563">
        <v>0</v>
      </c>
      <c r="IF203" s="563">
        <v>0</v>
      </c>
      <c r="IG203" s="563">
        <v>0</v>
      </c>
      <c r="IH203" s="650">
        <v>3690.5098943806584</v>
      </c>
      <c r="II203" s="564">
        <v>3690.5098943806584</v>
      </c>
      <c r="IJ203" s="565">
        <v>60.868913553980285</v>
      </c>
      <c r="IK203" s="649">
        <v>4.4088742446975733</v>
      </c>
      <c r="IL203" s="646">
        <v>10.542822788674819</v>
      </c>
      <c r="IM203" s="646">
        <v>0</v>
      </c>
      <c r="IN203" s="646">
        <v>0</v>
      </c>
      <c r="IO203" s="646">
        <v>12.431998909194041</v>
      </c>
      <c r="IP203" s="646">
        <v>0.14175065734216988</v>
      </c>
      <c r="IQ203" s="646">
        <v>3500</v>
      </c>
      <c r="IR203" s="563" t="s">
        <v>68</v>
      </c>
      <c r="IS203" s="563">
        <v>2</v>
      </c>
      <c r="IT203" s="563">
        <v>0</v>
      </c>
      <c r="IU203" s="563">
        <v>0</v>
      </c>
      <c r="IV203" s="563">
        <v>0</v>
      </c>
      <c r="IW203" s="650">
        <v>5235.5605292716527</v>
      </c>
      <c r="IX203" s="563">
        <v>0</v>
      </c>
      <c r="IY203" s="563">
        <v>0</v>
      </c>
      <c r="IZ203" s="563">
        <v>0</v>
      </c>
      <c r="JA203" s="650">
        <v>3690.5098943806584</v>
      </c>
      <c r="JB203" s="564">
        <v>3690.5098943806584</v>
      </c>
      <c r="JC203" s="565">
        <v>60.868913553980285</v>
      </c>
      <c r="JD203" s="649">
        <v>4.4088742446975733</v>
      </c>
      <c r="JE203" s="646">
        <v>10.542822788674819</v>
      </c>
      <c r="JF203" s="646">
        <v>0</v>
      </c>
      <c r="JG203" s="646">
        <v>0</v>
      </c>
      <c r="JH203" s="646">
        <v>12.431998909194041</v>
      </c>
      <c r="JI203" s="646">
        <v>0.14175065734216988</v>
      </c>
      <c r="JJ203" s="646">
        <v>2800</v>
      </c>
      <c r="JK203" s="563" t="s">
        <v>67</v>
      </c>
      <c r="JL203" s="563">
        <v>2</v>
      </c>
      <c r="JM203" s="563">
        <v>0</v>
      </c>
      <c r="JN203" s="563">
        <v>0</v>
      </c>
      <c r="JO203" s="563">
        <v>0</v>
      </c>
      <c r="JP203" s="650">
        <v>7134.8663289478318</v>
      </c>
      <c r="JQ203" s="563">
        <v>0</v>
      </c>
      <c r="JR203" s="563">
        <v>0</v>
      </c>
      <c r="JS203" s="563">
        <v>0</v>
      </c>
      <c r="JT203" s="650">
        <v>5029.3172306668885</v>
      </c>
      <c r="JU203" s="564">
        <v>4000</v>
      </c>
      <c r="JV203" s="565">
        <v>65.973445725385659</v>
      </c>
      <c r="JW203" s="649">
        <v>4.4088742446975733</v>
      </c>
      <c r="JX203" s="646">
        <v>10.542822788674819</v>
      </c>
      <c r="JY203" s="646">
        <v>0</v>
      </c>
      <c r="JZ203" s="646">
        <v>0</v>
      </c>
      <c r="KA203" s="646">
        <v>12.431998909194041</v>
      </c>
      <c r="KB203" s="646">
        <v>0.14175065734216988</v>
      </c>
      <c r="KC203" s="646">
        <v>3500</v>
      </c>
      <c r="KD203" s="563" t="s">
        <v>67</v>
      </c>
      <c r="KE203" s="563">
        <v>2</v>
      </c>
      <c r="KF203" s="563">
        <v>0</v>
      </c>
      <c r="KG203" s="563">
        <v>0</v>
      </c>
      <c r="KH203" s="563">
        <v>0</v>
      </c>
      <c r="KI203" s="650">
        <v>7134.8663289478318</v>
      </c>
      <c r="KJ203" s="563">
        <v>0</v>
      </c>
      <c r="KK203" s="563">
        <v>0</v>
      </c>
      <c r="KL203" s="563">
        <v>0</v>
      </c>
      <c r="KM203" s="650">
        <v>5029.3172306668885</v>
      </c>
      <c r="KN203" s="564">
        <v>4000</v>
      </c>
      <c r="KO203" s="566">
        <v>65.973445725385659</v>
      </c>
    </row>
    <row r="204" spans="1:301" ht="15" customHeight="1">
      <c r="A204" s="663" t="s">
        <v>953</v>
      </c>
      <c r="B204" s="629" t="s">
        <v>382</v>
      </c>
      <c r="C204" s="629">
        <v>190</v>
      </c>
      <c r="D204" s="629">
        <v>315</v>
      </c>
      <c r="E204" s="629">
        <v>0</v>
      </c>
      <c r="F204" s="629">
        <v>176.34107993830318</v>
      </c>
      <c r="G204" s="629">
        <v>37.502264187537214</v>
      </c>
      <c r="H204" s="629">
        <v>24.633890033307118</v>
      </c>
      <c r="I204" s="629">
        <v>100</v>
      </c>
      <c r="J204" s="629">
        <v>51.15</v>
      </c>
      <c r="K204" s="629">
        <v>25.61</v>
      </c>
      <c r="L204" s="629">
        <v>16</v>
      </c>
      <c r="M204" s="629">
        <v>281.64491968314798</v>
      </c>
      <c r="N204" s="629">
        <v>4</v>
      </c>
      <c r="O204" s="623">
        <v>2.447037568761711</v>
      </c>
      <c r="P204" s="629">
        <v>4</v>
      </c>
      <c r="Q204" s="623">
        <v>1.1424440954687454</v>
      </c>
      <c r="R204" s="629">
        <v>7</v>
      </c>
      <c r="S204" s="629">
        <v>230</v>
      </c>
      <c r="T204" s="645">
        <v>2.2830385782626896</v>
      </c>
      <c r="U204" s="645">
        <v>34.5</v>
      </c>
      <c r="V204" s="645">
        <v>47.5</v>
      </c>
      <c r="W204" s="793">
        <v>0.26142830148409818</v>
      </c>
      <c r="X204" s="646">
        <v>0</v>
      </c>
      <c r="Y204" s="646">
        <v>0</v>
      </c>
      <c r="Z204" s="646">
        <v>0</v>
      </c>
      <c r="AA204" s="646">
        <v>0</v>
      </c>
      <c r="AB204" s="647">
        <v>0.376895276495681</v>
      </c>
      <c r="AC204" s="784">
        <v>4000</v>
      </c>
      <c r="AD204" s="631"/>
      <c r="AE204" s="631"/>
      <c r="AF204" s="631"/>
      <c r="AG204" s="631"/>
      <c r="AH204" s="629"/>
      <c r="AI204" s="648">
        <v>0.81665881482681679</v>
      </c>
      <c r="AJ204" s="649">
        <v>4.4088742446975733</v>
      </c>
      <c r="AK204" s="646">
        <v>10.542822788674819</v>
      </c>
      <c r="AL204" s="646">
        <v>0</v>
      </c>
      <c r="AM204" s="646">
        <v>0</v>
      </c>
      <c r="AN204" s="646">
        <v>12.431998909194041</v>
      </c>
      <c r="AO204" s="646">
        <v>0.14175065734216988</v>
      </c>
      <c r="AP204" s="801">
        <v>2800</v>
      </c>
      <c r="AQ204" s="563" t="s">
        <v>67</v>
      </c>
      <c r="AR204" s="563">
        <v>2</v>
      </c>
      <c r="AS204" s="563">
        <v>0</v>
      </c>
      <c r="AT204" s="563">
        <v>0</v>
      </c>
      <c r="AU204" s="563">
        <v>0</v>
      </c>
      <c r="AV204" s="650">
        <v>7134.8663289478318</v>
      </c>
      <c r="AW204" s="563">
        <v>0</v>
      </c>
      <c r="AX204" s="563">
        <v>0</v>
      </c>
      <c r="AY204" s="563">
        <v>0</v>
      </c>
      <c r="AZ204" s="650">
        <v>5029.3172306668885</v>
      </c>
      <c r="BA204" s="564">
        <v>4000</v>
      </c>
      <c r="BB204" s="565">
        <v>65.973445725385659</v>
      </c>
      <c r="BC204" s="649">
        <v>4.4088742446975733</v>
      </c>
      <c r="BD204" s="646">
        <v>10.542822788674819</v>
      </c>
      <c r="BE204" s="646">
        <v>0</v>
      </c>
      <c r="BF204" s="646">
        <v>0</v>
      </c>
      <c r="BG204" s="646">
        <v>12.431998909194041</v>
      </c>
      <c r="BH204" s="646">
        <v>0.14175065734216988</v>
      </c>
      <c r="BI204" s="646">
        <v>3500</v>
      </c>
      <c r="BJ204" s="563" t="s">
        <v>67</v>
      </c>
      <c r="BK204" s="563">
        <v>2</v>
      </c>
      <c r="BL204" s="563">
        <v>0</v>
      </c>
      <c r="BM204" s="563">
        <v>0</v>
      </c>
      <c r="BN204" s="563">
        <v>0</v>
      </c>
      <c r="BO204" s="650">
        <v>7134.8663289478318</v>
      </c>
      <c r="BP204" s="563">
        <v>0</v>
      </c>
      <c r="BQ204" s="563">
        <v>0</v>
      </c>
      <c r="BR204" s="563">
        <v>0</v>
      </c>
      <c r="BS204" s="650">
        <v>5029.3172306668885</v>
      </c>
      <c r="BT204" s="564">
        <v>4000</v>
      </c>
      <c r="BU204" s="565">
        <v>65.973445725385659</v>
      </c>
      <c r="BV204" s="649">
        <v>6.6133113670463599</v>
      </c>
      <c r="BW204" s="646">
        <v>13.023017417136234</v>
      </c>
      <c r="BX204" s="646">
        <v>9.5499137263655262E-2</v>
      </c>
      <c r="BY204" s="646">
        <v>0.18025836884897428</v>
      </c>
      <c r="BZ204" s="646">
        <v>12.931678036530473</v>
      </c>
      <c r="CA204" s="646">
        <v>0.18429420628737145</v>
      </c>
      <c r="CB204" s="646">
        <v>2800</v>
      </c>
      <c r="CC204" s="563" t="s">
        <v>1584</v>
      </c>
      <c r="CD204" s="563">
        <v>3</v>
      </c>
      <c r="CE204" s="563">
        <v>1</v>
      </c>
      <c r="CF204" s="563">
        <v>3</v>
      </c>
      <c r="CG204" s="563">
        <v>14.111388999350796</v>
      </c>
      <c r="CH204" s="650">
        <v>10676.539959151998</v>
      </c>
      <c r="CI204" s="563">
        <v>2</v>
      </c>
      <c r="CJ204" s="563">
        <v>3</v>
      </c>
      <c r="CK204" s="563">
        <v>7.832078521546455</v>
      </c>
      <c r="CL204" s="650">
        <v>7690.9110007672862</v>
      </c>
      <c r="CM204" s="564">
        <v>4000</v>
      </c>
      <c r="CN204" s="565">
        <v>65.973445725385659</v>
      </c>
      <c r="CO204" s="649">
        <v>6.6133113670463599</v>
      </c>
      <c r="CP204" s="646">
        <v>13.023017417136234</v>
      </c>
      <c r="CQ204" s="646">
        <v>9.5499137263655262E-2</v>
      </c>
      <c r="CR204" s="646">
        <v>0.18025836884897428</v>
      </c>
      <c r="CS204" s="646">
        <v>12.931678036530473</v>
      </c>
      <c r="CT204" s="646">
        <v>0.18429420628737145</v>
      </c>
      <c r="CU204" s="646">
        <v>3500</v>
      </c>
      <c r="CV204" s="563" t="s">
        <v>1584</v>
      </c>
      <c r="CW204" s="563">
        <v>3</v>
      </c>
      <c r="CX204" s="563">
        <v>1</v>
      </c>
      <c r="CY204" s="563">
        <v>3</v>
      </c>
      <c r="CZ204" s="563">
        <v>14.111388999350796</v>
      </c>
      <c r="DA204" s="650">
        <v>10676.539959151998</v>
      </c>
      <c r="DB204" s="563">
        <v>2</v>
      </c>
      <c r="DC204" s="563">
        <v>3</v>
      </c>
      <c r="DD204" s="563">
        <v>7.832078521546455</v>
      </c>
      <c r="DE204" s="650">
        <v>7690.9110007672862</v>
      </c>
      <c r="DF204" s="564">
        <v>4000</v>
      </c>
      <c r="DG204" s="565">
        <v>65.973445725385659</v>
      </c>
      <c r="DH204" s="649">
        <v>4.4088742446975733</v>
      </c>
      <c r="DI204" s="646">
        <v>10.72666112608324</v>
      </c>
      <c r="DJ204" s="646">
        <v>6.3666091509103517E-2</v>
      </c>
      <c r="DK204" s="646">
        <v>0.12017224589931619</v>
      </c>
      <c r="DL204" s="646">
        <v>12.852195462473706</v>
      </c>
      <c r="DM204" s="646">
        <v>0.1452534021738168</v>
      </c>
      <c r="DN204" s="646">
        <v>2800</v>
      </c>
      <c r="DO204" s="563" t="s">
        <v>1585</v>
      </c>
      <c r="DP204" s="563">
        <v>2</v>
      </c>
      <c r="DQ204" s="563">
        <v>1</v>
      </c>
      <c r="DR204" s="563">
        <v>2</v>
      </c>
      <c r="DS204" s="563">
        <v>14.111388999350796</v>
      </c>
      <c r="DT204" s="650">
        <v>11836.843808337373</v>
      </c>
      <c r="DU204" s="563">
        <v>2</v>
      </c>
      <c r="DV204" s="563">
        <v>2</v>
      </c>
      <c r="DW204" s="563">
        <v>7.832078521546455</v>
      </c>
      <c r="DX204" s="650">
        <v>8526.742990538738</v>
      </c>
      <c r="DY204" s="564">
        <v>4000</v>
      </c>
      <c r="DZ204" s="565">
        <v>65.973445725385659</v>
      </c>
      <c r="EA204" s="649">
        <v>4.4088742446975733</v>
      </c>
      <c r="EB204" s="646">
        <v>10.72666112608324</v>
      </c>
      <c r="EC204" s="646">
        <v>6.3666091509103517E-2</v>
      </c>
      <c r="ED204" s="646">
        <v>0.12017224589931619</v>
      </c>
      <c r="EE204" s="646">
        <v>12.852195462473706</v>
      </c>
      <c r="EF204" s="646">
        <v>0.1452534021738168</v>
      </c>
      <c r="EG204" s="646">
        <v>3500</v>
      </c>
      <c r="EH204" s="563" t="s">
        <v>1585</v>
      </c>
      <c r="EI204" s="563">
        <v>2</v>
      </c>
      <c r="EJ204" s="563">
        <v>1</v>
      </c>
      <c r="EK204" s="563">
        <v>2</v>
      </c>
      <c r="EL204" s="563">
        <v>14.111388999350796</v>
      </c>
      <c r="EM204" s="650">
        <v>11836.843808337373</v>
      </c>
      <c r="EN204" s="563">
        <v>2</v>
      </c>
      <c r="EO204" s="563">
        <v>2</v>
      </c>
      <c r="EP204" s="563">
        <v>7.832078521546455</v>
      </c>
      <c r="EQ204" s="650">
        <v>8526.742990538738</v>
      </c>
      <c r="ER204" s="564">
        <v>4000</v>
      </c>
      <c r="ES204" s="565">
        <v>65.973445725385659</v>
      </c>
      <c r="ET204" s="649">
        <v>4.4088742446975733</v>
      </c>
      <c r="EU204" s="646">
        <v>10.602908911624477</v>
      </c>
      <c r="EV204" s="646">
        <v>0</v>
      </c>
      <c r="EW204" s="646">
        <v>6.0086122949658094E-2</v>
      </c>
      <c r="EX204" s="646">
        <v>12.644894780631763</v>
      </c>
      <c r="EY204" s="646">
        <v>0.14316889223546531</v>
      </c>
      <c r="EZ204" s="646">
        <v>2800</v>
      </c>
      <c r="FA204" s="563" t="s">
        <v>1586</v>
      </c>
      <c r="FB204" s="563">
        <v>2</v>
      </c>
      <c r="FC204" s="563">
        <v>0</v>
      </c>
      <c r="FD204" s="563">
        <v>0</v>
      </c>
      <c r="FE204" s="563">
        <v>0</v>
      </c>
      <c r="FF204" s="650">
        <v>5045.1123640585793</v>
      </c>
      <c r="FG204" s="563">
        <v>1</v>
      </c>
      <c r="FH204" s="563">
        <v>2</v>
      </c>
      <c r="FI204" s="563">
        <v>7.832078521546455</v>
      </c>
      <c r="FJ204" s="650">
        <v>8317.2209775843385</v>
      </c>
      <c r="FK204" s="564">
        <v>4000</v>
      </c>
      <c r="FL204" s="565">
        <v>65.973445725385659</v>
      </c>
      <c r="FM204" s="649">
        <v>4.4088742446975733</v>
      </c>
      <c r="FN204" s="646">
        <v>10.602908911624477</v>
      </c>
      <c r="FO204" s="646">
        <v>0</v>
      </c>
      <c r="FP204" s="646">
        <v>6.0086122949658094E-2</v>
      </c>
      <c r="FQ204" s="646">
        <v>12.644894780631763</v>
      </c>
      <c r="FR204" s="646">
        <v>0.14316889223546531</v>
      </c>
      <c r="FS204" s="646">
        <v>3500</v>
      </c>
      <c r="FT204" s="563" t="s">
        <v>1586</v>
      </c>
      <c r="FU204" s="563">
        <v>2</v>
      </c>
      <c r="FV204" s="563">
        <v>0</v>
      </c>
      <c r="FW204" s="563">
        <v>0</v>
      </c>
      <c r="FX204" s="563">
        <v>0</v>
      </c>
      <c r="FY204" s="650">
        <v>5045.1123640585793</v>
      </c>
      <c r="FZ204" s="563">
        <v>1</v>
      </c>
      <c r="GA204" s="563">
        <v>2</v>
      </c>
      <c r="GB204" s="563">
        <v>7.832078521546455</v>
      </c>
      <c r="GC204" s="650">
        <v>8317.2209775843385</v>
      </c>
      <c r="GD204" s="564">
        <v>4000</v>
      </c>
      <c r="GE204" s="565">
        <v>65.973445725385659</v>
      </c>
      <c r="GF204" s="649">
        <v>4.4088742446975733</v>
      </c>
      <c r="GG204" s="646">
        <v>10.602908911624477</v>
      </c>
      <c r="GH204" s="646">
        <v>0</v>
      </c>
      <c r="GI204" s="646">
        <v>6.0086122949658094E-2</v>
      </c>
      <c r="GJ204" s="646">
        <v>12.644894780631763</v>
      </c>
      <c r="GK204" s="646">
        <v>0.14316889223546531</v>
      </c>
      <c r="GL204" s="646">
        <v>2800</v>
      </c>
      <c r="GM204" s="563" t="s">
        <v>1587</v>
      </c>
      <c r="GN204" s="563">
        <v>2</v>
      </c>
      <c r="GO204" s="563">
        <v>0</v>
      </c>
      <c r="GP204" s="563">
        <v>0</v>
      </c>
      <c r="GQ204" s="563">
        <v>0</v>
      </c>
      <c r="GR204" s="650">
        <v>5936.5676290622123</v>
      </c>
      <c r="GS204" s="563">
        <v>1</v>
      </c>
      <c r="GT204" s="563">
        <v>2</v>
      </c>
      <c r="GU204" s="563">
        <v>7.832078521546455</v>
      </c>
      <c r="GV204" s="650">
        <v>9786.8473992844156</v>
      </c>
      <c r="GW204" s="564">
        <v>4000</v>
      </c>
      <c r="GX204" s="565">
        <v>65.973445725385659</v>
      </c>
      <c r="GY204" s="649">
        <v>4.4088742446975733</v>
      </c>
      <c r="GZ204" s="646">
        <v>10.602908911624477</v>
      </c>
      <c r="HA204" s="646">
        <v>0</v>
      </c>
      <c r="HB204" s="646">
        <v>6.0086122949658094E-2</v>
      </c>
      <c r="HC204" s="646">
        <v>12.644894780631763</v>
      </c>
      <c r="HD204" s="646">
        <v>0.14316889223546531</v>
      </c>
      <c r="HE204" s="646">
        <v>3500</v>
      </c>
      <c r="HF204" s="563" t="s">
        <v>1587</v>
      </c>
      <c r="HG204" s="563">
        <v>2</v>
      </c>
      <c r="HH204" s="563">
        <v>0</v>
      </c>
      <c r="HI204" s="563">
        <v>0</v>
      </c>
      <c r="HJ204" s="563">
        <v>0</v>
      </c>
      <c r="HK204" s="650">
        <v>5936.5676290622123</v>
      </c>
      <c r="HL204" s="563">
        <v>1</v>
      </c>
      <c r="HM204" s="563">
        <v>2</v>
      </c>
      <c r="HN204" s="563">
        <v>7.832078521546455</v>
      </c>
      <c r="HO204" s="650">
        <v>9786.8473992844156</v>
      </c>
      <c r="HP204" s="564">
        <v>4000</v>
      </c>
      <c r="HQ204" s="565">
        <v>65.973445725385659</v>
      </c>
      <c r="HR204" s="649">
        <v>4.4088742446975733</v>
      </c>
      <c r="HS204" s="646">
        <v>10.542822788674819</v>
      </c>
      <c r="HT204" s="646">
        <v>0</v>
      </c>
      <c r="HU204" s="646">
        <v>0</v>
      </c>
      <c r="HV204" s="646">
        <v>12.431998909194041</v>
      </c>
      <c r="HW204" s="646">
        <v>0.14175065734216988</v>
      </c>
      <c r="HX204" s="646">
        <v>2800</v>
      </c>
      <c r="HY204" s="563" t="s">
        <v>68</v>
      </c>
      <c r="HZ204" s="563">
        <v>2</v>
      </c>
      <c r="IA204" s="563">
        <v>0</v>
      </c>
      <c r="IB204" s="563">
        <v>0</v>
      </c>
      <c r="IC204" s="563">
        <v>0</v>
      </c>
      <c r="ID204" s="650">
        <v>5235.5605292716527</v>
      </c>
      <c r="IE204" s="563">
        <v>0</v>
      </c>
      <c r="IF204" s="563">
        <v>0</v>
      </c>
      <c r="IG204" s="563">
        <v>0</v>
      </c>
      <c r="IH204" s="650">
        <v>3690.5098943806584</v>
      </c>
      <c r="II204" s="564">
        <v>3690.5098943806584</v>
      </c>
      <c r="IJ204" s="565">
        <v>60.868913553980285</v>
      </c>
      <c r="IK204" s="649">
        <v>4.4088742446975733</v>
      </c>
      <c r="IL204" s="646">
        <v>10.542822788674819</v>
      </c>
      <c r="IM204" s="646">
        <v>0</v>
      </c>
      <c r="IN204" s="646">
        <v>0</v>
      </c>
      <c r="IO204" s="646">
        <v>12.431998909194041</v>
      </c>
      <c r="IP204" s="646">
        <v>0.14175065734216988</v>
      </c>
      <c r="IQ204" s="646">
        <v>3500</v>
      </c>
      <c r="IR204" s="563" t="s">
        <v>68</v>
      </c>
      <c r="IS204" s="563">
        <v>2</v>
      </c>
      <c r="IT204" s="563">
        <v>0</v>
      </c>
      <c r="IU204" s="563">
        <v>0</v>
      </c>
      <c r="IV204" s="563">
        <v>0</v>
      </c>
      <c r="IW204" s="650">
        <v>5235.5605292716527</v>
      </c>
      <c r="IX204" s="563">
        <v>0</v>
      </c>
      <c r="IY204" s="563">
        <v>0</v>
      </c>
      <c r="IZ204" s="563">
        <v>0</v>
      </c>
      <c r="JA204" s="650">
        <v>3690.5098943806584</v>
      </c>
      <c r="JB204" s="564">
        <v>3690.5098943806584</v>
      </c>
      <c r="JC204" s="565">
        <v>60.868913553980285</v>
      </c>
      <c r="JD204" s="649">
        <v>4.4088742446975733</v>
      </c>
      <c r="JE204" s="646">
        <v>10.542822788674819</v>
      </c>
      <c r="JF204" s="646">
        <v>0</v>
      </c>
      <c r="JG204" s="646">
        <v>0</v>
      </c>
      <c r="JH204" s="646">
        <v>12.431998909194041</v>
      </c>
      <c r="JI204" s="646">
        <v>0.14175065734216988</v>
      </c>
      <c r="JJ204" s="646">
        <v>2800</v>
      </c>
      <c r="JK204" s="563" t="s">
        <v>67</v>
      </c>
      <c r="JL204" s="563">
        <v>2</v>
      </c>
      <c r="JM204" s="563">
        <v>0</v>
      </c>
      <c r="JN204" s="563">
        <v>0</v>
      </c>
      <c r="JO204" s="563">
        <v>0</v>
      </c>
      <c r="JP204" s="650">
        <v>7134.8663289478318</v>
      </c>
      <c r="JQ204" s="563">
        <v>0</v>
      </c>
      <c r="JR204" s="563">
        <v>0</v>
      </c>
      <c r="JS204" s="563">
        <v>0</v>
      </c>
      <c r="JT204" s="650">
        <v>5029.3172306668885</v>
      </c>
      <c r="JU204" s="564">
        <v>4000</v>
      </c>
      <c r="JV204" s="565">
        <v>65.973445725385659</v>
      </c>
      <c r="JW204" s="649">
        <v>4.4088742446975733</v>
      </c>
      <c r="JX204" s="646">
        <v>10.542822788674819</v>
      </c>
      <c r="JY204" s="646">
        <v>0</v>
      </c>
      <c r="JZ204" s="646">
        <v>0</v>
      </c>
      <c r="KA204" s="646">
        <v>12.431998909194041</v>
      </c>
      <c r="KB204" s="646">
        <v>0.14175065734216988</v>
      </c>
      <c r="KC204" s="646">
        <v>3500</v>
      </c>
      <c r="KD204" s="563" t="s">
        <v>67</v>
      </c>
      <c r="KE204" s="563">
        <v>2</v>
      </c>
      <c r="KF204" s="563">
        <v>0</v>
      </c>
      <c r="KG204" s="563">
        <v>0</v>
      </c>
      <c r="KH204" s="563">
        <v>0</v>
      </c>
      <c r="KI204" s="650">
        <v>7134.8663289478318</v>
      </c>
      <c r="KJ204" s="563">
        <v>0</v>
      </c>
      <c r="KK204" s="563">
        <v>0</v>
      </c>
      <c r="KL204" s="563">
        <v>0</v>
      </c>
      <c r="KM204" s="650">
        <v>5029.3172306668885</v>
      </c>
      <c r="KN204" s="564">
        <v>4000</v>
      </c>
      <c r="KO204" s="566">
        <v>65.973445725385659</v>
      </c>
    </row>
    <row r="205" spans="1:301" ht="15" customHeight="1">
      <c r="A205" s="663" t="s">
        <v>954</v>
      </c>
      <c r="B205" s="629" t="s">
        <v>382</v>
      </c>
      <c r="C205" s="629">
        <v>190</v>
      </c>
      <c r="D205" s="629">
        <v>365</v>
      </c>
      <c r="E205" s="629">
        <v>0</v>
      </c>
      <c r="F205" s="629">
        <v>176.34107993830318</v>
      </c>
      <c r="G205" s="629">
        <v>28</v>
      </c>
      <c r="H205" s="629">
        <v>24.633890033307118</v>
      </c>
      <c r="I205" s="629">
        <v>100</v>
      </c>
      <c r="J205" s="629">
        <v>50.88</v>
      </c>
      <c r="K205" s="629">
        <v>20.45</v>
      </c>
      <c r="L205" s="629">
        <v>16</v>
      </c>
      <c r="M205" s="629">
        <v>270</v>
      </c>
      <c r="N205" s="629">
        <v>2</v>
      </c>
      <c r="O205" s="623">
        <v>1.6427643240024132</v>
      </c>
      <c r="P205" s="629">
        <v>3</v>
      </c>
      <c r="Q205" s="623">
        <v>1.1652559851246242</v>
      </c>
      <c r="R205" s="629">
        <v>9</v>
      </c>
      <c r="S205" s="629">
        <v>265</v>
      </c>
      <c r="T205" s="645">
        <v>3.8966715026369871</v>
      </c>
      <c r="U205" s="645">
        <v>39.75</v>
      </c>
      <c r="V205" s="645">
        <v>47.5</v>
      </c>
      <c r="W205" s="793">
        <v>0.3470473057036067</v>
      </c>
      <c r="X205" s="646">
        <v>0</v>
      </c>
      <c r="Y205" s="646">
        <v>0</v>
      </c>
      <c r="Z205" s="646">
        <v>0</v>
      </c>
      <c r="AA205" s="646">
        <v>0</v>
      </c>
      <c r="AB205" s="647">
        <v>0.32055751451073855</v>
      </c>
      <c r="AC205" s="784">
        <v>4000</v>
      </c>
      <c r="AD205" s="631"/>
      <c r="AE205" s="631"/>
      <c r="AF205" s="631"/>
      <c r="AG205" s="631"/>
      <c r="AH205" s="629"/>
      <c r="AI205" s="648">
        <v>0.90025133882109121</v>
      </c>
      <c r="AJ205" s="649">
        <v>4.2265844788095119</v>
      </c>
      <c r="AK205" s="646">
        <v>11.278323596277144</v>
      </c>
      <c r="AL205" s="646">
        <v>0</v>
      </c>
      <c r="AM205" s="646">
        <v>0</v>
      </c>
      <c r="AN205" s="646">
        <v>10.644451062877415</v>
      </c>
      <c r="AO205" s="646">
        <v>0.18065484754824118</v>
      </c>
      <c r="AP205" s="801">
        <v>2600</v>
      </c>
      <c r="AQ205" s="563" t="s">
        <v>67</v>
      </c>
      <c r="AR205" s="563">
        <v>2</v>
      </c>
      <c r="AS205" s="563">
        <v>0</v>
      </c>
      <c r="AT205" s="563">
        <v>0</v>
      </c>
      <c r="AU205" s="563">
        <v>0</v>
      </c>
      <c r="AV205" s="650">
        <v>6434.9684550512393</v>
      </c>
      <c r="AW205" s="563">
        <v>0</v>
      </c>
      <c r="AX205" s="563">
        <v>0</v>
      </c>
      <c r="AY205" s="563">
        <v>0</v>
      </c>
      <c r="AZ205" s="650">
        <v>4583.5090304889382</v>
      </c>
      <c r="BA205" s="564">
        <v>4000</v>
      </c>
      <c r="BB205" s="565">
        <v>76.445421237351638</v>
      </c>
      <c r="BC205" s="649">
        <v>4.2265844788095119</v>
      </c>
      <c r="BD205" s="646">
        <v>11.278323596277144</v>
      </c>
      <c r="BE205" s="646">
        <v>0</v>
      </c>
      <c r="BF205" s="646">
        <v>0</v>
      </c>
      <c r="BG205" s="646">
        <v>10.644451062877415</v>
      </c>
      <c r="BH205" s="646">
        <v>0.18065484754824118</v>
      </c>
      <c r="BI205" s="646">
        <v>3250</v>
      </c>
      <c r="BJ205" s="563" t="s">
        <v>67</v>
      </c>
      <c r="BK205" s="563">
        <v>2</v>
      </c>
      <c r="BL205" s="563">
        <v>0</v>
      </c>
      <c r="BM205" s="563">
        <v>0</v>
      </c>
      <c r="BN205" s="563">
        <v>0</v>
      </c>
      <c r="BO205" s="650">
        <v>6434.9684550512393</v>
      </c>
      <c r="BP205" s="563">
        <v>0</v>
      </c>
      <c r="BQ205" s="563">
        <v>0</v>
      </c>
      <c r="BR205" s="563">
        <v>0</v>
      </c>
      <c r="BS205" s="650">
        <v>4583.5090304889382</v>
      </c>
      <c r="BT205" s="564">
        <v>4000</v>
      </c>
      <c r="BU205" s="565">
        <v>76.445421237351638</v>
      </c>
      <c r="BV205" s="649">
        <v>6.3398767182142679</v>
      </c>
      <c r="BW205" s="646">
        <v>13.673056647479999</v>
      </c>
      <c r="BX205" s="646">
        <v>0.10107052221612473</v>
      </c>
      <c r="BY205" s="646">
        <v>0.18037028958197437</v>
      </c>
      <c r="BZ205" s="646">
        <v>11.43447778237581</v>
      </c>
      <c r="CA205" s="646">
        <v>0.23224086062690832</v>
      </c>
      <c r="CB205" s="646">
        <v>2600</v>
      </c>
      <c r="CC205" s="563" t="s">
        <v>1584</v>
      </c>
      <c r="CD205" s="563">
        <v>3</v>
      </c>
      <c r="CE205" s="563">
        <v>1</v>
      </c>
      <c r="CF205" s="563">
        <v>3</v>
      </c>
      <c r="CG205" s="563">
        <v>14.969761264941305</v>
      </c>
      <c r="CH205" s="650">
        <v>8867.6189718378955</v>
      </c>
      <c r="CI205" s="563">
        <v>2</v>
      </c>
      <c r="CJ205" s="563">
        <v>3</v>
      </c>
      <c r="CK205" s="563">
        <v>6.7415646948697345</v>
      </c>
      <c r="CL205" s="650">
        <v>6316.1305269026243</v>
      </c>
      <c r="CM205" s="564">
        <v>4000</v>
      </c>
      <c r="CN205" s="565">
        <v>76.445421237351638</v>
      </c>
      <c r="CO205" s="649">
        <v>6.3398767182142679</v>
      </c>
      <c r="CP205" s="646">
        <v>13.673056647479999</v>
      </c>
      <c r="CQ205" s="646">
        <v>0.10107052221612473</v>
      </c>
      <c r="CR205" s="646">
        <v>0.18037028958197437</v>
      </c>
      <c r="CS205" s="646">
        <v>11.43447778237581</v>
      </c>
      <c r="CT205" s="646">
        <v>0.23224086062690832</v>
      </c>
      <c r="CU205" s="646">
        <v>3250</v>
      </c>
      <c r="CV205" s="563" t="s">
        <v>1584</v>
      </c>
      <c r="CW205" s="563">
        <v>3</v>
      </c>
      <c r="CX205" s="563">
        <v>1</v>
      </c>
      <c r="CY205" s="563">
        <v>3</v>
      </c>
      <c r="CZ205" s="563">
        <v>14.969761264941305</v>
      </c>
      <c r="DA205" s="650">
        <v>8867.6189718378955</v>
      </c>
      <c r="DB205" s="563">
        <v>2</v>
      </c>
      <c r="DC205" s="563">
        <v>3</v>
      </c>
      <c r="DD205" s="563">
        <v>6.7415646948697345</v>
      </c>
      <c r="DE205" s="650">
        <v>6316.1305269026243</v>
      </c>
      <c r="DF205" s="564">
        <v>4000</v>
      </c>
      <c r="DG205" s="565">
        <v>76.445421237351638</v>
      </c>
      <c r="DH205" s="649">
        <v>4.2265844788095119</v>
      </c>
      <c r="DI205" s="646">
        <v>11.465950804142542</v>
      </c>
      <c r="DJ205" s="646">
        <v>6.7380348144083141E-2</v>
      </c>
      <c r="DK205" s="646">
        <v>0.12024685972131624</v>
      </c>
      <c r="DL205" s="646">
        <v>11.067013001257738</v>
      </c>
      <c r="DM205" s="646">
        <v>0.1852260888975851</v>
      </c>
      <c r="DN205" s="646">
        <v>2600</v>
      </c>
      <c r="DO205" s="563" t="s">
        <v>1585</v>
      </c>
      <c r="DP205" s="563">
        <v>2</v>
      </c>
      <c r="DQ205" s="563">
        <v>1</v>
      </c>
      <c r="DR205" s="563">
        <v>2</v>
      </c>
      <c r="DS205" s="563">
        <v>14.969761264941305</v>
      </c>
      <c r="DT205" s="650">
        <v>9831.3331025861135</v>
      </c>
      <c r="DU205" s="563">
        <v>2</v>
      </c>
      <c r="DV205" s="563">
        <v>2</v>
      </c>
      <c r="DW205" s="563">
        <v>6.7415646948697345</v>
      </c>
      <c r="DX205" s="650">
        <v>7002.5542737683145</v>
      </c>
      <c r="DY205" s="564">
        <v>4000</v>
      </c>
      <c r="DZ205" s="565">
        <v>76.445421237351638</v>
      </c>
      <c r="EA205" s="649">
        <v>4.2265844788095119</v>
      </c>
      <c r="EB205" s="646">
        <v>11.465950804142542</v>
      </c>
      <c r="EC205" s="646">
        <v>6.7380348144083141E-2</v>
      </c>
      <c r="ED205" s="646">
        <v>0.12024685972131624</v>
      </c>
      <c r="EE205" s="646">
        <v>11.067013001257738</v>
      </c>
      <c r="EF205" s="646">
        <v>0.1852260888975851</v>
      </c>
      <c r="EG205" s="646">
        <v>3250</v>
      </c>
      <c r="EH205" s="563" t="s">
        <v>1585</v>
      </c>
      <c r="EI205" s="563">
        <v>2</v>
      </c>
      <c r="EJ205" s="563">
        <v>1</v>
      </c>
      <c r="EK205" s="563">
        <v>2</v>
      </c>
      <c r="EL205" s="563">
        <v>14.969761264941305</v>
      </c>
      <c r="EM205" s="650">
        <v>9831.3331025861135</v>
      </c>
      <c r="EN205" s="563">
        <v>2</v>
      </c>
      <c r="EO205" s="563">
        <v>2</v>
      </c>
      <c r="EP205" s="563">
        <v>6.7415646948697345</v>
      </c>
      <c r="EQ205" s="650">
        <v>7002.5542737683145</v>
      </c>
      <c r="ER205" s="564">
        <v>4000</v>
      </c>
      <c r="ES205" s="565">
        <v>76.445421237351638</v>
      </c>
      <c r="ET205" s="649">
        <v>4.2265844788095119</v>
      </c>
      <c r="EU205" s="646">
        <v>11.39857045599846</v>
      </c>
      <c r="EV205" s="646">
        <v>0</v>
      </c>
      <c r="EW205" s="646">
        <v>0.12024685972131624</v>
      </c>
      <c r="EX205" s="646">
        <v>11.059624280480961</v>
      </c>
      <c r="EY205" s="646">
        <v>0.18451460806412209</v>
      </c>
      <c r="EZ205" s="646">
        <v>2600</v>
      </c>
      <c r="FA205" s="563" t="s">
        <v>1587</v>
      </c>
      <c r="FB205" s="563">
        <v>2</v>
      </c>
      <c r="FC205" s="563">
        <v>0</v>
      </c>
      <c r="FD205" s="563">
        <v>0</v>
      </c>
      <c r="FE205" s="563">
        <v>0</v>
      </c>
      <c r="FF205" s="650">
        <v>5354.2173970801223</v>
      </c>
      <c r="FG205" s="563">
        <v>1</v>
      </c>
      <c r="FH205" s="563">
        <v>4</v>
      </c>
      <c r="FI205" s="563">
        <v>6.7415646948697345</v>
      </c>
      <c r="FJ205" s="650">
        <v>9518.870788416858</v>
      </c>
      <c r="FK205" s="564">
        <v>4000</v>
      </c>
      <c r="FL205" s="565">
        <v>76.445421237351638</v>
      </c>
      <c r="FM205" s="649">
        <v>4.2265844788095119</v>
      </c>
      <c r="FN205" s="646">
        <v>11.39857045599846</v>
      </c>
      <c r="FO205" s="646">
        <v>0</v>
      </c>
      <c r="FP205" s="646">
        <v>0.12024685972131624</v>
      </c>
      <c r="FQ205" s="646">
        <v>11.059624280480961</v>
      </c>
      <c r="FR205" s="646">
        <v>0.18451460806412209</v>
      </c>
      <c r="FS205" s="646">
        <v>3250</v>
      </c>
      <c r="FT205" s="563" t="s">
        <v>1587</v>
      </c>
      <c r="FU205" s="563">
        <v>2</v>
      </c>
      <c r="FV205" s="563">
        <v>0</v>
      </c>
      <c r="FW205" s="563">
        <v>0</v>
      </c>
      <c r="FX205" s="563">
        <v>0</v>
      </c>
      <c r="FY205" s="650">
        <v>5354.2173970801223</v>
      </c>
      <c r="FZ205" s="563">
        <v>1</v>
      </c>
      <c r="GA205" s="563">
        <v>4</v>
      </c>
      <c r="GB205" s="563">
        <v>6.7415646948697345</v>
      </c>
      <c r="GC205" s="650">
        <v>9518.870788416858</v>
      </c>
      <c r="GD205" s="564">
        <v>4000</v>
      </c>
      <c r="GE205" s="565">
        <v>76.445421237351638</v>
      </c>
      <c r="GF205" s="649">
        <v>4.2265844788095119</v>
      </c>
      <c r="GG205" s="646">
        <v>11.39857045599846</v>
      </c>
      <c r="GH205" s="646">
        <v>0</v>
      </c>
      <c r="GI205" s="646">
        <v>0.12024685972131624</v>
      </c>
      <c r="GJ205" s="646">
        <v>11.059624280480961</v>
      </c>
      <c r="GK205" s="646">
        <v>0.18451460806412209</v>
      </c>
      <c r="GL205" s="646">
        <v>2600</v>
      </c>
      <c r="GM205" s="563" t="s">
        <v>1587</v>
      </c>
      <c r="GN205" s="563">
        <v>2</v>
      </c>
      <c r="GO205" s="563">
        <v>0</v>
      </c>
      <c r="GP205" s="563">
        <v>0</v>
      </c>
      <c r="GQ205" s="563">
        <v>0</v>
      </c>
      <c r="GR205" s="650">
        <v>5354.2173970801223</v>
      </c>
      <c r="GS205" s="563">
        <v>1</v>
      </c>
      <c r="GT205" s="563">
        <v>4</v>
      </c>
      <c r="GU205" s="563">
        <v>6.7415646948697345</v>
      </c>
      <c r="GV205" s="650">
        <v>9518.870788416858</v>
      </c>
      <c r="GW205" s="564">
        <v>4000</v>
      </c>
      <c r="GX205" s="565">
        <v>76.445421237351638</v>
      </c>
      <c r="GY205" s="649">
        <v>4.2265844788095119</v>
      </c>
      <c r="GZ205" s="646">
        <v>11.39857045599846</v>
      </c>
      <c r="HA205" s="646">
        <v>0</v>
      </c>
      <c r="HB205" s="646">
        <v>0.12024685972131624</v>
      </c>
      <c r="HC205" s="646">
        <v>11.059624280480961</v>
      </c>
      <c r="HD205" s="646">
        <v>0.18451460806412209</v>
      </c>
      <c r="HE205" s="646">
        <v>3250</v>
      </c>
      <c r="HF205" s="563" t="s">
        <v>1587</v>
      </c>
      <c r="HG205" s="563">
        <v>2</v>
      </c>
      <c r="HH205" s="563">
        <v>0</v>
      </c>
      <c r="HI205" s="563">
        <v>0</v>
      </c>
      <c r="HJ205" s="563">
        <v>0</v>
      </c>
      <c r="HK205" s="650">
        <v>5354.2173970801223</v>
      </c>
      <c r="HL205" s="563">
        <v>1</v>
      </c>
      <c r="HM205" s="563">
        <v>4</v>
      </c>
      <c r="HN205" s="563">
        <v>6.7415646948697345</v>
      </c>
      <c r="HO205" s="650">
        <v>9518.870788416858</v>
      </c>
      <c r="HP205" s="564">
        <v>4000</v>
      </c>
      <c r="HQ205" s="565">
        <v>76.445421237351638</v>
      </c>
      <c r="HR205" s="649">
        <v>4.2265844788095119</v>
      </c>
      <c r="HS205" s="646">
        <v>11.278323596277144</v>
      </c>
      <c r="HT205" s="646">
        <v>0</v>
      </c>
      <c r="HU205" s="646">
        <v>0</v>
      </c>
      <c r="HV205" s="646">
        <v>10.644451062877415</v>
      </c>
      <c r="HW205" s="646">
        <v>0.18065484754824118</v>
      </c>
      <c r="HX205" s="646">
        <v>2600</v>
      </c>
      <c r="HY205" s="563" t="s">
        <v>68</v>
      </c>
      <c r="HZ205" s="563">
        <v>2</v>
      </c>
      <c r="IA205" s="563">
        <v>0</v>
      </c>
      <c r="IB205" s="563">
        <v>0</v>
      </c>
      <c r="IC205" s="563">
        <v>0</v>
      </c>
      <c r="ID205" s="650">
        <v>4721.9758993498581</v>
      </c>
      <c r="IE205" s="563">
        <v>0</v>
      </c>
      <c r="IF205" s="563">
        <v>0</v>
      </c>
      <c r="IG205" s="563">
        <v>0</v>
      </c>
      <c r="IH205" s="650">
        <v>3363.376110947675</v>
      </c>
      <c r="II205" s="564">
        <v>3363.376110947675</v>
      </c>
      <c r="IJ205" s="565">
        <v>64.27867589526015</v>
      </c>
      <c r="IK205" s="649">
        <v>4.2265844788095119</v>
      </c>
      <c r="IL205" s="646">
        <v>11.39857045599846</v>
      </c>
      <c r="IM205" s="646">
        <v>0</v>
      </c>
      <c r="IN205" s="646">
        <v>0.12024685972131624</v>
      </c>
      <c r="IO205" s="646">
        <v>11.059624280480961</v>
      </c>
      <c r="IP205" s="646">
        <v>0.18451460806412209</v>
      </c>
      <c r="IQ205" s="646">
        <v>3250</v>
      </c>
      <c r="IR205" s="563" t="s">
        <v>68</v>
      </c>
      <c r="IS205" s="563">
        <v>2</v>
      </c>
      <c r="IT205" s="563">
        <v>0</v>
      </c>
      <c r="IU205" s="563">
        <v>0</v>
      </c>
      <c r="IV205" s="563">
        <v>0</v>
      </c>
      <c r="IW205" s="650">
        <v>4721.9758993498581</v>
      </c>
      <c r="IX205" s="563">
        <v>1</v>
      </c>
      <c r="IY205" s="563">
        <v>4</v>
      </c>
      <c r="IZ205" s="563">
        <v>6.7415646948697345</v>
      </c>
      <c r="JA205" s="650">
        <v>8394.8549561027776</v>
      </c>
      <c r="JB205" s="564">
        <v>4000</v>
      </c>
      <c r="JC205" s="565">
        <v>76.445421237351638</v>
      </c>
      <c r="JD205" s="649">
        <v>4.2265844788095119</v>
      </c>
      <c r="JE205" s="646">
        <v>11.278323596277144</v>
      </c>
      <c r="JF205" s="646">
        <v>0</v>
      </c>
      <c r="JG205" s="646">
        <v>0</v>
      </c>
      <c r="JH205" s="646">
        <v>10.644451062877415</v>
      </c>
      <c r="JI205" s="646">
        <v>0.18065484754824118</v>
      </c>
      <c r="JJ205" s="646">
        <v>2600</v>
      </c>
      <c r="JK205" s="563" t="s">
        <v>67</v>
      </c>
      <c r="JL205" s="563">
        <v>2</v>
      </c>
      <c r="JM205" s="563">
        <v>0</v>
      </c>
      <c r="JN205" s="563">
        <v>0</v>
      </c>
      <c r="JO205" s="563">
        <v>0</v>
      </c>
      <c r="JP205" s="650">
        <v>6434.9684550512393</v>
      </c>
      <c r="JQ205" s="563">
        <v>0</v>
      </c>
      <c r="JR205" s="563">
        <v>0</v>
      </c>
      <c r="JS205" s="563">
        <v>0</v>
      </c>
      <c r="JT205" s="650">
        <v>4583.5090304889382</v>
      </c>
      <c r="JU205" s="564">
        <v>4000</v>
      </c>
      <c r="JV205" s="565">
        <v>76.445421237351638</v>
      </c>
      <c r="JW205" s="649">
        <v>4.2265844788095119</v>
      </c>
      <c r="JX205" s="646">
        <v>11.278323596277144</v>
      </c>
      <c r="JY205" s="646">
        <v>0</v>
      </c>
      <c r="JZ205" s="646">
        <v>0</v>
      </c>
      <c r="KA205" s="646">
        <v>10.644451062877415</v>
      </c>
      <c r="KB205" s="646">
        <v>0.18065484754824118</v>
      </c>
      <c r="KC205" s="646">
        <v>3250</v>
      </c>
      <c r="KD205" s="563" t="s">
        <v>67</v>
      </c>
      <c r="KE205" s="563">
        <v>2</v>
      </c>
      <c r="KF205" s="563">
        <v>0</v>
      </c>
      <c r="KG205" s="563">
        <v>0</v>
      </c>
      <c r="KH205" s="563">
        <v>0</v>
      </c>
      <c r="KI205" s="650">
        <v>6434.9684550512393</v>
      </c>
      <c r="KJ205" s="563">
        <v>0</v>
      </c>
      <c r="KK205" s="563">
        <v>0</v>
      </c>
      <c r="KL205" s="563">
        <v>0</v>
      </c>
      <c r="KM205" s="650">
        <v>4583.5090304889382</v>
      </c>
      <c r="KN205" s="564">
        <v>4000</v>
      </c>
      <c r="KO205" s="566">
        <v>76.445421237351638</v>
      </c>
    </row>
    <row r="206" spans="1:301" ht="15" customHeight="1">
      <c r="A206" s="663" t="s">
        <v>955</v>
      </c>
      <c r="B206" s="629" t="s">
        <v>382</v>
      </c>
      <c r="C206" s="629">
        <v>190</v>
      </c>
      <c r="D206" s="629">
        <v>365</v>
      </c>
      <c r="E206" s="629">
        <v>0</v>
      </c>
      <c r="F206" s="629">
        <v>176.34107993830318</v>
      </c>
      <c r="G206" s="629">
        <v>28</v>
      </c>
      <c r="H206" s="629">
        <v>24.633890033307118</v>
      </c>
      <c r="I206" s="629">
        <v>100</v>
      </c>
      <c r="J206" s="629">
        <v>50.88</v>
      </c>
      <c r="K206" s="629">
        <v>20.45</v>
      </c>
      <c r="L206" s="629">
        <v>16</v>
      </c>
      <c r="M206" s="629">
        <v>270</v>
      </c>
      <c r="N206" s="629">
        <v>2</v>
      </c>
      <c r="O206" s="623">
        <v>1.6427643240024132</v>
      </c>
      <c r="P206" s="629">
        <v>3</v>
      </c>
      <c r="Q206" s="623">
        <v>1.1652559851246242</v>
      </c>
      <c r="R206" s="629">
        <v>9</v>
      </c>
      <c r="S206" s="629">
        <v>265</v>
      </c>
      <c r="T206" s="645">
        <v>3.8966715026369871</v>
      </c>
      <c r="U206" s="645">
        <v>39.75</v>
      </c>
      <c r="V206" s="645">
        <v>47.5</v>
      </c>
      <c r="W206" s="793">
        <v>0.3470473057036067</v>
      </c>
      <c r="X206" s="646">
        <v>0</v>
      </c>
      <c r="Y206" s="646">
        <v>0</v>
      </c>
      <c r="Z206" s="646">
        <v>0</v>
      </c>
      <c r="AA206" s="646">
        <v>0</v>
      </c>
      <c r="AB206" s="647">
        <v>0.32055751451073855</v>
      </c>
      <c r="AC206" s="784">
        <v>4000</v>
      </c>
      <c r="AD206" s="631"/>
      <c r="AE206" s="631"/>
      <c r="AF206" s="631"/>
      <c r="AG206" s="631"/>
      <c r="AH206" s="629"/>
      <c r="AI206" s="648">
        <v>0.90025133882109121</v>
      </c>
      <c r="AJ206" s="649">
        <v>4.2265844788095119</v>
      </c>
      <c r="AK206" s="646">
        <v>11.278323596277144</v>
      </c>
      <c r="AL206" s="646">
        <v>0</v>
      </c>
      <c r="AM206" s="646">
        <v>0</v>
      </c>
      <c r="AN206" s="646">
        <v>10.644451062877415</v>
      </c>
      <c r="AO206" s="646">
        <v>0.18065484754824118</v>
      </c>
      <c r="AP206" s="801">
        <v>2600</v>
      </c>
      <c r="AQ206" s="563" t="s">
        <v>67</v>
      </c>
      <c r="AR206" s="563">
        <v>2</v>
      </c>
      <c r="AS206" s="563">
        <v>0</v>
      </c>
      <c r="AT206" s="563">
        <v>0</v>
      </c>
      <c r="AU206" s="563">
        <v>0</v>
      </c>
      <c r="AV206" s="650">
        <v>6434.9684550512393</v>
      </c>
      <c r="AW206" s="563">
        <v>0</v>
      </c>
      <c r="AX206" s="563">
        <v>0</v>
      </c>
      <c r="AY206" s="563">
        <v>0</v>
      </c>
      <c r="AZ206" s="650">
        <v>4583.5090304889382</v>
      </c>
      <c r="BA206" s="564">
        <v>4000</v>
      </c>
      <c r="BB206" s="565">
        <v>76.445421237351638</v>
      </c>
      <c r="BC206" s="649">
        <v>4.2265844788095119</v>
      </c>
      <c r="BD206" s="646">
        <v>11.278323596277144</v>
      </c>
      <c r="BE206" s="646">
        <v>0</v>
      </c>
      <c r="BF206" s="646">
        <v>0</v>
      </c>
      <c r="BG206" s="646">
        <v>10.644451062877415</v>
      </c>
      <c r="BH206" s="646">
        <v>0.18065484754824118</v>
      </c>
      <c r="BI206" s="646">
        <v>3250</v>
      </c>
      <c r="BJ206" s="563" t="s">
        <v>67</v>
      </c>
      <c r="BK206" s="563">
        <v>2</v>
      </c>
      <c r="BL206" s="563">
        <v>0</v>
      </c>
      <c r="BM206" s="563">
        <v>0</v>
      </c>
      <c r="BN206" s="563">
        <v>0</v>
      </c>
      <c r="BO206" s="650">
        <v>6434.9684550512393</v>
      </c>
      <c r="BP206" s="563">
        <v>0</v>
      </c>
      <c r="BQ206" s="563">
        <v>0</v>
      </c>
      <c r="BR206" s="563">
        <v>0</v>
      </c>
      <c r="BS206" s="650">
        <v>4583.5090304889382</v>
      </c>
      <c r="BT206" s="564">
        <v>4000</v>
      </c>
      <c r="BU206" s="565">
        <v>76.445421237351638</v>
      </c>
      <c r="BV206" s="649">
        <v>6.3398767182142679</v>
      </c>
      <c r="BW206" s="646">
        <v>13.673056647479999</v>
      </c>
      <c r="BX206" s="646">
        <v>0.10107052221612473</v>
      </c>
      <c r="BY206" s="646">
        <v>0.18037028958197437</v>
      </c>
      <c r="BZ206" s="646">
        <v>11.43447778237581</v>
      </c>
      <c r="CA206" s="646">
        <v>0.23224086062690832</v>
      </c>
      <c r="CB206" s="646">
        <v>2600</v>
      </c>
      <c r="CC206" s="563" t="s">
        <v>1584</v>
      </c>
      <c r="CD206" s="563">
        <v>3</v>
      </c>
      <c r="CE206" s="563">
        <v>1</v>
      </c>
      <c r="CF206" s="563">
        <v>3</v>
      </c>
      <c r="CG206" s="563">
        <v>14.969761264941305</v>
      </c>
      <c r="CH206" s="650">
        <v>8867.6189718378955</v>
      </c>
      <c r="CI206" s="563">
        <v>2</v>
      </c>
      <c r="CJ206" s="563">
        <v>3</v>
      </c>
      <c r="CK206" s="563">
        <v>6.7415646948697345</v>
      </c>
      <c r="CL206" s="650">
        <v>6316.1305269026243</v>
      </c>
      <c r="CM206" s="564">
        <v>4000</v>
      </c>
      <c r="CN206" s="565">
        <v>76.445421237351638</v>
      </c>
      <c r="CO206" s="649">
        <v>6.3398767182142679</v>
      </c>
      <c r="CP206" s="646">
        <v>13.673056647479999</v>
      </c>
      <c r="CQ206" s="646">
        <v>0.10107052221612473</v>
      </c>
      <c r="CR206" s="646">
        <v>0.18037028958197437</v>
      </c>
      <c r="CS206" s="646">
        <v>11.43447778237581</v>
      </c>
      <c r="CT206" s="646">
        <v>0.23224086062690832</v>
      </c>
      <c r="CU206" s="646">
        <v>3250</v>
      </c>
      <c r="CV206" s="563" t="s">
        <v>1584</v>
      </c>
      <c r="CW206" s="563">
        <v>3</v>
      </c>
      <c r="CX206" s="563">
        <v>1</v>
      </c>
      <c r="CY206" s="563">
        <v>3</v>
      </c>
      <c r="CZ206" s="563">
        <v>14.969761264941305</v>
      </c>
      <c r="DA206" s="650">
        <v>8867.6189718378955</v>
      </c>
      <c r="DB206" s="563">
        <v>2</v>
      </c>
      <c r="DC206" s="563">
        <v>3</v>
      </c>
      <c r="DD206" s="563">
        <v>6.7415646948697345</v>
      </c>
      <c r="DE206" s="650">
        <v>6316.1305269026243</v>
      </c>
      <c r="DF206" s="564">
        <v>4000</v>
      </c>
      <c r="DG206" s="565">
        <v>76.445421237351638</v>
      </c>
      <c r="DH206" s="649">
        <v>4.2265844788095119</v>
      </c>
      <c r="DI206" s="646">
        <v>11.465950804142542</v>
      </c>
      <c r="DJ206" s="646">
        <v>6.7380348144083141E-2</v>
      </c>
      <c r="DK206" s="646">
        <v>0.12024685972131624</v>
      </c>
      <c r="DL206" s="646">
        <v>11.067013001257738</v>
      </c>
      <c r="DM206" s="646">
        <v>0.1852260888975851</v>
      </c>
      <c r="DN206" s="646">
        <v>2600</v>
      </c>
      <c r="DO206" s="563" t="s">
        <v>1585</v>
      </c>
      <c r="DP206" s="563">
        <v>2</v>
      </c>
      <c r="DQ206" s="563">
        <v>1</v>
      </c>
      <c r="DR206" s="563">
        <v>2</v>
      </c>
      <c r="DS206" s="563">
        <v>14.969761264941305</v>
      </c>
      <c r="DT206" s="650">
        <v>9831.3331025861135</v>
      </c>
      <c r="DU206" s="563">
        <v>2</v>
      </c>
      <c r="DV206" s="563">
        <v>2</v>
      </c>
      <c r="DW206" s="563">
        <v>6.7415646948697345</v>
      </c>
      <c r="DX206" s="650">
        <v>7002.5542737683145</v>
      </c>
      <c r="DY206" s="564">
        <v>4000</v>
      </c>
      <c r="DZ206" s="565">
        <v>76.445421237351638</v>
      </c>
      <c r="EA206" s="649">
        <v>4.2265844788095119</v>
      </c>
      <c r="EB206" s="646">
        <v>11.465950804142542</v>
      </c>
      <c r="EC206" s="646">
        <v>6.7380348144083141E-2</v>
      </c>
      <c r="ED206" s="646">
        <v>0.12024685972131624</v>
      </c>
      <c r="EE206" s="646">
        <v>11.067013001257738</v>
      </c>
      <c r="EF206" s="646">
        <v>0.1852260888975851</v>
      </c>
      <c r="EG206" s="646">
        <v>3250</v>
      </c>
      <c r="EH206" s="563" t="s">
        <v>1585</v>
      </c>
      <c r="EI206" s="563">
        <v>2</v>
      </c>
      <c r="EJ206" s="563">
        <v>1</v>
      </c>
      <c r="EK206" s="563">
        <v>2</v>
      </c>
      <c r="EL206" s="563">
        <v>14.969761264941305</v>
      </c>
      <c r="EM206" s="650">
        <v>9831.3331025861135</v>
      </c>
      <c r="EN206" s="563">
        <v>2</v>
      </c>
      <c r="EO206" s="563">
        <v>2</v>
      </c>
      <c r="EP206" s="563">
        <v>6.7415646948697345</v>
      </c>
      <c r="EQ206" s="650">
        <v>7002.5542737683145</v>
      </c>
      <c r="ER206" s="564">
        <v>4000</v>
      </c>
      <c r="ES206" s="565">
        <v>76.445421237351638</v>
      </c>
      <c r="ET206" s="649">
        <v>4.2265844788095119</v>
      </c>
      <c r="EU206" s="646">
        <v>11.39857045599846</v>
      </c>
      <c r="EV206" s="646">
        <v>0</v>
      </c>
      <c r="EW206" s="646">
        <v>0.12024685972131624</v>
      </c>
      <c r="EX206" s="646">
        <v>11.059624280480961</v>
      </c>
      <c r="EY206" s="646">
        <v>0.18451460806412209</v>
      </c>
      <c r="EZ206" s="646">
        <v>2600</v>
      </c>
      <c r="FA206" s="563" t="s">
        <v>1587</v>
      </c>
      <c r="FB206" s="563">
        <v>2</v>
      </c>
      <c r="FC206" s="563">
        <v>0</v>
      </c>
      <c r="FD206" s="563">
        <v>0</v>
      </c>
      <c r="FE206" s="563">
        <v>0</v>
      </c>
      <c r="FF206" s="650">
        <v>5354.2173970801223</v>
      </c>
      <c r="FG206" s="563">
        <v>1</v>
      </c>
      <c r="FH206" s="563">
        <v>4</v>
      </c>
      <c r="FI206" s="563">
        <v>6.7415646948697345</v>
      </c>
      <c r="FJ206" s="650">
        <v>9518.870788416858</v>
      </c>
      <c r="FK206" s="564">
        <v>4000</v>
      </c>
      <c r="FL206" s="565">
        <v>76.445421237351638</v>
      </c>
      <c r="FM206" s="649">
        <v>4.2265844788095119</v>
      </c>
      <c r="FN206" s="646">
        <v>11.39857045599846</v>
      </c>
      <c r="FO206" s="646">
        <v>0</v>
      </c>
      <c r="FP206" s="646">
        <v>0.12024685972131624</v>
      </c>
      <c r="FQ206" s="646">
        <v>11.059624280480961</v>
      </c>
      <c r="FR206" s="646">
        <v>0.18451460806412209</v>
      </c>
      <c r="FS206" s="646">
        <v>3250</v>
      </c>
      <c r="FT206" s="563" t="s">
        <v>1587</v>
      </c>
      <c r="FU206" s="563">
        <v>2</v>
      </c>
      <c r="FV206" s="563">
        <v>0</v>
      </c>
      <c r="FW206" s="563">
        <v>0</v>
      </c>
      <c r="FX206" s="563">
        <v>0</v>
      </c>
      <c r="FY206" s="650">
        <v>5354.2173970801223</v>
      </c>
      <c r="FZ206" s="563">
        <v>1</v>
      </c>
      <c r="GA206" s="563">
        <v>4</v>
      </c>
      <c r="GB206" s="563">
        <v>6.7415646948697345</v>
      </c>
      <c r="GC206" s="650">
        <v>9518.870788416858</v>
      </c>
      <c r="GD206" s="564">
        <v>4000</v>
      </c>
      <c r="GE206" s="565">
        <v>76.445421237351638</v>
      </c>
      <c r="GF206" s="649">
        <v>4.2265844788095119</v>
      </c>
      <c r="GG206" s="646">
        <v>11.39857045599846</v>
      </c>
      <c r="GH206" s="646">
        <v>0</v>
      </c>
      <c r="GI206" s="646">
        <v>0.12024685972131624</v>
      </c>
      <c r="GJ206" s="646">
        <v>11.059624280480961</v>
      </c>
      <c r="GK206" s="646">
        <v>0.18451460806412209</v>
      </c>
      <c r="GL206" s="646">
        <v>2600</v>
      </c>
      <c r="GM206" s="563" t="s">
        <v>1587</v>
      </c>
      <c r="GN206" s="563">
        <v>2</v>
      </c>
      <c r="GO206" s="563">
        <v>0</v>
      </c>
      <c r="GP206" s="563">
        <v>0</v>
      </c>
      <c r="GQ206" s="563">
        <v>0</v>
      </c>
      <c r="GR206" s="650">
        <v>5354.2173970801223</v>
      </c>
      <c r="GS206" s="563">
        <v>1</v>
      </c>
      <c r="GT206" s="563">
        <v>4</v>
      </c>
      <c r="GU206" s="563">
        <v>6.7415646948697345</v>
      </c>
      <c r="GV206" s="650">
        <v>9518.870788416858</v>
      </c>
      <c r="GW206" s="564">
        <v>4000</v>
      </c>
      <c r="GX206" s="565">
        <v>76.445421237351638</v>
      </c>
      <c r="GY206" s="649">
        <v>4.2265844788095119</v>
      </c>
      <c r="GZ206" s="646">
        <v>11.39857045599846</v>
      </c>
      <c r="HA206" s="646">
        <v>0</v>
      </c>
      <c r="HB206" s="646">
        <v>0.12024685972131624</v>
      </c>
      <c r="HC206" s="646">
        <v>11.059624280480961</v>
      </c>
      <c r="HD206" s="646">
        <v>0.18451460806412209</v>
      </c>
      <c r="HE206" s="646">
        <v>3250</v>
      </c>
      <c r="HF206" s="563" t="s">
        <v>1587</v>
      </c>
      <c r="HG206" s="563">
        <v>2</v>
      </c>
      <c r="HH206" s="563">
        <v>0</v>
      </c>
      <c r="HI206" s="563">
        <v>0</v>
      </c>
      <c r="HJ206" s="563">
        <v>0</v>
      </c>
      <c r="HK206" s="650">
        <v>5354.2173970801223</v>
      </c>
      <c r="HL206" s="563">
        <v>1</v>
      </c>
      <c r="HM206" s="563">
        <v>4</v>
      </c>
      <c r="HN206" s="563">
        <v>6.7415646948697345</v>
      </c>
      <c r="HO206" s="650">
        <v>9518.870788416858</v>
      </c>
      <c r="HP206" s="564">
        <v>4000</v>
      </c>
      <c r="HQ206" s="565">
        <v>76.445421237351638</v>
      </c>
      <c r="HR206" s="649">
        <v>4.2265844788095119</v>
      </c>
      <c r="HS206" s="646">
        <v>11.278323596277144</v>
      </c>
      <c r="HT206" s="646">
        <v>0</v>
      </c>
      <c r="HU206" s="646">
        <v>0</v>
      </c>
      <c r="HV206" s="646">
        <v>10.644451062877415</v>
      </c>
      <c r="HW206" s="646">
        <v>0.18065484754824118</v>
      </c>
      <c r="HX206" s="646">
        <v>2600</v>
      </c>
      <c r="HY206" s="563" t="s">
        <v>68</v>
      </c>
      <c r="HZ206" s="563">
        <v>2</v>
      </c>
      <c r="IA206" s="563">
        <v>0</v>
      </c>
      <c r="IB206" s="563">
        <v>0</v>
      </c>
      <c r="IC206" s="563">
        <v>0</v>
      </c>
      <c r="ID206" s="650">
        <v>4721.9758993498581</v>
      </c>
      <c r="IE206" s="563">
        <v>0</v>
      </c>
      <c r="IF206" s="563">
        <v>0</v>
      </c>
      <c r="IG206" s="563">
        <v>0</v>
      </c>
      <c r="IH206" s="650">
        <v>3363.376110947675</v>
      </c>
      <c r="II206" s="564">
        <v>3363.376110947675</v>
      </c>
      <c r="IJ206" s="565">
        <v>64.27867589526015</v>
      </c>
      <c r="IK206" s="649">
        <v>4.2265844788095119</v>
      </c>
      <c r="IL206" s="646">
        <v>11.39857045599846</v>
      </c>
      <c r="IM206" s="646">
        <v>0</v>
      </c>
      <c r="IN206" s="646">
        <v>0.12024685972131624</v>
      </c>
      <c r="IO206" s="646">
        <v>11.059624280480961</v>
      </c>
      <c r="IP206" s="646">
        <v>0.18451460806412209</v>
      </c>
      <c r="IQ206" s="646">
        <v>3250</v>
      </c>
      <c r="IR206" s="563" t="s">
        <v>68</v>
      </c>
      <c r="IS206" s="563">
        <v>2</v>
      </c>
      <c r="IT206" s="563">
        <v>0</v>
      </c>
      <c r="IU206" s="563">
        <v>0</v>
      </c>
      <c r="IV206" s="563">
        <v>0</v>
      </c>
      <c r="IW206" s="650">
        <v>4721.9758993498581</v>
      </c>
      <c r="IX206" s="563">
        <v>1</v>
      </c>
      <c r="IY206" s="563">
        <v>4</v>
      </c>
      <c r="IZ206" s="563">
        <v>6.7415646948697345</v>
      </c>
      <c r="JA206" s="650">
        <v>8394.8549561027776</v>
      </c>
      <c r="JB206" s="564">
        <v>4000</v>
      </c>
      <c r="JC206" s="565">
        <v>76.445421237351638</v>
      </c>
      <c r="JD206" s="649">
        <v>4.2265844788095119</v>
      </c>
      <c r="JE206" s="646">
        <v>11.278323596277144</v>
      </c>
      <c r="JF206" s="646">
        <v>0</v>
      </c>
      <c r="JG206" s="646">
        <v>0</v>
      </c>
      <c r="JH206" s="646">
        <v>10.644451062877415</v>
      </c>
      <c r="JI206" s="646">
        <v>0.18065484754824118</v>
      </c>
      <c r="JJ206" s="646">
        <v>2600</v>
      </c>
      <c r="JK206" s="563" t="s">
        <v>67</v>
      </c>
      <c r="JL206" s="563">
        <v>2</v>
      </c>
      <c r="JM206" s="563">
        <v>0</v>
      </c>
      <c r="JN206" s="563">
        <v>0</v>
      </c>
      <c r="JO206" s="563">
        <v>0</v>
      </c>
      <c r="JP206" s="650">
        <v>6434.9684550512393</v>
      </c>
      <c r="JQ206" s="563">
        <v>0</v>
      </c>
      <c r="JR206" s="563">
        <v>0</v>
      </c>
      <c r="JS206" s="563">
        <v>0</v>
      </c>
      <c r="JT206" s="650">
        <v>4583.5090304889382</v>
      </c>
      <c r="JU206" s="564">
        <v>4000</v>
      </c>
      <c r="JV206" s="565">
        <v>76.445421237351638</v>
      </c>
      <c r="JW206" s="649">
        <v>4.2265844788095119</v>
      </c>
      <c r="JX206" s="646">
        <v>11.278323596277144</v>
      </c>
      <c r="JY206" s="646">
        <v>0</v>
      </c>
      <c r="JZ206" s="646">
        <v>0</v>
      </c>
      <c r="KA206" s="646">
        <v>10.644451062877415</v>
      </c>
      <c r="KB206" s="646">
        <v>0.18065484754824118</v>
      </c>
      <c r="KC206" s="646">
        <v>3250</v>
      </c>
      <c r="KD206" s="563" t="s">
        <v>67</v>
      </c>
      <c r="KE206" s="563">
        <v>2</v>
      </c>
      <c r="KF206" s="563">
        <v>0</v>
      </c>
      <c r="KG206" s="563">
        <v>0</v>
      </c>
      <c r="KH206" s="563">
        <v>0</v>
      </c>
      <c r="KI206" s="650">
        <v>6434.9684550512393</v>
      </c>
      <c r="KJ206" s="563">
        <v>0</v>
      </c>
      <c r="KK206" s="563">
        <v>0</v>
      </c>
      <c r="KL206" s="563">
        <v>0</v>
      </c>
      <c r="KM206" s="650">
        <v>4583.5090304889382</v>
      </c>
      <c r="KN206" s="564">
        <v>4000</v>
      </c>
      <c r="KO206" s="566">
        <v>76.445421237351638</v>
      </c>
    </row>
    <row r="207" spans="1:301" ht="15" customHeight="1">
      <c r="A207" s="663" t="s">
        <v>956</v>
      </c>
      <c r="B207" s="629" t="s">
        <v>382</v>
      </c>
      <c r="C207" s="629">
        <v>190</v>
      </c>
      <c r="D207" s="629">
        <v>425</v>
      </c>
      <c r="E207" s="629">
        <v>0</v>
      </c>
      <c r="F207" s="629">
        <v>190</v>
      </c>
      <c r="G207" s="629">
        <v>28</v>
      </c>
      <c r="H207" s="629">
        <v>30</v>
      </c>
      <c r="I207" s="629">
        <v>130</v>
      </c>
      <c r="J207" s="629">
        <v>49.59</v>
      </c>
      <c r="K207" s="629">
        <v>33.33</v>
      </c>
      <c r="L207" s="629">
        <v>16</v>
      </c>
      <c r="M207" s="629">
        <v>270</v>
      </c>
      <c r="N207" s="629">
        <v>2</v>
      </c>
      <c r="O207" s="623">
        <v>2.2272419292395265</v>
      </c>
      <c r="P207" s="629">
        <v>3</v>
      </c>
      <c r="Q207" s="623">
        <v>1.5055847172880066</v>
      </c>
      <c r="R207" s="629">
        <v>9</v>
      </c>
      <c r="S207" s="629">
        <v>315</v>
      </c>
      <c r="T207" s="645">
        <v>5.5058345297138498</v>
      </c>
      <c r="U207" s="645">
        <v>47.25</v>
      </c>
      <c r="V207" s="645">
        <v>47.5</v>
      </c>
      <c r="W207" s="793">
        <v>0.49036338780263977</v>
      </c>
      <c r="X207" s="646">
        <v>0</v>
      </c>
      <c r="Y207" s="646">
        <v>0</v>
      </c>
      <c r="Z207" s="646">
        <v>0</v>
      </c>
      <c r="AA207" s="646">
        <v>0</v>
      </c>
      <c r="AB207" s="647">
        <v>0.36466750893904343</v>
      </c>
      <c r="AC207" s="784">
        <v>4000</v>
      </c>
      <c r="AD207" s="631"/>
      <c r="AE207" s="631"/>
      <c r="AF207" s="631"/>
      <c r="AG207" s="631"/>
      <c r="AH207" s="629"/>
      <c r="AI207" s="648">
        <v>1.2019444256573606</v>
      </c>
      <c r="AJ207" s="649">
        <v>5.4259200000000005</v>
      </c>
      <c r="AK207" s="646">
        <v>15.154944564044023</v>
      </c>
      <c r="AL207" s="646">
        <v>0</v>
      </c>
      <c r="AM207" s="646">
        <v>0</v>
      </c>
      <c r="AN207" s="646">
        <v>12.331738991678172</v>
      </c>
      <c r="AO207" s="646">
        <v>0.31823529997659938</v>
      </c>
      <c r="AP207" s="801">
        <v>1900</v>
      </c>
      <c r="AQ207" s="563" t="s">
        <v>67</v>
      </c>
      <c r="AR207" s="563">
        <v>2</v>
      </c>
      <c r="AS207" s="563">
        <v>0</v>
      </c>
      <c r="AT207" s="563">
        <v>0</v>
      </c>
      <c r="AU207" s="563">
        <v>0</v>
      </c>
      <c r="AV207" s="650">
        <v>4486.8608778992439</v>
      </c>
      <c r="AW207" s="563">
        <v>0</v>
      </c>
      <c r="AX207" s="563">
        <v>0</v>
      </c>
      <c r="AY207" s="563">
        <v>0</v>
      </c>
      <c r="AZ207" s="650">
        <v>3387.7168552309909</v>
      </c>
      <c r="BA207" s="564">
        <v>3387.7168552309909</v>
      </c>
      <c r="BB207" s="565">
        <v>75.386686892588315</v>
      </c>
      <c r="BC207" s="649">
        <v>5.4259200000000005</v>
      </c>
      <c r="BD207" s="646">
        <v>15.154944564044023</v>
      </c>
      <c r="BE207" s="646">
        <v>0</v>
      </c>
      <c r="BF207" s="646">
        <v>0</v>
      </c>
      <c r="BG207" s="646">
        <v>12.331738991678172</v>
      </c>
      <c r="BH207" s="646">
        <v>0.31823529997659938</v>
      </c>
      <c r="BI207" s="646">
        <v>2375</v>
      </c>
      <c r="BJ207" s="563" t="s">
        <v>67</v>
      </c>
      <c r="BK207" s="563">
        <v>2</v>
      </c>
      <c r="BL207" s="563">
        <v>0</v>
      </c>
      <c r="BM207" s="563">
        <v>0</v>
      </c>
      <c r="BN207" s="563">
        <v>0</v>
      </c>
      <c r="BO207" s="650">
        <v>4486.8608778992439</v>
      </c>
      <c r="BP207" s="563">
        <v>0</v>
      </c>
      <c r="BQ207" s="563">
        <v>0</v>
      </c>
      <c r="BR207" s="563">
        <v>0</v>
      </c>
      <c r="BS207" s="650">
        <v>3387.7168552309909</v>
      </c>
      <c r="BT207" s="564">
        <v>3387.7168552309909</v>
      </c>
      <c r="BU207" s="565">
        <v>75.386686892588315</v>
      </c>
      <c r="BV207" s="649">
        <v>8.1388800000000003</v>
      </c>
      <c r="BW207" s="646">
        <v>18.15826699767603</v>
      </c>
      <c r="BX207" s="646">
        <v>0.10904163871406138</v>
      </c>
      <c r="BY207" s="646">
        <v>0.18132079491794523</v>
      </c>
      <c r="BZ207" s="646">
        <v>13.272340200657073</v>
      </c>
      <c r="CA207" s="646">
        <v>0.40064695580300586</v>
      </c>
      <c r="CB207" s="646">
        <v>1900</v>
      </c>
      <c r="CC207" s="563" t="s">
        <v>1584</v>
      </c>
      <c r="CD207" s="563">
        <v>3</v>
      </c>
      <c r="CE207" s="563">
        <v>1</v>
      </c>
      <c r="CF207" s="563">
        <v>3</v>
      </c>
      <c r="CG207" s="563">
        <v>16.205227117207542</v>
      </c>
      <c r="CH207" s="650">
        <v>7522.4330701361878</v>
      </c>
      <c r="CI207" s="563">
        <v>1</v>
      </c>
      <c r="CJ207" s="563">
        <v>3</v>
      </c>
      <c r="CK207" s="563">
        <v>11.694031607810633</v>
      </c>
      <c r="CL207" s="650">
        <v>5501.8968203229397</v>
      </c>
      <c r="CM207" s="564">
        <v>4000</v>
      </c>
      <c r="CN207" s="565">
        <v>89.011791851710797</v>
      </c>
      <c r="CO207" s="649">
        <v>8.1388800000000003</v>
      </c>
      <c r="CP207" s="646">
        <v>18.15826699767603</v>
      </c>
      <c r="CQ207" s="646">
        <v>0.10904163871406138</v>
      </c>
      <c r="CR207" s="646">
        <v>0.18132079491794523</v>
      </c>
      <c r="CS207" s="646">
        <v>13.272340200657073</v>
      </c>
      <c r="CT207" s="646">
        <v>0.40064695580300586</v>
      </c>
      <c r="CU207" s="646">
        <v>2375</v>
      </c>
      <c r="CV207" s="563" t="s">
        <v>1584</v>
      </c>
      <c r="CW207" s="563">
        <v>3</v>
      </c>
      <c r="CX207" s="563">
        <v>1</v>
      </c>
      <c r="CY207" s="563">
        <v>3</v>
      </c>
      <c r="CZ207" s="563">
        <v>16.205227117207542</v>
      </c>
      <c r="DA207" s="650">
        <v>7522.4330701361878</v>
      </c>
      <c r="DB207" s="563">
        <v>1</v>
      </c>
      <c r="DC207" s="563">
        <v>3</v>
      </c>
      <c r="DD207" s="563">
        <v>11.694031607810633</v>
      </c>
      <c r="DE207" s="650">
        <v>5501.8968203229397</v>
      </c>
      <c r="DF207" s="564">
        <v>4000</v>
      </c>
      <c r="DG207" s="565">
        <v>89.011791851710797</v>
      </c>
      <c r="DH207" s="649">
        <v>5.4259200000000005</v>
      </c>
      <c r="DI207" s="646">
        <v>15.275825093989319</v>
      </c>
      <c r="DJ207" s="646">
        <v>0</v>
      </c>
      <c r="DK207" s="646">
        <v>0.12088052994529681</v>
      </c>
      <c r="DL207" s="646">
        <v>12.74851302927096</v>
      </c>
      <c r="DM207" s="646">
        <v>0.32340169072904235</v>
      </c>
      <c r="DN207" s="646">
        <v>1900</v>
      </c>
      <c r="DO207" s="563" t="s">
        <v>1585</v>
      </c>
      <c r="DP207" s="563">
        <v>2</v>
      </c>
      <c r="DQ207" s="563">
        <v>0</v>
      </c>
      <c r="DR207" s="563">
        <v>0</v>
      </c>
      <c r="DS207" s="563">
        <v>0</v>
      </c>
      <c r="DT207" s="650">
        <v>3022.7131364985971</v>
      </c>
      <c r="DU207" s="563">
        <v>1</v>
      </c>
      <c r="DV207" s="563">
        <v>2</v>
      </c>
      <c r="DW207" s="563">
        <v>11.694031607810633</v>
      </c>
      <c r="DX207" s="650">
        <v>6099.8313649287693</v>
      </c>
      <c r="DY207" s="564">
        <v>3022.7131364985971</v>
      </c>
      <c r="DZ207" s="565">
        <v>67.264278133361259</v>
      </c>
      <c r="EA207" s="649">
        <v>5.4259200000000005</v>
      </c>
      <c r="EB207" s="646">
        <v>16.436444289306365</v>
      </c>
      <c r="EC207" s="646">
        <v>7.2694425809374241E-2</v>
      </c>
      <c r="ED207" s="646">
        <v>1.2088052994529681</v>
      </c>
      <c r="EE207" s="646">
        <v>16.216985678717926</v>
      </c>
      <c r="EF207" s="646">
        <v>0.37067673263285733</v>
      </c>
      <c r="EG207" s="646">
        <v>2375</v>
      </c>
      <c r="EH207" s="563" t="s">
        <v>1585</v>
      </c>
      <c r="EI207" s="563">
        <v>2</v>
      </c>
      <c r="EJ207" s="563">
        <v>1</v>
      </c>
      <c r="EK207" s="563">
        <v>2</v>
      </c>
      <c r="EL207" s="563">
        <v>16.205227117207542</v>
      </c>
      <c r="EM207" s="650">
        <v>8339.9552336753623</v>
      </c>
      <c r="EN207" s="563">
        <v>2</v>
      </c>
      <c r="EO207" s="563">
        <v>10</v>
      </c>
      <c r="EP207" s="563">
        <v>11.694031607810633</v>
      </c>
      <c r="EQ207" s="650">
        <v>8102.5446303096751</v>
      </c>
      <c r="ER207" s="564">
        <v>4000</v>
      </c>
      <c r="ES207" s="565">
        <v>89.011791851710797</v>
      </c>
      <c r="ET207" s="649">
        <v>5.4259200000000005</v>
      </c>
      <c r="EU207" s="646">
        <v>15.154944564044023</v>
      </c>
      <c r="EV207" s="646">
        <v>0</v>
      </c>
      <c r="EW207" s="646">
        <v>0</v>
      </c>
      <c r="EX207" s="646">
        <v>12.331738991678172</v>
      </c>
      <c r="EY207" s="646">
        <v>0.31823529997659938</v>
      </c>
      <c r="EZ207" s="646">
        <v>1900</v>
      </c>
      <c r="FA207" s="563" t="s">
        <v>1587</v>
      </c>
      <c r="FB207" s="563">
        <v>2</v>
      </c>
      <c r="FC207" s="563">
        <v>0</v>
      </c>
      <c r="FD207" s="563">
        <v>0</v>
      </c>
      <c r="FE207" s="563">
        <v>0</v>
      </c>
      <c r="FF207" s="650">
        <v>3733.2939141090219</v>
      </c>
      <c r="FG207" s="563">
        <v>0</v>
      </c>
      <c r="FH207" s="563">
        <v>0</v>
      </c>
      <c r="FI207" s="563">
        <v>0</v>
      </c>
      <c r="FJ207" s="650">
        <v>2818.7508065282209</v>
      </c>
      <c r="FK207" s="564">
        <v>2818.7508065282209</v>
      </c>
      <c r="FL207" s="565">
        <v>62.725515018132988</v>
      </c>
      <c r="FM207" s="649">
        <v>5.4259200000000005</v>
      </c>
      <c r="FN207" s="646">
        <v>15.275825093989319</v>
      </c>
      <c r="FO207" s="646">
        <v>0</v>
      </c>
      <c r="FP207" s="646">
        <v>0.12088052994529681</v>
      </c>
      <c r="FQ207" s="646">
        <v>12.74851302927096</v>
      </c>
      <c r="FR207" s="646">
        <v>0.32340169072904235</v>
      </c>
      <c r="FS207" s="646">
        <v>2375</v>
      </c>
      <c r="FT207" s="563" t="s">
        <v>1587</v>
      </c>
      <c r="FU207" s="563">
        <v>2</v>
      </c>
      <c r="FV207" s="563">
        <v>0</v>
      </c>
      <c r="FW207" s="563">
        <v>0</v>
      </c>
      <c r="FX207" s="563">
        <v>0</v>
      </c>
      <c r="FY207" s="650">
        <v>3733.2939141090219</v>
      </c>
      <c r="FZ207" s="563">
        <v>1</v>
      </c>
      <c r="GA207" s="563">
        <v>2</v>
      </c>
      <c r="GB207" s="563">
        <v>11.694031607810633</v>
      </c>
      <c r="GC207" s="650">
        <v>7533.7824938920548</v>
      </c>
      <c r="GD207" s="564">
        <v>3733.2939141090219</v>
      </c>
      <c r="GE207" s="565">
        <v>83.076795200982744</v>
      </c>
      <c r="GF207" s="649">
        <v>5.4259200000000005</v>
      </c>
      <c r="GG207" s="646">
        <v>15.154944564044023</v>
      </c>
      <c r="GH207" s="646">
        <v>0</v>
      </c>
      <c r="GI207" s="646">
        <v>0</v>
      </c>
      <c r="GJ207" s="646">
        <v>12.331738991678172</v>
      </c>
      <c r="GK207" s="646">
        <v>0.31823529997659938</v>
      </c>
      <c r="GL207" s="646">
        <v>1900</v>
      </c>
      <c r="GM207" s="563" t="s">
        <v>1587</v>
      </c>
      <c r="GN207" s="563">
        <v>2</v>
      </c>
      <c r="GO207" s="563">
        <v>0</v>
      </c>
      <c r="GP207" s="563">
        <v>0</v>
      </c>
      <c r="GQ207" s="563">
        <v>0</v>
      </c>
      <c r="GR207" s="650">
        <v>3733.2939141090219</v>
      </c>
      <c r="GS207" s="563">
        <v>0</v>
      </c>
      <c r="GT207" s="563">
        <v>0</v>
      </c>
      <c r="GU207" s="563">
        <v>0</v>
      </c>
      <c r="GV207" s="650">
        <v>2818.7508065282209</v>
      </c>
      <c r="GW207" s="564">
        <v>2818.7508065282209</v>
      </c>
      <c r="GX207" s="565">
        <v>62.725515018132988</v>
      </c>
      <c r="GY207" s="649">
        <v>5.4259200000000005</v>
      </c>
      <c r="GZ207" s="646">
        <v>15.275825093989319</v>
      </c>
      <c r="HA207" s="646">
        <v>0</v>
      </c>
      <c r="HB207" s="646">
        <v>0.12088052994529681</v>
      </c>
      <c r="HC207" s="646">
        <v>12.74851302927096</v>
      </c>
      <c r="HD207" s="646">
        <v>0.32340169072904235</v>
      </c>
      <c r="HE207" s="646">
        <v>2375</v>
      </c>
      <c r="HF207" s="563" t="s">
        <v>1587</v>
      </c>
      <c r="HG207" s="563">
        <v>2</v>
      </c>
      <c r="HH207" s="563">
        <v>0</v>
      </c>
      <c r="HI207" s="563">
        <v>0</v>
      </c>
      <c r="HJ207" s="563">
        <v>0</v>
      </c>
      <c r="HK207" s="650">
        <v>3733.2939141090219</v>
      </c>
      <c r="HL207" s="563">
        <v>1</v>
      </c>
      <c r="HM207" s="563">
        <v>2</v>
      </c>
      <c r="HN207" s="563">
        <v>11.694031607810633</v>
      </c>
      <c r="HO207" s="650">
        <v>7533.7824938920548</v>
      </c>
      <c r="HP207" s="564">
        <v>3733.2939141090219</v>
      </c>
      <c r="HQ207" s="565">
        <v>83.076795200982744</v>
      </c>
      <c r="HR207" s="649">
        <v>5.4259200000000005</v>
      </c>
      <c r="HS207" s="646">
        <v>15.154944564044023</v>
      </c>
      <c r="HT207" s="646">
        <v>0</v>
      </c>
      <c r="HU207" s="646">
        <v>0</v>
      </c>
      <c r="HV207" s="646">
        <v>12.331738991678172</v>
      </c>
      <c r="HW207" s="646">
        <v>0.31823529997659938</v>
      </c>
      <c r="HX207" s="646">
        <v>1900</v>
      </c>
      <c r="HY207" s="563" t="s">
        <v>68</v>
      </c>
      <c r="HZ207" s="563">
        <v>2</v>
      </c>
      <c r="IA207" s="563">
        <v>0</v>
      </c>
      <c r="IB207" s="563">
        <v>0</v>
      </c>
      <c r="IC207" s="563">
        <v>0</v>
      </c>
      <c r="ID207" s="650">
        <v>3292.4557559522491</v>
      </c>
      <c r="IE207" s="563">
        <v>0</v>
      </c>
      <c r="IF207" s="563">
        <v>0</v>
      </c>
      <c r="IG207" s="563">
        <v>0</v>
      </c>
      <c r="IH207" s="650">
        <v>2485.9045473154965</v>
      </c>
      <c r="II207" s="564">
        <v>2485.9045473154965</v>
      </c>
      <c r="IJ207" s="565">
        <v>55.31870453221709</v>
      </c>
      <c r="IK207" s="649">
        <v>5.4259200000000005</v>
      </c>
      <c r="IL207" s="646">
        <v>15.154944564044023</v>
      </c>
      <c r="IM207" s="646">
        <v>0</v>
      </c>
      <c r="IN207" s="646">
        <v>0</v>
      </c>
      <c r="IO207" s="646">
        <v>12.331738991678172</v>
      </c>
      <c r="IP207" s="646">
        <v>0.31823529997659938</v>
      </c>
      <c r="IQ207" s="646">
        <v>2375</v>
      </c>
      <c r="IR207" s="563" t="s">
        <v>68</v>
      </c>
      <c r="IS207" s="563">
        <v>2</v>
      </c>
      <c r="IT207" s="563">
        <v>0</v>
      </c>
      <c r="IU207" s="563">
        <v>0</v>
      </c>
      <c r="IV207" s="563">
        <v>0</v>
      </c>
      <c r="IW207" s="650">
        <v>3292.4557559522491</v>
      </c>
      <c r="IX207" s="563">
        <v>0</v>
      </c>
      <c r="IY207" s="563">
        <v>0</v>
      </c>
      <c r="IZ207" s="563">
        <v>0</v>
      </c>
      <c r="JA207" s="650">
        <v>2485.9045473154965</v>
      </c>
      <c r="JB207" s="564">
        <v>2485.9045473154965</v>
      </c>
      <c r="JC207" s="565">
        <v>55.31870453221709</v>
      </c>
      <c r="JD207" s="649">
        <v>5.4259200000000005</v>
      </c>
      <c r="JE207" s="646">
        <v>15.154944564044023</v>
      </c>
      <c r="JF207" s="646">
        <v>0</v>
      </c>
      <c r="JG207" s="646">
        <v>0</v>
      </c>
      <c r="JH207" s="646">
        <v>12.331738991678172</v>
      </c>
      <c r="JI207" s="646">
        <v>0.31823529997659938</v>
      </c>
      <c r="JJ207" s="646">
        <v>1900</v>
      </c>
      <c r="JK207" s="563" t="s">
        <v>67</v>
      </c>
      <c r="JL207" s="563">
        <v>2</v>
      </c>
      <c r="JM207" s="563">
        <v>0</v>
      </c>
      <c r="JN207" s="563">
        <v>0</v>
      </c>
      <c r="JO207" s="563">
        <v>0</v>
      </c>
      <c r="JP207" s="650">
        <v>4486.8608778992439</v>
      </c>
      <c r="JQ207" s="563">
        <v>0</v>
      </c>
      <c r="JR207" s="563">
        <v>0</v>
      </c>
      <c r="JS207" s="563">
        <v>0</v>
      </c>
      <c r="JT207" s="650">
        <v>3387.7168552309909</v>
      </c>
      <c r="JU207" s="564">
        <v>3387.7168552309909</v>
      </c>
      <c r="JV207" s="565">
        <v>75.386686892588315</v>
      </c>
      <c r="JW207" s="649">
        <v>5.4259200000000005</v>
      </c>
      <c r="JX207" s="646">
        <v>15.154944564044023</v>
      </c>
      <c r="JY207" s="646">
        <v>0</v>
      </c>
      <c r="JZ207" s="646">
        <v>0</v>
      </c>
      <c r="KA207" s="646">
        <v>12.331738991678172</v>
      </c>
      <c r="KB207" s="646">
        <v>0.31823529997659938</v>
      </c>
      <c r="KC207" s="646">
        <v>2375</v>
      </c>
      <c r="KD207" s="563" t="s">
        <v>67</v>
      </c>
      <c r="KE207" s="563">
        <v>2</v>
      </c>
      <c r="KF207" s="563">
        <v>0</v>
      </c>
      <c r="KG207" s="563">
        <v>0</v>
      </c>
      <c r="KH207" s="563">
        <v>0</v>
      </c>
      <c r="KI207" s="650">
        <v>4486.8608778992439</v>
      </c>
      <c r="KJ207" s="563">
        <v>0</v>
      </c>
      <c r="KK207" s="563">
        <v>0</v>
      </c>
      <c r="KL207" s="563">
        <v>0</v>
      </c>
      <c r="KM207" s="650">
        <v>3387.7168552309909</v>
      </c>
      <c r="KN207" s="564">
        <v>3387.7168552309909</v>
      </c>
      <c r="KO207" s="566">
        <v>75.386686892588315</v>
      </c>
    </row>
    <row r="208" spans="1:301" ht="15" customHeight="1">
      <c r="A208" s="663" t="s">
        <v>957</v>
      </c>
      <c r="B208" s="629" t="s">
        <v>382</v>
      </c>
      <c r="C208" s="629">
        <v>190</v>
      </c>
      <c r="D208" s="629">
        <v>425</v>
      </c>
      <c r="E208" s="629">
        <v>0</v>
      </c>
      <c r="F208" s="629">
        <v>190</v>
      </c>
      <c r="G208" s="629">
        <v>28</v>
      </c>
      <c r="H208" s="629">
        <v>30</v>
      </c>
      <c r="I208" s="629">
        <v>130</v>
      </c>
      <c r="J208" s="629">
        <v>49.59</v>
      </c>
      <c r="K208" s="629">
        <v>33.33</v>
      </c>
      <c r="L208" s="629">
        <v>16</v>
      </c>
      <c r="M208" s="629">
        <v>270</v>
      </c>
      <c r="N208" s="629">
        <v>2</v>
      </c>
      <c r="O208" s="623">
        <v>2.2272419292395265</v>
      </c>
      <c r="P208" s="629">
        <v>3</v>
      </c>
      <c r="Q208" s="623">
        <v>1.5055847172880066</v>
      </c>
      <c r="R208" s="629">
        <v>9</v>
      </c>
      <c r="S208" s="629">
        <v>315</v>
      </c>
      <c r="T208" s="645">
        <v>5.5058345297138498</v>
      </c>
      <c r="U208" s="645">
        <v>47.25</v>
      </c>
      <c r="V208" s="645">
        <v>47.5</v>
      </c>
      <c r="W208" s="793">
        <v>0.49036338780263977</v>
      </c>
      <c r="X208" s="646">
        <v>0</v>
      </c>
      <c r="Y208" s="646">
        <v>0</v>
      </c>
      <c r="Z208" s="646">
        <v>0</v>
      </c>
      <c r="AA208" s="646">
        <v>0</v>
      </c>
      <c r="AB208" s="647">
        <v>0.36466750893904343</v>
      </c>
      <c r="AC208" s="784">
        <v>4000</v>
      </c>
      <c r="AD208" s="631"/>
      <c r="AE208" s="631"/>
      <c r="AF208" s="631"/>
      <c r="AG208" s="631"/>
      <c r="AH208" s="629"/>
      <c r="AI208" s="648">
        <v>1.2019444256573606</v>
      </c>
      <c r="AJ208" s="649">
        <v>5.4259200000000005</v>
      </c>
      <c r="AK208" s="646">
        <v>15.154944564044023</v>
      </c>
      <c r="AL208" s="646">
        <v>0</v>
      </c>
      <c r="AM208" s="646">
        <v>0</v>
      </c>
      <c r="AN208" s="646">
        <v>12.331738991678172</v>
      </c>
      <c r="AO208" s="646">
        <v>0.31823529997659938</v>
      </c>
      <c r="AP208" s="801">
        <v>1900</v>
      </c>
      <c r="AQ208" s="563" t="s">
        <v>67</v>
      </c>
      <c r="AR208" s="563">
        <v>2</v>
      </c>
      <c r="AS208" s="563">
        <v>0</v>
      </c>
      <c r="AT208" s="563">
        <v>0</v>
      </c>
      <c r="AU208" s="563">
        <v>0</v>
      </c>
      <c r="AV208" s="650">
        <v>4486.8608778992439</v>
      </c>
      <c r="AW208" s="563">
        <v>0</v>
      </c>
      <c r="AX208" s="563">
        <v>0</v>
      </c>
      <c r="AY208" s="563">
        <v>0</v>
      </c>
      <c r="AZ208" s="650">
        <v>3387.7168552309909</v>
      </c>
      <c r="BA208" s="564">
        <v>3387.7168552309909</v>
      </c>
      <c r="BB208" s="565">
        <v>75.386686892588315</v>
      </c>
      <c r="BC208" s="649">
        <v>5.4259200000000005</v>
      </c>
      <c r="BD208" s="646">
        <v>15.154944564044023</v>
      </c>
      <c r="BE208" s="646">
        <v>0</v>
      </c>
      <c r="BF208" s="646">
        <v>0</v>
      </c>
      <c r="BG208" s="646">
        <v>12.331738991678172</v>
      </c>
      <c r="BH208" s="646">
        <v>0.31823529997659938</v>
      </c>
      <c r="BI208" s="646">
        <v>2375</v>
      </c>
      <c r="BJ208" s="563" t="s">
        <v>67</v>
      </c>
      <c r="BK208" s="563">
        <v>2</v>
      </c>
      <c r="BL208" s="563">
        <v>0</v>
      </c>
      <c r="BM208" s="563">
        <v>0</v>
      </c>
      <c r="BN208" s="563">
        <v>0</v>
      </c>
      <c r="BO208" s="650">
        <v>4486.8608778992439</v>
      </c>
      <c r="BP208" s="563">
        <v>0</v>
      </c>
      <c r="BQ208" s="563">
        <v>0</v>
      </c>
      <c r="BR208" s="563">
        <v>0</v>
      </c>
      <c r="BS208" s="650">
        <v>3387.7168552309909</v>
      </c>
      <c r="BT208" s="564">
        <v>3387.7168552309909</v>
      </c>
      <c r="BU208" s="565">
        <v>75.386686892588315</v>
      </c>
      <c r="BV208" s="649">
        <v>8.1388800000000003</v>
      </c>
      <c r="BW208" s="646">
        <v>18.15826699767603</v>
      </c>
      <c r="BX208" s="646">
        <v>0.10904163871406138</v>
      </c>
      <c r="BY208" s="646">
        <v>0.18132079491794523</v>
      </c>
      <c r="BZ208" s="646">
        <v>13.272340200657073</v>
      </c>
      <c r="CA208" s="646">
        <v>0.40064695580300586</v>
      </c>
      <c r="CB208" s="646">
        <v>1900</v>
      </c>
      <c r="CC208" s="563" t="s">
        <v>1584</v>
      </c>
      <c r="CD208" s="563">
        <v>3</v>
      </c>
      <c r="CE208" s="563">
        <v>1</v>
      </c>
      <c r="CF208" s="563">
        <v>3</v>
      </c>
      <c r="CG208" s="563">
        <v>16.205227117207542</v>
      </c>
      <c r="CH208" s="650">
        <v>7522.4330701361878</v>
      </c>
      <c r="CI208" s="563">
        <v>1</v>
      </c>
      <c r="CJ208" s="563">
        <v>3</v>
      </c>
      <c r="CK208" s="563">
        <v>11.694031607810633</v>
      </c>
      <c r="CL208" s="650">
        <v>5501.8968203229397</v>
      </c>
      <c r="CM208" s="564">
        <v>4000</v>
      </c>
      <c r="CN208" s="565">
        <v>89.011791851710797</v>
      </c>
      <c r="CO208" s="649">
        <v>8.1388800000000003</v>
      </c>
      <c r="CP208" s="646">
        <v>18.15826699767603</v>
      </c>
      <c r="CQ208" s="646">
        <v>0.10904163871406138</v>
      </c>
      <c r="CR208" s="646">
        <v>0.18132079491794523</v>
      </c>
      <c r="CS208" s="646">
        <v>13.272340200657073</v>
      </c>
      <c r="CT208" s="646">
        <v>0.40064695580300586</v>
      </c>
      <c r="CU208" s="646">
        <v>2375</v>
      </c>
      <c r="CV208" s="563" t="s">
        <v>1584</v>
      </c>
      <c r="CW208" s="563">
        <v>3</v>
      </c>
      <c r="CX208" s="563">
        <v>1</v>
      </c>
      <c r="CY208" s="563">
        <v>3</v>
      </c>
      <c r="CZ208" s="563">
        <v>16.205227117207542</v>
      </c>
      <c r="DA208" s="650">
        <v>7522.4330701361878</v>
      </c>
      <c r="DB208" s="563">
        <v>1</v>
      </c>
      <c r="DC208" s="563">
        <v>3</v>
      </c>
      <c r="DD208" s="563">
        <v>11.694031607810633</v>
      </c>
      <c r="DE208" s="650">
        <v>5501.8968203229397</v>
      </c>
      <c r="DF208" s="564">
        <v>4000</v>
      </c>
      <c r="DG208" s="565">
        <v>89.011791851710797</v>
      </c>
      <c r="DH208" s="649">
        <v>5.4259200000000005</v>
      </c>
      <c r="DI208" s="646">
        <v>15.275825093989319</v>
      </c>
      <c r="DJ208" s="646">
        <v>0</v>
      </c>
      <c r="DK208" s="646">
        <v>0.12088052994529681</v>
      </c>
      <c r="DL208" s="646">
        <v>12.74851302927096</v>
      </c>
      <c r="DM208" s="646">
        <v>0.32340169072904235</v>
      </c>
      <c r="DN208" s="646">
        <v>1900</v>
      </c>
      <c r="DO208" s="563" t="s">
        <v>1585</v>
      </c>
      <c r="DP208" s="563">
        <v>2</v>
      </c>
      <c r="DQ208" s="563">
        <v>0</v>
      </c>
      <c r="DR208" s="563">
        <v>0</v>
      </c>
      <c r="DS208" s="563">
        <v>0</v>
      </c>
      <c r="DT208" s="650">
        <v>3022.7131364985971</v>
      </c>
      <c r="DU208" s="563">
        <v>1</v>
      </c>
      <c r="DV208" s="563">
        <v>2</v>
      </c>
      <c r="DW208" s="563">
        <v>11.694031607810633</v>
      </c>
      <c r="DX208" s="650">
        <v>6099.8313649287693</v>
      </c>
      <c r="DY208" s="564">
        <v>3022.7131364985971</v>
      </c>
      <c r="DZ208" s="565">
        <v>67.264278133361259</v>
      </c>
      <c r="EA208" s="649">
        <v>5.4259200000000005</v>
      </c>
      <c r="EB208" s="646">
        <v>16.436444289306365</v>
      </c>
      <c r="EC208" s="646">
        <v>7.2694425809374241E-2</v>
      </c>
      <c r="ED208" s="646">
        <v>1.2088052994529681</v>
      </c>
      <c r="EE208" s="646">
        <v>16.216985678717926</v>
      </c>
      <c r="EF208" s="646">
        <v>0.37067673263285733</v>
      </c>
      <c r="EG208" s="646">
        <v>2375</v>
      </c>
      <c r="EH208" s="563" t="s">
        <v>1585</v>
      </c>
      <c r="EI208" s="563">
        <v>2</v>
      </c>
      <c r="EJ208" s="563">
        <v>1</v>
      </c>
      <c r="EK208" s="563">
        <v>2</v>
      </c>
      <c r="EL208" s="563">
        <v>16.205227117207542</v>
      </c>
      <c r="EM208" s="650">
        <v>8339.9552336753623</v>
      </c>
      <c r="EN208" s="563">
        <v>2</v>
      </c>
      <c r="EO208" s="563">
        <v>10</v>
      </c>
      <c r="EP208" s="563">
        <v>11.694031607810633</v>
      </c>
      <c r="EQ208" s="650">
        <v>8102.5446303096751</v>
      </c>
      <c r="ER208" s="564">
        <v>4000</v>
      </c>
      <c r="ES208" s="565">
        <v>89.011791851710797</v>
      </c>
      <c r="ET208" s="649">
        <v>5.4259200000000005</v>
      </c>
      <c r="EU208" s="646">
        <v>15.154944564044023</v>
      </c>
      <c r="EV208" s="646">
        <v>0</v>
      </c>
      <c r="EW208" s="646">
        <v>0</v>
      </c>
      <c r="EX208" s="646">
        <v>12.331738991678172</v>
      </c>
      <c r="EY208" s="646">
        <v>0.31823529997659938</v>
      </c>
      <c r="EZ208" s="646">
        <v>1900</v>
      </c>
      <c r="FA208" s="563" t="s">
        <v>1587</v>
      </c>
      <c r="FB208" s="563">
        <v>2</v>
      </c>
      <c r="FC208" s="563">
        <v>0</v>
      </c>
      <c r="FD208" s="563">
        <v>0</v>
      </c>
      <c r="FE208" s="563">
        <v>0</v>
      </c>
      <c r="FF208" s="650">
        <v>3733.2939141090219</v>
      </c>
      <c r="FG208" s="563">
        <v>0</v>
      </c>
      <c r="FH208" s="563">
        <v>0</v>
      </c>
      <c r="FI208" s="563">
        <v>0</v>
      </c>
      <c r="FJ208" s="650">
        <v>2818.7508065282209</v>
      </c>
      <c r="FK208" s="564">
        <v>2818.7508065282209</v>
      </c>
      <c r="FL208" s="565">
        <v>62.725515018132988</v>
      </c>
      <c r="FM208" s="649">
        <v>5.4259200000000005</v>
      </c>
      <c r="FN208" s="646">
        <v>15.275825093989319</v>
      </c>
      <c r="FO208" s="646">
        <v>0</v>
      </c>
      <c r="FP208" s="646">
        <v>0.12088052994529681</v>
      </c>
      <c r="FQ208" s="646">
        <v>12.74851302927096</v>
      </c>
      <c r="FR208" s="646">
        <v>0.32340169072904235</v>
      </c>
      <c r="FS208" s="646">
        <v>2375</v>
      </c>
      <c r="FT208" s="563" t="s">
        <v>1587</v>
      </c>
      <c r="FU208" s="563">
        <v>2</v>
      </c>
      <c r="FV208" s="563">
        <v>0</v>
      </c>
      <c r="FW208" s="563">
        <v>0</v>
      </c>
      <c r="FX208" s="563">
        <v>0</v>
      </c>
      <c r="FY208" s="650">
        <v>3733.2939141090219</v>
      </c>
      <c r="FZ208" s="563">
        <v>1</v>
      </c>
      <c r="GA208" s="563">
        <v>2</v>
      </c>
      <c r="GB208" s="563">
        <v>11.694031607810633</v>
      </c>
      <c r="GC208" s="650">
        <v>7533.7824938920548</v>
      </c>
      <c r="GD208" s="564">
        <v>3733.2939141090219</v>
      </c>
      <c r="GE208" s="565">
        <v>83.076795200982744</v>
      </c>
      <c r="GF208" s="649">
        <v>5.4259200000000005</v>
      </c>
      <c r="GG208" s="646">
        <v>15.154944564044023</v>
      </c>
      <c r="GH208" s="646">
        <v>0</v>
      </c>
      <c r="GI208" s="646">
        <v>0</v>
      </c>
      <c r="GJ208" s="646">
        <v>12.331738991678172</v>
      </c>
      <c r="GK208" s="646">
        <v>0.31823529997659938</v>
      </c>
      <c r="GL208" s="646">
        <v>1900</v>
      </c>
      <c r="GM208" s="563" t="s">
        <v>1587</v>
      </c>
      <c r="GN208" s="563">
        <v>2</v>
      </c>
      <c r="GO208" s="563">
        <v>0</v>
      </c>
      <c r="GP208" s="563">
        <v>0</v>
      </c>
      <c r="GQ208" s="563">
        <v>0</v>
      </c>
      <c r="GR208" s="650">
        <v>3733.2939141090219</v>
      </c>
      <c r="GS208" s="563">
        <v>0</v>
      </c>
      <c r="GT208" s="563">
        <v>0</v>
      </c>
      <c r="GU208" s="563">
        <v>0</v>
      </c>
      <c r="GV208" s="650">
        <v>2818.7508065282209</v>
      </c>
      <c r="GW208" s="564">
        <v>2818.7508065282209</v>
      </c>
      <c r="GX208" s="565">
        <v>62.725515018132988</v>
      </c>
      <c r="GY208" s="649">
        <v>5.4259200000000005</v>
      </c>
      <c r="GZ208" s="646">
        <v>15.275825093989319</v>
      </c>
      <c r="HA208" s="646">
        <v>0</v>
      </c>
      <c r="HB208" s="646">
        <v>0.12088052994529681</v>
      </c>
      <c r="HC208" s="646">
        <v>12.74851302927096</v>
      </c>
      <c r="HD208" s="646">
        <v>0.32340169072904235</v>
      </c>
      <c r="HE208" s="646">
        <v>2375</v>
      </c>
      <c r="HF208" s="563" t="s">
        <v>1587</v>
      </c>
      <c r="HG208" s="563">
        <v>2</v>
      </c>
      <c r="HH208" s="563">
        <v>0</v>
      </c>
      <c r="HI208" s="563">
        <v>0</v>
      </c>
      <c r="HJ208" s="563">
        <v>0</v>
      </c>
      <c r="HK208" s="650">
        <v>3733.2939141090219</v>
      </c>
      <c r="HL208" s="563">
        <v>1</v>
      </c>
      <c r="HM208" s="563">
        <v>2</v>
      </c>
      <c r="HN208" s="563">
        <v>11.694031607810633</v>
      </c>
      <c r="HO208" s="650">
        <v>7533.7824938920548</v>
      </c>
      <c r="HP208" s="564">
        <v>3733.2939141090219</v>
      </c>
      <c r="HQ208" s="565">
        <v>83.076795200982744</v>
      </c>
      <c r="HR208" s="649">
        <v>5.4259200000000005</v>
      </c>
      <c r="HS208" s="646">
        <v>15.154944564044023</v>
      </c>
      <c r="HT208" s="646">
        <v>0</v>
      </c>
      <c r="HU208" s="646">
        <v>0</v>
      </c>
      <c r="HV208" s="646">
        <v>12.331738991678172</v>
      </c>
      <c r="HW208" s="646">
        <v>0.31823529997659938</v>
      </c>
      <c r="HX208" s="646">
        <v>1900</v>
      </c>
      <c r="HY208" s="563" t="s">
        <v>68</v>
      </c>
      <c r="HZ208" s="563">
        <v>2</v>
      </c>
      <c r="IA208" s="563">
        <v>0</v>
      </c>
      <c r="IB208" s="563">
        <v>0</v>
      </c>
      <c r="IC208" s="563">
        <v>0</v>
      </c>
      <c r="ID208" s="650">
        <v>3292.4557559522491</v>
      </c>
      <c r="IE208" s="563">
        <v>0</v>
      </c>
      <c r="IF208" s="563">
        <v>0</v>
      </c>
      <c r="IG208" s="563">
        <v>0</v>
      </c>
      <c r="IH208" s="650">
        <v>2485.9045473154965</v>
      </c>
      <c r="II208" s="564">
        <v>2485.9045473154965</v>
      </c>
      <c r="IJ208" s="565">
        <v>55.31870453221709</v>
      </c>
      <c r="IK208" s="649">
        <v>5.4259200000000005</v>
      </c>
      <c r="IL208" s="646">
        <v>15.154944564044023</v>
      </c>
      <c r="IM208" s="646">
        <v>0</v>
      </c>
      <c r="IN208" s="646">
        <v>0</v>
      </c>
      <c r="IO208" s="646">
        <v>12.331738991678172</v>
      </c>
      <c r="IP208" s="646">
        <v>0.31823529997659938</v>
      </c>
      <c r="IQ208" s="646">
        <v>2375</v>
      </c>
      <c r="IR208" s="563" t="s">
        <v>68</v>
      </c>
      <c r="IS208" s="563">
        <v>2</v>
      </c>
      <c r="IT208" s="563">
        <v>0</v>
      </c>
      <c r="IU208" s="563">
        <v>0</v>
      </c>
      <c r="IV208" s="563">
        <v>0</v>
      </c>
      <c r="IW208" s="650">
        <v>3292.4557559522491</v>
      </c>
      <c r="IX208" s="563">
        <v>0</v>
      </c>
      <c r="IY208" s="563">
        <v>0</v>
      </c>
      <c r="IZ208" s="563">
        <v>0</v>
      </c>
      <c r="JA208" s="650">
        <v>2485.9045473154965</v>
      </c>
      <c r="JB208" s="564">
        <v>2485.9045473154965</v>
      </c>
      <c r="JC208" s="565">
        <v>55.31870453221709</v>
      </c>
      <c r="JD208" s="649">
        <v>5.4259200000000005</v>
      </c>
      <c r="JE208" s="646">
        <v>15.154944564044023</v>
      </c>
      <c r="JF208" s="646">
        <v>0</v>
      </c>
      <c r="JG208" s="646">
        <v>0</v>
      </c>
      <c r="JH208" s="646">
        <v>12.331738991678172</v>
      </c>
      <c r="JI208" s="646">
        <v>0.31823529997659938</v>
      </c>
      <c r="JJ208" s="646">
        <v>1900</v>
      </c>
      <c r="JK208" s="563" t="s">
        <v>67</v>
      </c>
      <c r="JL208" s="563">
        <v>2</v>
      </c>
      <c r="JM208" s="563">
        <v>0</v>
      </c>
      <c r="JN208" s="563">
        <v>0</v>
      </c>
      <c r="JO208" s="563">
        <v>0</v>
      </c>
      <c r="JP208" s="650">
        <v>4486.8608778992439</v>
      </c>
      <c r="JQ208" s="563">
        <v>0</v>
      </c>
      <c r="JR208" s="563">
        <v>0</v>
      </c>
      <c r="JS208" s="563">
        <v>0</v>
      </c>
      <c r="JT208" s="650">
        <v>3387.7168552309909</v>
      </c>
      <c r="JU208" s="564">
        <v>3387.7168552309909</v>
      </c>
      <c r="JV208" s="565">
        <v>75.386686892588315</v>
      </c>
      <c r="JW208" s="649">
        <v>5.4259200000000005</v>
      </c>
      <c r="JX208" s="646">
        <v>15.154944564044023</v>
      </c>
      <c r="JY208" s="646">
        <v>0</v>
      </c>
      <c r="JZ208" s="646">
        <v>0</v>
      </c>
      <c r="KA208" s="646">
        <v>12.331738991678172</v>
      </c>
      <c r="KB208" s="646">
        <v>0.31823529997659938</v>
      </c>
      <c r="KC208" s="646">
        <v>2375</v>
      </c>
      <c r="KD208" s="563" t="s">
        <v>67</v>
      </c>
      <c r="KE208" s="563">
        <v>2</v>
      </c>
      <c r="KF208" s="563">
        <v>0</v>
      </c>
      <c r="KG208" s="563">
        <v>0</v>
      </c>
      <c r="KH208" s="563">
        <v>0</v>
      </c>
      <c r="KI208" s="650">
        <v>4486.8608778992439</v>
      </c>
      <c r="KJ208" s="563">
        <v>0</v>
      </c>
      <c r="KK208" s="563">
        <v>0</v>
      </c>
      <c r="KL208" s="563">
        <v>0</v>
      </c>
      <c r="KM208" s="650">
        <v>3387.7168552309909</v>
      </c>
      <c r="KN208" s="564">
        <v>3387.7168552309909</v>
      </c>
      <c r="KO208" s="566">
        <v>75.386686892588315</v>
      </c>
    </row>
    <row r="209" spans="1:301" ht="15" customHeight="1">
      <c r="A209" s="663" t="s">
        <v>958</v>
      </c>
      <c r="B209" s="629" t="s">
        <v>382</v>
      </c>
      <c r="C209" s="629">
        <v>190</v>
      </c>
      <c r="D209" s="629">
        <v>465</v>
      </c>
      <c r="E209" s="629">
        <v>0</v>
      </c>
      <c r="F209" s="629">
        <v>0</v>
      </c>
      <c r="G209" s="629">
        <v>28</v>
      </c>
      <c r="H209" s="629">
        <v>20</v>
      </c>
      <c r="I209" s="629">
        <v>130</v>
      </c>
      <c r="J209" s="629">
        <v>50.45</v>
      </c>
      <c r="K209" s="629">
        <v>32.340000000000003</v>
      </c>
      <c r="L209" s="629">
        <v>16</v>
      </c>
      <c r="M209" s="629">
        <v>270</v>
      </c>
      <c r="N209" s="629">
        <v>2</v>
      </c>
      <c r="O209" s="623">
        <v>2.6662166707256283</v>
      </c>
      <c r="P209" s="629">
        <v>3</v>
      </c>
      <c r="Q209" s="623">
        <v>1.5351785200848223</v>
      </c>
      <c r="R209" s="629">
        <v>11</v>
      </c>
      <c r="S209" s="629">
        <v>365</v>
      </c>
      <c r="T209" s="645">
        <v>9.0352037820132729</v>
      </c>
      <c r="U209" s="645">
        <v>54.75</v>
      </c>
      <c r="V209" s="645">
        <v>10</v>
      </c>
      <c r="W209" s="793">
        <v>0.13860823983770362</v>
      </c>
      <c r="X209" s="646">
        <v>0</v>
      </c>
      <c r="Y209" s="646">
        <v>0</v>
      </c>
      <c r="Z209" s="646">
        <v>0</v>
      </c>
      <c r="AA209" s="646">
        <v>0</v>
      </c>
      <c r="AB209" s="647">
        <v>0.29000785431415449</v>
      </c>
      <c r="AC209" s="784">
        <v>4000</v>
      </c>
      <c r="AD209" s="631"/>
      <c r="AE209" s="631"/>
      <c r="AF209" s="631"/>
      <c r="AG209" s="631"/>
      <c r="AH209" s="629"/>
      <c r="AI209" s="648">
        <v>1.2705851241251573</v>
      </c>
      <c r="AJ209" s="649">
        <v>5.0868000000000011</v>
      </c>
      <c r="AK209" s="646">
        <v>18.46200721266143</v>
      </c>
      <c r="AL209" s="646">
        <v>0</v>
      </c>
      <c r="AM209" s="646">
        <v>0</v>
      </c>
      <c r="AN209" s="646">
        <v>8.497546414525841</v>
      </c>
      <c r="AO209" s="646">
        <v>0.45002658341625112</v>
      </c>
      <c r="AP209" s="801">
        <v>1800</v>
      </c>
      <c r="AQ209" s="563" t="s">
        <v>67</v>
      </c>
      <c r="AR209" s="563">
        <v>2</v>
      </c>
      <c r="AS209" s="563">
        <v>0</v>
      </c>
      <c r="AT209" s="563">
        <v>0</v>
      </c>
      <c r="AU209" s="563">
        <v>0</v>
      </c>
      <c r="AV209" s="650">
        <v>4259.8300361717265</v>
      </c>
      <c r="AW209" s="563">
        <v>0</v>
      </c>
      <c r="AX209" s="563">
        <v>0</v>
      </c>
      <c r="AY209" s="563">
        <v>0</v>
      </c>
      <c r="AZ209" s="650">
        <v>3220.7257198432549</v>
      </c>
      <c r="BA209" s="564">
        <v>3220.7257198432549</v>
      </c>
      <c r="BB209" s="565">
        <v>78.416114020326333</v>
      </c>
      <c r="BC209" s="649">
        <v>5.0868000000000011</v>
      </c>
      <c r="BD209" s="646">
        <v>18.46200721266143</v>
      </c>
      <c r="BE209" s="646">
        <v>0</v>
      </c>
      <c r="BF209" s="646">
        <v>0</v>
      </c>
      <c r="BG209" s="646">
        <v>8.497546414525841</v>
      </c>
      <c r="BH209" s="646">
        <v>0.45002658341625112</v>
      </c>
      <c r="BI209" s="646">
        <v>2250</v>
      </c>
      <c r="BJ209" s="563" t="s">
        <v>67</v>
      </c>
      <c r="BK209" s="563">
        <v>2</v>
      </c>
      <c r="BL209" s="563">
        <v>0</v>
      </c>
      <c r="BM209" s="563">
        <v>0</v>
      </c>
      <c r="BN209" s="563">
        <v>0</v>
      </c>
      <c r="BO209" s="650">
        <v>4259.8300361717265</v>
      </c>
      <c r="BP209" s="563">
        <v>0</v>
      </c>
      <c r="BQ209" s="563">
        <v>0</v>
      </c>
      <c r="BR209" s="563">
        <v>0</v>
      </c>
      <c r="BS209" s="650">
        <v>3220.7257198432549</v>
      </c>
      <c r="BT209" s="564">
        <v>3220.7257198432549</v>
      </c>
      <c r="BU209" s="565">
        <v>78.416114020326333</v>
      </c>
      <c r="BV209" s="649">
        <v>7.6302000000000021</v>
      </c>
      <c r="BW209" s="646">
        <v>21.308458051169779</v>
      </c>
      <c r="BX209" s="646">
        <v>0.110093481223624</v>
      </c>
      <c r="BY209" s="646">
        <v>0.19295735728472416</v>
      </c>
      <c r="BZ209" s="646">
        <v>9.1962978156407242</v>
      </c>
      <c r="CA209" s="646">
        <v>0.54136007693834476</v>
      </c>
      <c r="CB209" s="646">
        <v>1800</v>
      </c>
      <c r="CC209" s="563" t="s">
        <v>1584</v>
      </c>
      <c r="CD209" s="563">
        <v>3</v>
      </c>
      <c r="CE209" s="563">
        <v>1</v>
      </c>
      <c r="CF209" s="563">
        <v>3</v>
      </c>
      <c r="CG209" s="563">
        <v>16.368911702737172</v>
      </c>
      <c r="CH209" s="650">
        <v>6882.2494362257248</v>
      </c>
      <c r="CI209" s="563">
        <v>1</v>
      </c>
      <c r="CJ209" s="563">
        <v>3</v>
      </c>
      <c r="CK209" s="563">
        <v>11.356209765219655</v>
      </c>
      <c r="CL209" s="650">
        <v>5108.9526893028496</v>
      </c>
      <c r="CM209" s="564">
        <v>4000</v>
      </c>
      <c r="CN209" s="565">
        <v>97.389372261283583</v>
      </c>
      <c r="CO209" s="649">
        <v>7.6302000000000021</v>
      </c>
      <c r="CP209" s="646">
        <v>21.308458051169779</v>
      </c>
      <c r="CQ209" s="646">
        <v>0.110093481223624</v>
      </c>
      <c r="CR209" s="646">
        <v>0.19295735728472416</v>
      </c>
      <c r="CS209" s="646">
        <v>9.1962978156407242</v>
      </c>
      <c r="CT209" s="646">
        <v>0.54136007693834476</v>
      </c>
      <c r="CU209" s="646">
        <v>2250</v>
      </c>
      <c r="CV209" s="563" t="s">
        <v>1584</v>
      </c>
      <c r="CW209" s="563">
        <v>3</v>
      </c>
      <c r="CX209" s="563">
        <v>1</v>
      </c>
      <c r="CY209" s="563">
        <v>3</v>
      </c>
      <c r="CZ209" s="563">
        <v>16.368911702737172</v>
      </c>
      <c r="DA209" s="650">
        <v>6882.2494362257248</v>
      </c>
      <c r="DB209" s="563">
        <v>1</v>
      </c>
      <c r="DC209" s="563">
        <v>3</v>
      </c>
      <c r="DD209" s="563">
        <v>11.356209765219655</v>
      </c>
      <c r="DE209" s="650">
        <v>5108.9526893028496</v>
      </c>
      <c r="DF209" s="564">
        <v>4000</v>
      </c>
      <c r="DG209" s="565">
        <v>97.389372261283583</v>
      </c>
      <c r="DH209" s="649">
        <v>5.0868000000000011</v>
      </c>
      <c r="DI209" s="646">
        <v>18.590645450851245</v>
      </c>
      <c r="DJ209" s="646">
        <v>0</v>
      </c>
      <c r="DK209" s="646">
        <v>0.12863823818981612</v>
      </c>
      <c r="DL209" s="646">
        <v>8.8885159535799279</v>
      </c>
      <c r="DM209" s="646">
        <v>0.45664893304324417</v>
      </c>
      <c r="DN209" s="646">
        <v>1800</v>
      </c>
      <c r="DO209" s="563" t="s">
        <v>1585</v>
      </c>
      <c r="DP209" s="563">
        <v>2</v>
      </c>
      <c r="DQ209" s="563">
        <v>0</v>
      </c>
      <c r="DR209" s="563">
        <v>0</v>
      </c>
      <c r="DS209" s="563">
        <v>0</v>
      </c>
      <c r="DT209" s="650">
        <v>2869.7667612141895</v>
      </c>
      <c r="DU209" s="563">
        <v>1</v>
      </c>
      <c r="DV209" s="563">
        <v>2</v>
      </c>
      <c r="DW209" s="563">
        <v>11.356209765219655</v>
      </c>
      <c r="DX209" s="650">
        <v>5664.1828943490655</v>
      </c>
      <c r="DY209" s="564">
        <v>2869.7667612141895</v>
      </c>
      <c r="DZ209" s="565">
        <v>69.871195852736705</v>
      </c>
      <c r="EA209" s="649">
        <v>5.0868000000000011</v>
      </c>
      <c r="EB209" s="646">
        <v>18.792679343190144</v>
      </c>
      <c r="EC209" s="646">
        <v>7.3395654149082667E-2</v>
      </c>
      <c r="ED209" s="646">
        <v>0.25727647637963225</v>
      </c>
      <c r="EE209" s="646">
        <v>9.2769470237485301</v>
      </c>
      <c r="EF209" s="646">
        <v>0.46405764497463992</v>
      </c>
      <c r="EG209" s="646">
        <v>2250</v>
      </c>
      <c r="EH209" s="563" t="s">
        <v>1585</v>
      </c>
      <c r="EI209" s="563">
        <v>2</v>
      </c>
      <c r="EJ209" s="563">
        <v>1</v>
      </c>
      <c r="EK209" s="563">
        <v>2</v>
      </c>
      <c r="EL209" s="563">
        <v>16.368911702737172</v>
      </c>
      <c r="EM209" s="650">
        <v>7630.1977923840668</v>
      </c>
      <c r="EN209" s="563">
        <v>2</v>
      </c>
      <c r="EO209" s="563">
        <v>2</v>
      </c>
      <c r="EP209" s="563">
        <v>11.356209765219655</v>
      </c>
      <c r="EQ209" s="650">
        <v>6050.0074441115912</v>
      </c>
      <c r="ER209" s="564">
        <v>4000</v>
      </c>
      <c r="ES209" s="565">
        <v>97.389372261283583</v>
      </c>
      <c r="ET209" s="649">
        <v>5.0868000000000011</v>
      </c>
      <c r="EU209" s="646">
        <v>18.46200721266143</v>
      </c>
      <c r="EV209" s="646">
        <v>0</v>
      </c>
      <c r="EW209" s="646">
        <v>0</v>
      </c>
      <c r="EX209" s="646">
        <v>8.497546414525841</v>
      </c>
      <c r="EY209" s="646">
        <v>0.45002658341625112</v>
      </c>
      <c r="EZ209" s="646">
        <v>1800</v>
      </c>
      <c r="FA209" s="563" t="s">
        <v>1587</v>
      </c>
      <c r="FB209" s="563">
        <v>2</v>
      </c>
      <c r="FC209" s="563">
        <v>0</v>
      </c>
      <c r="FD209" s="563">
        <v>0</v>
      </c>
      <c r="FE209" s="563">
        <v>0</v>
      </c>
      <c r="FF209" s="650">
        <v>3544.3928354258724</v>
      </c>
      <c r="FG209" s="563">
        <v>0</v>
      </c>
      <c r="FH209" s="563">
        <v>0</v>
      </c>
      <c r="FI209" s="563">
        <v>0</v>
      </c>
      <c r="FJ209" s="650">
        <v>2679.8057831770438</v>
      </c>
      <c r="FK209" s="564">
        <v>2679.8057831770438</v>
      </c>
      <c r="FL209" s="565">
        <v>65.246150751442428</v>
      </c>
      <c r="FM209" s="649">
        <v>5.0868000000000011</v>
      </c>
      <c r="FN209" s="646">
        <v>18.590645450851245</v>
      </c>
      <c r="FO209" s="646">
        <v>0</v>
      </c>
      <c r="FP209" s="646">
        <v>0.12863823818981612</v>
      </c>
      <c r="FQ209" s="646">
        <v>8.8885159535799279</v>
      </c>
      <c r="FR209" s="646">
        <v>0.45664893304324417</v>
      </c>
      <c r="FS209" s="646">
        <v>2250</v>
      </c>
      <c r="FT209" s="563" t="s">
        <v>1587</v>
      </c>
      <c r="FU209" s="563">
        <v>2</v>
      </c>
      <c r="FV209" s="563">
        <v>0</v>
      </c>
      <c r="FW209" s="563">
        <v>0</v>
      </c>
      <c r="FX209" s="563">
        <v>0</v>
      </c>
      <c r="FY209" s="650">
        <v>3544.3928354258724</v>
      </c>
      <c r="FZ209" s="563">
        <v>1</v>
      </c>
      <c r="GA209" s="563">
        <v>2</v>
      </c>
      <c r="GB209" s="563">
        <v>11.356209765219655</v>
      </c>
      <c r="GC209" s="650">
        <v>6995.7215828946319</v>
      </c>
      <c r="GD209" s="564">
        <v>3544.3928354258724</v>
      </c>
      <c r="GE209" s="565">
        <v>86.296548322379195</v>
      </c>
      <c r="GF209" s="649">
        <v>5.0868000000000011</v>
      </c>
      <c r="GG209" s="646">
        <v>18.46200721266143</v>
      </c>
      <c r="GH209" s="646">
        <v>0</v>
      </c>
      <c r="GI209" s="646">
        <v>0</v>
      </c>
      <c r="GJ209" s="646">
        <v>8.497546414525841</v>
      </c>
      <c r="GK209" s="646">
        <v>0.45002658341625112</v>
      </c>
      <c r="GL209" s="646">
        <v>1800</v>
      </c>
      <c r="GM209" s="563" t="s">
        <v>1587</v>
      </c>
      <c r="GN209" s="563">
        <v>2</v>
      </c>
      <c r="GO209" s="563">
        <v>0</v>
      </c>
      <c r="GP209" s="563">
        <v>0</v>
      </c>
      <c r="GQ209" s="563">
        <v>0</v>
      </c>
      <c r="GR209" s="650">
        <v>3544.3928354258724</v>
      </c>
      <c r="GS209" s="563">
        <v>0</v>
      </c>
      <c r="GT209" s="563">
        <v>0</v>
      </c>
      <c r="GU209" s="563">
        <v>0</v>
      </c>
      <c r="GV209" s="650">
        <v>2679.8057831770438</v>
      </c>
      <c r="GW209" s="564">
        <v>2679.8057831770438</v>
      </c>
      <c r="GX209" s="565">
        <v>65.246150751442428</v>
      </c>
      <c r="GY209" s="649">
        <v>5.0868000000000011</v>
      </c>
      <c r="GZ209" s="646">
        <v>18.590645450851245</v>
      </c>
      <c r="HA209" s="646">
        <v>0</v>
      </c>
      <c r="HB209" s="646">
        <v>0.12863823818981612</v>
      </c>
      <c r="HC209" s="646">
        <v>8.8885159535799279</v>
      </c>
      <c r="HD209" s="646">
        <v>0.45664893304324417</v>
      </c>
      <c r="HE209" s="646">
        <v>2250</v>
      </c>
      <c r="HF209" s="563" t="s">
        <v>1587</v>
      </c>
      <c r="HG209" s="563">
        <v>2</v>
      </c>
      <c r="HH209" s="563">
        <v>0</v>
      </c>
      <c r="HI209" s="563">
        <v>0</v>
      </c>
      <c r="HJ209" s="563">
        <v>0</v>
      </c>
      <c r="HK209" s="650">
        <v>3544.3928354258724</v>
      </c>
      <c r="HL209" s="563">
        <v>1</v>
      </c>
      <c r="HM209" s="563">
        <v>2</v>
      </c>
      <c r="HN209" s="563">
        <v>11.356209765219655</v>
      </c>
      <c r="HO209" s="650">
        <v>6995.7215828946319</v>
      </c>
      <c r="HP209" s="564">
        <v>3544.3928354258724</v>
      </c>
      <c r="HQ209" s="565">
        <v>86.296548322379195</v>
      </c>
      <c r="HR209" s="649">
        <v>5.0868000000000011</v>
      </c>
      <c r="HS209" s="646">
        <v>18.46200721266143</v>
      </c>
      <c r="HT209" s="646">
        <v>0</v>
      </c>
      <c r="HU209" s="646">
        <v>0</v>
      </c>
      <c r="HV209" s="646">
        <v>8.497546414525841</v>
      </c>
      <c r="HW209" s="646">
        <v>0.45002658341625112</v>
      </c>
      <c r="HX209" s="646">
        <v>1800</v>
      </c>
      <c r="HY209" s="563" t="s">
        <v>68</v>
      </c>
      <c r="HZ209" s="563">
        <v>2</v>
      </c>
      <c r="IA209" s="563">
        <v>0</v>
      </c>
      <c r="IB209" s="563">
        <v>0</v>
      </c>
      <c r="IC209" s="563">
        <v>0</v>
      </c>
      <c r="ID209" s="650">
        <v>3125.8606637562048</v>
      </c>
      <c r="IE209" s="563">
        <v>0</v>
      </c>
      <c r="IF209" s="563">
        <v>0</v>
      </c>
      <c r="IG209" s="563">
        <v>0</v>
      </c>
      <c r="IH209" s="650">
        <v>2363.3665547495721</v>
      </c>
      <c r="II209" s="564">
        <v>2363.3665547495721</v>
      </c>
      <c r="IJ209" s="565">
        <v>57.541696297593333</v>
      </c>
      <c r="IK209" s="649">
        <v>5.0868000000000011</v>
      </c>
      <c r="IL209" s="646">
        <v>18.46200721266143</v>
      </c>
      <c r="IM209" s="646">
        <v>0</v>
      </c>
      <c r="IN209" s="646">
        <v>0</v>
      </c>
      <c r="IO209" s="646">
        <v>8.497546414525841</v>
      </c>
      <c r="IP209" s="646">
        <v>0.45002658341625112</v>
      </c>
      <c r="IQ209" s="646">
        <v>2250</v>
      </c>
      <c r="IR209" s="563" t="s">
        <v>68</v>
      </c>
      <c r="IS209" s="563">
        <v>2</v>
      </c>
      <c r="IT209" s="563">
        <v>0</v>
      </c>
      <c r="IU209" s="563">
        <v>0</v>
      </c>
      <c r="IV209" s="563">
        <v>0</v>
      </c>
      <c r="IW209" s="650">
        <v>3125.8606637562048</v>
      </c>
      <c r="IX209" s="563">
        <v>0</v>
      </c>
      <c r="IY209" s="563">
        <v>0</v>
      </c>
      <c r="IZ209" s="563">
        <v>0</v>
      </c>
      <c r="JA209" s="650">
        <v>2363.3665547495721</v>
      </c>
      <c r="JB209" s="564">
        <v>2363.3665547495721</v>
      </c>
      <c r="JC209" s="565">
        <v>57.541696297593333</v>
      </c>
      <c r="JD209" s="649">
        <v>5.0868000000000011</v>
      </c>
      <c r="JE209" s="646">
        <v>18.46200721266143</v>
      </c>
      <c r="JF209" s="646">
        <v>0</v>
      </c>
      <c r="JG209" s="646">
        <v>0</v>
      </c>
      <c r="JH209" s="646">
        <v>8.497546414525841</v>
      </c>
      <c r="JI209" s="646">
        <v>0.45002658341625112</v>
      </c>
      <c r="JJ209" s="646">
        <v>1800</v>
      </c>
      <c r="JK209" s="563" t="s">
        <v>67</v>
      </c>
      <c r="JL209" s="563">
        <v>2</v>
      </c>
      <c r="JM209" s="563">
        <v>0</v>
      </c>
      <c r="JN209" s="563">
        <v>0</v>
      </c>
      <c r="JO209" s="563">
        <v>0</v>
      </c>
      <c r="JP209" s="650">
        <v>4259.8300361717265</v>
      </c>
      <c r="JQ209" s="563">
        <v>0</v>
      </c>
      <c r="JR209" s="563">
        <v>0</v>
      </c>
      <c r="JS209" s="563">
        <v>0</v>
      </c>
      <c r="JT209" s="650">
        <v>3220.7257198432549</v>
      </c>
      <c r="JU209" s="564">
        <v>3220.7257198432549</v>
      </c>
      <c r="JV209" s="565">
        <v>78.416114020326333</v>
      </c>
      <c r="JW209" s="649">
        <v>5.0868000000000011</v>
      </c>
      <c r="JX209" s="646">
        <v>18.46200721266143</v>
      </c>
      <c r="JY209" s="646">
        <v>0</v>
      </c>
      <c r="JZ209" s="646">
        <v>0</v>
      </c>
      <c r="KA209" s="646">
        <v>8.497546414525841</v>
      </c>
      <c r="KB209" s="646">
        <v>0.45002658341625112</v>
      </c>
      <c r="KC209" s="646">
        <v>2250</v>
      </c>
      <c r="KD209" s="563" t="s">
        <v>67</v>
      </c>
      <c r="KE209" s="563">
        <v>2</v>
      </c>
      <c r="KF209" s="563">
        <v>0</v>
      </c>
      <c r="KG209" s="563">
        <v>0</v>
      </c>
      <c r="KH209" s="563">
        <v>0</v>
      </c>
      <c r="KI209" s="650">
        <v>4259.8300361717265</v>
      </c>
      <c r="KJ209" s="563">
        <v>0</v>
      </c>
      <c r="KK209" s="563">
        <v>0</v>
      </c>
      <c r="KL209" s="563">
        <v>0</v>
      </c>
      <c r="KM209" s="650">
        <v>3220.7257198432549</v>
      </c>
      <c r="KN209" s="564">
        <v>3220.7257198432549</v>
      </c>
      <c r="KO209" s="566">
        <v>78.416114020326333</v>
      </c>
    </row>
    <row r="210" spans="1:301" ht="15" customHeight="1">
      <c r="A210" s="663" t="s">
        <v>959</v>
      </c>
      <c r="B210" s="629" t="s">
        <v>382</v>
      </c>
      <c r="C210" s="629">
        <v>190</v>
      </c>
      <c r="D210" s="629">
        <v>465</v>
      </c>
      <c r="E210" s="629">
        <v>0</v>
      </c>
      <c r="F210" s="629">
        <v>176.34107993830318</v>
      </c>
      <c r="G210" s="629">
        <v>37.502264187537214</v>
      </c>
      <c r="H210" s="629">
        <v>24.633890033307118</v>
      </c>
      <c r="I210" s="629">
        <v>130</v>
      </c>
      <c r="J210" s="629">
        <v>50.45</v>
      </c>
      <c r="K210" s="629">
        <v>32.340000000000003</v>
      </c>
      <c r="L210" s="629">
        <v>16</v>
      </c>
      <c r="M210" s="629">
        <v>316.60876301888629</v>
      </c>
      <c r="N210" s="629">
        <v>5</v>
      </c>
      <c r="O210" s="623">
        <v>6.6655416768140707</v>
      </c>
      <c r="P210" s="629">
        <v>5</v>
      </c>
      <c r="Q210" s="623">
        <v>2.5586308668080369</v>
      </c>
      <c r="R210" s="629">
        <v>11</v>
      </c>
      <c r="S210" s="629">
        <v>365</v>
      </c>
      <c r="T210" s="645">
        <v>9.0352037820132729</v>
      </c>
      <c r="U210" s="645">
        <v>54.75</v>
      </c>
      <c r="V210" s="645">
        <v>47.5</v>
      </c>
      <c r="W210" s="793">
        <v>0.65838913922909226</v>
      </c>
      <c r="X210" s="646">
        <v>0</v>
      </c>
      <c r="Y210" s="646">
        <v>0</v>
      </c>
      <c r="Z210" s="646">
        <v>0</v>
      </c>
      <c r="AA210" s="646">
        <v>0</v>
      </c>
      <c r="AB210" s="647">
        <v>0.5761350934132129</v>
      </c>
      <c r="AC210" s="784">
        <v>4000</v>
      </c>
      <c r="AD210" s="631"/>
      <c r="AE210" s="631"/>
      <c r="AF210" s="631"/>
      <c r="AG210" s="631"/>
      <c r="AH210" s="629"/>
      <c r="AI210" s="648">
        <v>1.4059202384330591</v>
      </c>
      <c r="AJ210" s="649">
        <v>6.1491806473170296</v>
      </c>
      <c r="AK210" s="646">
        <v>25.066946112181505</v>
      </c>
      <c r="AL210" s="646">
        <v>0</v>
      </c>
      <c r="AM210" s="646">
        <v>0</v>
      </c>
      <c r="AN210" s="646">
        <v>12.433276843518858</v>
      </c>
      <c r="AO210" s="646">
        <v>0.63633466702102237</v>
      </c>
      <c r="AP210" s="801">
        <v>1800</v>
      </c>
      <c r="AQ210" s="563" t="s">
        <v>67</v>
      </c>
      <c r="AR210" s="563">
        <v>2</v>
      </c>
      <c r="AS210" s="563">
        <v>0</v>
      </c>
      <c r="AT210" s="563">
        <v>0</v>
      </c>
      <c r="AU210" s="563">
        <v>0</v>
      </c>
      <c r="AV210" s="650">
        <v>4259.8300361717265</v>
      </c>
      <c r="AW210" s="563">
        <v>0</v>
      </c>
      <c r="AX210" s="563">
        <v>0</v>
      </c>
      <c r="AY210" s="563">
        <v>0</v>
      </c>
      <c r="AZ210" s="650">
        <v>3220.7257198432549</v>
      </c>
      <c r="BA210" s="564">
        <v>3220.7257198432549</v>
      </c>
      <c r="BB210" s="565">
        <v>78.416114020326333</v>
      </c>
      <c r="BC210" s="649">
        <v>6.1491806473170296</v>
      </c>
      <c r="BD210" s="646">
        <v>25.066946112181505</v>
      </c>
      <c r="BE210" s="646">
        <v>0</v>
      </c>
      <c r="BF210" s="646">
        <v>0</v>
      </c>
      <c r="BG210" s="646">
        <v>12.433276843518858</v>
      </c>
      <c r="BH210" s="646">
        <v>0.63633466702102237</v>
      </c>
      <c r="BI210" s="646">
        <v>2250</v>
      </c>
      <c r="BJ210" s="563" t="s">
        <v>67</v>
      </c>
      <c r="BK210" s="563">
        <v>2</v>
      </c>
      <c r="BL210" s="563">
        <v>0</v>
      </c>
      <c r="BM210" s="563">
        <v>0</v>
      </c>
      <c r="BN210" s="563">
        <v>0</v>
      </c>
      <c r="BO210" s="650">
        <v>4259.8300361717265</v>
      </c>
      <c r="BP210" s="563">
        <v>0</v>
      </c>
      <c r="BQ210" s="563">
        <v>0</v>
      </c>
      <c r="BR210" s="563">
        <v>0</v>
      </c>
      <c r="BS210" s="650">
        <v>3220.7257198432549</v>
      </c>
      <c r="BT210" s="564">
        <v>3220.7257198432549</v>
      </c>
      <c r="BU210" s="565">
        <v>78.416114020326333</v>
      </c>
      <c r="BV210" s="649">
        <v>9.2237709709755435</v>
      </c>
      <c r="BW210" s="646">
        <v>28.444587274348365</v>
      </c>
      <c r="BX210" s="646">
        <v>0.110093481223624</v>
      </c>
      <c r="BY210" s="646">
        <v>0.19295735728472416</v>
      </c>
      <c r="BZ210" s="646">
        <v>12.776845052195073</v>
      </c>
      <c r="CA210" s="646">
        <v>0.74442223534525775</v>
      </c>
      <c r="CB210" s="646">
        <v>1800</v>
      </c>
      <c r="CC210" s="563" t="s">
        <v>1584</v>
      </c>
      <c r="CD210" s="563">
        <v>3</v>
      </c>
      <c r="CE210" s="563">
        <v>1</v>
      </c>
      <c r="CF210" s="563">
        <v>3</v>
      </c>
      <c r="CG210" s="563">
        <v>16.368911702737172</v>
      </c>
      <c r="CH210" s="650">
        <v>6882.2494362257248</v>
      </c>
      <c r="CI210" s="563">
        <v>1</v>
      </c>
      <c r="CJ210" s="563">
        <v>3</v>
      </c>
      <c r="CK210" s="563">
        <v>11.356209765219655</v>
      </c>
      <c r="CL210" s="650">
        <v>5108.9526893028496</v>
      </c>
      <c r="CM210" s="564">
        <v>4000</v>
      </c>
      <c r="CN210" s="565">
        <v>97.389372261283583</v>
      </c>
      <c r="CO210" s="649">
        <v>9.2237709709755435</v>
      </c>
      <c r="CP210" s="646">
        <v>28.444587274348365</v>
      </c>
      <c r="CQ210" s="646">
        <v>0.110093481223624</v>
      </c>
      <c r="CR210" s="646">
        <v>0.19295735728472416</v>
      </c>
      <c r="CS210" s="646">
        <v>12.776845052195073</v>
      </c>
      <c r="CT210" s="646">
        <v>0.74442223534525775</v>
      </c>
      <c r="CU210" s="646">
        <v>2250</v>
      </c>
      <c r="CV210" s="563" t="s">
        <v>1584</v>
      </c>
      <c r="CW210" s="563">
        <v>3</v>
      </c>
      <c r="CX210" s="563">
        <v>1</v>
      </c>
      <c r="CY210" s="563">
        <v>3</v>
      </c>
      <c r="CZ210" s="563">
        <v>16.368911702737172</v>
      </c>
      <c r="DA210" s="650">
        <v>6882.2494362257248</v>
      </c>
      <c r="DB210" s="563">
        <v>1</v>
      </c>
      <c r="DC210" s="563">
        <v>3</v>
      </c>
      <c r="DD210" s="563">
        <v>11.356209765219655</v>
      </c>
      <c r="DE210" s="650">
        <v>5108.9526893028496</v>
      </c>
      <c r="DF210" s="564">
        <v>4000</v>
      </c>
      <c r="DG210" s="565">
        <v>97.389372261283583</v>
      </c>
      <c r="DH210" s="649">
        <v>6.1491806473170296</v>
      </c>
      <c r="DI210" s="646">
        <v>25.19558435037132</v>
      </c>
      <c r="DJ210" s="646">
        <v>0</v>
      </c>
      <c r="DK210" s="646">
        <v>0.12863823818981612</v>
      </c>
      <c r="DL210" s="646">
        <v>12.70166080160562</v>
      </c>
      <c r="DM210" s="646">
        <v>0.64295701664801541</v>
      </c>
      <c r="DN210" s="646">
        <v>1800</v>
      </c>
      <c r="DO210" s="563" t="s">
        <v>1585</v>
      </c>
      <c r="DP210" s="563">
        <v>2</v>
      </c>
      <c r="DQ210" s="563">
        <v>0</v>
      </c>
      <c r="DR210" s="563">
        <v>0</v>
      </c>
      <c r="DS210" s="563">
        <v>0</v>
      </c>
      <c r="DT210" s="650">
        <v>2869.7667612141895</v>
      </c>
      <c r="DU210" s="563">
        <v>1</v>
      </c>
      <c r="DV210" s="563">
        <v>2</v>
      </c>
      <c r="DW210" s="563">
        <v>11.356209765219655</v>
      </c>
      <c r="DX210" s="650">
        <v>5664.1828943490655</v>
      </c>
      <c r="DY210" s="564">
        <v>2869.7667612141895</v>
      </c>
      <c r="DZ210" s="565">
        <v>69.871195852736705</v>
      </c>
      <c r="EA210" s="649">
        <v>6.1491806473170296</v>
      </c>
      <c r="EB210" s="646">
        <v>25.39761824271022</v>
      </c>
      <c r="EC210" s="646">
        <v>7.3395654149082667E-2</v>
      </c>
      <c r="ED210" s="646">
        <v>0.25727647637963225</v>
      </c>
      <c r="EE210" s="646">
        <v>12.965438675735992</v>
      </c>
      <c r="EF210" s="646">
        <v>0.65036572857941111</v>
      </c>
      <c r="EG210" s="646">
        <v>2250</v>
      </c>
      <c r="EH210" s="563" t="s">
        <v>1585</v>
      </c>
      <c r="EI210" s="563">
        <v>2</v>
      </c>
      <c r="EJ210" s="563">
        <v>1</v>
      </c>
      <c r="EK210" s="563">
        <v>2</v>
      </c>
      <c r="EL210" s="563">
        <v>16.368911702737172</v>
      </c>
      <c r="EM210" s="650">
        <v>7630.1977923840668</v>
      </c>
      <c r="EN210" s="563">
        <v>2</v>
      </c>
      <c r="EO210" s="563">
        <v>2</v>
      </c>
      <c r="EP210" s="563">
        <v>11.356209765219655</v>
      </c>
      <c r="EQ210" s="650">
        <v>6050.0074441115912</v>
      </c>
      <c r="ER210" s="564">
        <v>4000</v>
      </c>
      <c r="ES210" s="565">
        <v>97.389372261283583</v>
      </c>
      <c r="ET210" s="649">
        <v>6.1491806473170296</v>
      </c>
      <c r="EU210" s="646">
        <v>25.066946112181505</v>
      </c>
      <c r="EV210" s="646">
        <v>0</v>
      </c>
      <c r="EW210" s="646">
        <v>0</v>
      </c>
      <c r="EX210" s="646">
        <v>12.433276843518858</v>
      </c>
      <c r="EY210" s="646">
        <v>0.63633466702102237</v>
      </c>
      <c r="EZ210" s="646">
        <v>1800</v>
      </c>
      <c r="FA210" s="563" t="s">
        <v>1587</v>
      </c>
      <c r="FB210" s="563">
        <v>2</v>
      </c>
      <c r="FC210" s="563">
        <v>0</v>
      </c>
      <c r="FD210" s="563">
        <v>0</v>
      </c>
      <c r="FE210" s="563">
        <v>0</v>
      </c>
      <c r="FF210" s="650">
        <v>3544.3928354258724</v>
      </c>
      <c r="FG210" s="563">
        <v>0</v>
      </c>
      <c r="FH210" s="563">
        <v>0</v>
      </c>
      <c r="FI210" s="563">
        <v>0</v>
      </c>
      <c r="FJ210" s="650">
        <v>2679.8057831770438</v>
      </c>
      <c r="FK210" s="564">
        <v>2679.8057831770438</v>
      </c>
      <c r="FL210" s="565">
        <v>65.246150751442428</v>
      </c>
      <c r="FM210" s="649">
        <v>6.1491806473170296</v>
      </c>
      <c r="FN210" s="646">
        <v>25.19558435037132</v>
      </c>
      <c r="FO210" s="646">
        <v>0</v>
      </c>
      <c r="FP210" s="646">
        <v>0.12863823818981612</v>
      </c>
      <c r="FQ210" s="646">
        <v>12.70166080160562</v>
      </c>
      <c r="FR210" s="646">
        <v>0.64295701664801541</v>
      </c>
      <c r="FS210" s="646">
        <v>2250</v>
      </c>
      <c r="FT210" s="563" t="s">
        <v>1587</v>
      </c>
      <c r="FU210" s="563">
        <v>2</v>
      </c>
      <c r="FV210" s="563">
        <v>0</v>
      </c>
      <c r="FW210" s="563">
        <v>0</v>
      </c>
      <c r="FX210" s="563">
        <v>0</v>
      </c>
      <c r="FY210" s="650">
        <v>3544.3928354258724</v>
      </c>
      <c r="FZ210" s="563">
        <v>1</v>
      </c>
      <c r="GA210" s="563">
        <v>2</v>
      </c>
      <c r="GB210" s="563">
        <v>11.356209765219655</v>
      </c>
      <c r="GC210" s="650">
        <v>6995.7215828946319</v>
      </c>
      <c r="GD210" s="564">
        <v>3544.3928354258724</v>
      </c>
      <c r="GE210" s="565">
        <v>86.296548322379195</v>
      </c>
      <c r="GF210" s="649">
        <v>6.1491806473170296</v>
      </c>
      <c r="GG210" s="646">
        <v>25.066946112181505</v>
      </c>
      <c r="GH210" s="646">
        <v>0</v>
      </c>
      <c r="GI210" s="646">
        <v>0</v>
      </c>
      <c r="GJ210" s="646">
        <v>12.433276843518858</v>
      </c>
      <c r="GK210" s="646">
        <v>0.63633466702102237</v>
      </c>
      <c r="GL210" s="646">
        <v>1800</v>
      </c>
      <c r="GM210" s="563" t="s">
        <v>1587</v>
      </c>
      <c r="GN210" s="563">
        <v>2</v>
      </c>
      <c r="GO210" s="563">
        <v>0</v>
      </c>
      <c r="GP210" s="563">
        <v>0</v>
      </c>
      <c r="GQ210" s="563">
        <v>0</v>
      </c>
      <c r="GR210" s="650">
        <v>3544.3928354258724</v>
      </c>
      <c r="GS210" s="563">
        <v>0</v>
      </c>
      <c r="GT210" s="563">
        <v>0</v>
      </c>
      <c r="GU210" s="563">
        <v>0</v>
      </c>
      <c r="GV210" s="650">
        <v>2679.8057831770438</v>
      </c>
      <c r="GW210" s="564">
        <v>2679.8057831770438</v>
      </c>
      <c r="GX210" s="565">
        <v>65.246150751442428</v>
      </c>
      <c r="GY210" s="649">
        <v>6.1491806473170296</v>
      </c>
      <c r="GZ210" s="646">
        <v>25.19558435037132</v>
      </c>
      <c r="HA210" s="646">
        <v>0</v>
      </c>
      <c r="HB210" s="646">
        <v>0.12863823818981612</v>
      </c>
      <c r="HC210" s="646">
        <v>12.70166080160562</v>
      </c>
      <c r="HD210" s="646">
        <v>0.64295701664801541</v>
      </c>
      <c r="HE210" s="646">
        <v>2250</v>
      </c>
      <c r="HF210" s="563" t="s">
        <v>1587</v>
      </c>
      <c r="HG210" s="563">
        <v>2</v>
      </c>
      <c r="HH210" s="563">
        <v>0</v>
      </c>
      <c r="HI210" s="563">
        <v>0</v>
      </c>
      <c r="HJ210" s="563">
        <v>0</v>
      </c>
      <c r="HK210" s="650">
        <v>3544.3928354258724</v>
      </c>
      <c r="HL210" s="563">
        <v>1</v>
      </c>
      <c r="HM210" s="563">
        <v>2</v>
      </c>
      <c r="HN210" s="563">
        <v>11.356209765219655</v>
      </c>
      <c r="HO210" s="650">
        <v>6995.7215828946319</v>
      </c>
      <c r="HP210" s="564">
        <v>3544.3928354258724</v>
      </c>
      <c r="HQ210" s="565">
        <v>86.296548322379195</v>
      </c>
      <c r="HR210" s="649">
        <v>6.1491806473170296</v>
      </c>
      <c r="HS210" s="646">
        <v>25.066946112181505</v>
      </c>
      <c r="HT210" s="646">
        <v>0</v>
      </c>
      <c r="HU210" s="646">
        <v>0</v>
      </c>
      <c r="HV210" s="646">
        <v>12.433276843518858</v>
      </c>
      <c r="HW210" s="646">
        <v>0.63633466702102237</v>
      </c>
      <c r="HX210" s="646">
        <v>1800</v>
      </c>
      <c r="HY210" s="563" t="s">
        <v>68</v>
      </c>
      <c r="HZ210" s="563">
        <v>2</v>
      </c>
      <c r="IA210" s="563">
        <v>0</v>
      </c>
      <c r="IB210" s="563">
        <v>0</v>
      </c>
      <c r="IC210" s="563">
        <v>0</v>
      </c>
      <c r="ID210" s="650">
        <v>3125.8606637562048</v>
      </c>
      <c r="IE210" s="563">
        <v>0</v>
      </c>
      <c r="IF210" s="563">
        <v>0</v>
      </c>
      <c r="IG210" s="563">
        <v>0</v>
      </c>
      <c r="IH210" s="650">
        <v>2363.3665547495721</v>
      </c>
      <c r="II210" s="564">
        <v>2363.3665547495721</v>
      </c>
      <c r="IJ210" s="565">
        <v>57.541696297593333</v>
      </c>
      <c r="IK210" s="649">
        <v>6.1491806473170296</v>
      </c>
      <c r="IL210" s="646">
        <v>25.066946112181505</v>
      </c>
      <c r="IM210" s="646">
        <v>0</v>
      </c>
      <c r="IN210" s="646">
        <v>0</v>
      </c>
      <c r="IO210" s="646">
        <v>12.433276843518858</v>
      </c>
      <c r="IP210" s="646">
        <v>0.63633466702102237</v>
      </c>
      <c r="IQ210" s="646">
        <v>2250</v>
      </c>
      <c r="IR210" s="563" t="s">
        <v>68</v>
      </c>
      <c r="IS210" s="563">
        <v>2</v>
      </c>
      <c r="IT210" s="563">
        <v>0</v>
      </c>
      <c r="IU210" s="563">
        <v>0</v>
      </c>
      <c r="IV210" s="563">
        <v>0</v>
      </c>
      <c r="IW210" s="650">
        <v>3125.8606637562048</v>
      </c>
      <c r="IX210" s="563">
        <v>0</v>
      </c>
      <c r="IY210" s="563">
        <v>0</v>
      </c>
      <c r="IZ210" s="563">
        <v>0</v>
      </c>
      <c r="JA210" s="650">
        <v>2363.3665547495721</v>
      </c>
      <c r="JB210" s="564">
        <v>2363.3665547495721</v>
      </c>
      <c r="JC210" s="565">
        <v>57.541696297593333</v>
      </c>
      <c r="JD210" s="649">
        <v>6.1491806473170296</v>
      </c>
      <c r="JE210" s="646">
        <v>25.066946112181505</v>
      </c>
      <c r="JF210" s="646">
        <v>0</v>
      </c>
      <c r="JG210" s="646">
        <v>0</v>
      </c>
      <c r="JH210" s="646">
        <v>12.433276843518858</v>
      </c>
      <c r="JI210" s="646">
        <v>0.63633466702102237</v>
      </c>
      <c r="JJ210" s="646">
        <v>1800</v>
      </c>
      <c r="JK210" s="563" t="s">
        <v>67</v>
      </c>
      <c r="JL210" s="563">
        <v>2</v>
      </c>
      <c r="JM210" s="563">
        <v>0</v>
      </c>
      <c r="JN210" s="563">
        <v>0</v>
      </c>
      <c r="JO210" s="563">
        <v>0</v>
      </c>
      <c r="JP210" s="650">
        <v>4259.8300361717265</v>
      </c>
      <c r="JQ210" s="563">
        <v>0</v>
      </c>
      <c r="JR210" s="563">
        <v>0</v>
      </c>
      <c r="JS210" s="563">
        <v>0</v>
      </c>
      <c r="JT210" s="650">
        <v>3220.7257198432549</v>
      </c>
      <c r="JU210" s="564">
        <v>3220.7257198432549</v>
      </c>
      <c r="JV210" s="565">
        <v>78.416114020326333</v>
      </c>
      <c r="JW210" s="649">
        <v>6.1491806473170296</v>
      </c>
      <c r="JX210" s="646">
        <v>25.066946112181505</v>
      </c>
      <c r="JY210" s="646">
        <v>0</v>
      </c>
      <c r="JZ210" s="646">
        <v>0</v>
      </c>
      <c r="KA210" s="646">
        <v>12.433276843518858</v>
      </c>
      <c r="KB210" s="646">
        <v>0.63633466702102237</v>
      </c>
      <c r="KC210" s="646">
        <v>2250</v>
      </c>
      <c r="KD210" s="563" t="s">
        <v>67</v>
      </c>
      <c r="KE210" s="563">
        <v>2</v>
      </c>
      <c r="KF210" s="563">
        <v>0</v>
      </c>
      <c r="KG210" s="563">
        <v>0</v>
      </c>
      <c r="KH210" s="563">
        <v>0</v>
      </c>
      <c r="KI210" s="650">
        <v>4259.8300361717265</v>
      </c>
      <c r="KJ210" s="563">
        <v>0</v>
      </c>
      <c r="KK210" s="563">
        <v>0</v>
      </c>
      <c r="KL210" s="563">
        <v>0</v>
      </c>
      <c r="KM210" s="650">
        <v>3220.7257198432549</v>
      </c>
      <c r="KN210" s="564">
        <v>3220.7257198432549</v>
      </c>
      <c r="KO210" s="566">
        <v>78.416114020326333</v>
      </c>
    </row>
    <row r="211" spans="1:301" ht="15" customHeight="1">
      <c r="A211" s="663" t="s">
        <v>960</v>
      </c>
      <c r="B211" s="629" t="s">
        <v>383</v>
      </c>
      <c r="C211" s="629">
        <v>230</v>
      </c>
      <c r="D211" s="629">
        <v>515</v>
      </c>
      <c r="E211" s="629">
        <v>0</v>
      </c>
      <c r="F211" s="629">
        <v>214.60209229843403</v>
      </c>
      <c r="G211" s="629">
        <v>45.726365485241445</v>
      </c>
      <c r="H211" s="629">
        <v>29.679130201698506</v>
      </c>
      <c r="I211" s="629">
        <v>150</v>
      </c>
      <c r="J211" s="629">
        <v>131.09</v>
      </c>
      <c r="K211" s="629">
        <v>67.040000000000006</v>
      </c>
      <c r="L211" s="629">
        <v>16</v>
      </c>
      <c r="M211" s="629">
        <v>293.20758157378646</v>
      </c>
      <c r="N211" s="629">
        <v>5</v>
      </c>
      <c r="O211" s="623">
        <v>8.1760586945682139</v>
      </c>
      <c r="P211" s="629">
        <v>5</v>
      </c>
      <c r="Q211" s="623">
        <v>2.8668996459415359</v>
      </c>
      <c r="R211" s="629">
        <v>11</v>
      </c>
      <c r="S211" s="629">
        <v>415</v>
      </c>
      <c r="T211" s="645">
        <v>11.68014990697869</v>
      </c>
      <c r="U211" s="645">
        <v>62.25</v>
      </c>
      <c r="V211" s="645">
        <v>60</v>
      </c>
      <c r="W211" s="793">
        <v>1.0751047073469022</v>
      </c>
      <c r="X211" s="646">
        <v>0</v>
      </c>
      <c r="Y211" s="646">
        <v>0</v>
      </c>
      <c r="Z211" s="646">
        <v>0</v>
      </c>
      <c r="AA211" s="646">
        <v>0</v>
      </c>
      <c r="AB211" s="647">
        <v>0.82171646601185044</v>
      </c>
      <c r="AC211" s="784">
        <v>4000</v>
      </c>
      <c r="AD211" s="631"/>
      <c r="AE211" s="631"/>
      <c r="AF211" s="631"/>
      <c r="AG211" s="631"/>
      <c r="AH211" s="629"/>
      <c r="AI211" s="648">
        <v>1.5930663174724471</v>
      </c>
      <c r="AJ211" s="649">
        <v>6.6170203731506234</v>
      </c>
      <c r="AK211" s="646">
        <v>30.415233327985966</v>
      </c>
      <c r="AL211" s="646">
        <v>0</v>
      </c>
      <c r="AM211" s="646">
        <v>0</v>
      </c>
      <c r="AN211" s="646">
        <v>14.614822288687407</v>
      </c>
      <c r="AO211" s="646">
        <v>0.94240923016524081</v>
      </c>
      <c r="AP211" s="801">
        <v>1800</v>
      </c>
      <c r="AQ211" s="563" t="s">
        <v>67</v>
      </c>
      <c r="AR211" s="563">
        <v>2</v>
      </c>
      <c r="AS211" s="563">
        <v>0</v>
      </c>
      <c r="AT211" s="563">
        <v>0</v>
      </c>
      <c r="AU211" s="563">
        <v>0</v>
      </c>
      <c r="AV211" s="650">
        <v>3951.5435573027785</v>
      </c>
      <c r="AW211" s="563">
        <v>0</v>
      </c>
      <c r="AX211" s="563">
        <v>0</v>
      </c>
      <c r="AY211" s="563">
        <v>0</v>
      </c>
      <c r="AZ211" s="650">
        <v>4503.9629082024776</v>
      </c>
      <c r="BA211" s="564">
        <v>3951.5435573027785</v>
      </c>
      <c r="BB211" s="565">
        <v>106.55470346884469</v>
      </c>
      <c r="BC211" s="649">
        <v>6.6170203731506234</v>
      </c>
      <c r="BD211" s="646">
        <v>30.415233327985966</v>
      </c>
      <c r="BE211" s="646">
        <v>0</v>
      </c>
      <c r="BF211" s="646">
        <v>0</v>
      </c>
      <c r="BG211" s="646">
        <v>14.614822288687407</v>
      </c>
      <c r="BH211" s="646">
        <v>0.94240923016524081</v>
      </c>
      <c r="BI211" s="646">
        <v>2250</v>
      </c>
      <c r="BJ211" s="563" t="s">
        <v>67</v>
      </c>
      <c r="BK211" s="563">
        <v>2</v>
      </c>
      <c r="BL211" s="563">
        <v>0</v>
      </c>
      <c r="BM211" s="563">
        <v>0</v>
      </c>
      <c r="BN211" s="563">
        <v>0</v>
      </c>
      <c r="BO211" s="650">
        <v>3951.5435573027785</v>
      </c>
      <c r="BP211" s="563">
        <v>0</v>
      </c>
      <c r="BQ211" s="563">
        <v>0</v>
      </c>
      <c r="BR211" s="563">
        <v>0</v>
      </c>
      <c r="BS211" s="650">
        <v>4503.9629082024776</v>
      </c>
      <c r="BT211" s="564">
        <v>3951.5435573027785</v>
      </c>
      <c r="BU211" s="565">
        <v>106.55470346884469</v>
      </c>
      <c r="BV211" s="649">
        <v>9.9255305597259351</v>
      </c>
      <c r="BW211" s="646">
        <v>33.817102363123936</v>
      </c>
      <c r="BX211" s="646">
        <v>9.3358848562657484E-2</v>
      </c>
      <c r="BY211" s="646">
        <v>0</v>
      </c>
      <c r="BZ211" s="646">
        <v>14.637430541912464</v>
      </c>
      <c r="CA211" s="646">
        <v>1.075335541432388</v>
      </c>
      <c r="CB211" s="646">
        <v>1800</v>
      </c>
      <c r="CC211" s="563" t="s">
        <v>1584</v>
      </c>
      <c r="CD211" s="563">
        <v>3</v>
      </c>
      <c r="CE211" s="563">
        <v>1</v>
      </c>
      <c r="CF211" s="563">
        <v>3</v>
      </c>
      <c r="CG211" s="563">
        <v>11.247813753446485</v>
      </c>
      <c r="CH211" s="650">
        <v>6080.8891684183309</v>
      </c>
      <c r="CI211" s="563">
        <v>0</v>
      </c>
      <c r="CJ211" s="563">
        <v>0</v>
      </c>
      <c r="CK211" s="563">
        <v>0</v>
      </c>
      <c r="CL211" s="650">
        <v>3745.3219062436979</v>
      </c>
      <c r="CM211" s="564">
        <v>3745.3219062436979</v>
      </c>
      <c r="CN211" s="565">
        <v>100.99386716303039</v>
      </c>
      <c r="CO211" s="649">
        <v>9.9255305597259351</v>
      </c>
      <c r="CP211" s="646">
        <v>33.817102363123936</v>
      </c>
      <c r="CQ211" s="646">
        <v>9.3358848562657484E-2</v>
      </c>
      <c r="CR211" s="646">
        <v>0</v>
      </c>
      <c r="CS211" s="646">
        <v>14.637430541912464</v>
      </c>
      <c r="CT211" s="646">
        <v>1.075335541432388</v>
      </c>
      <c r="CU211" s="646">
        <v>2250</v>
      </c>
      <c r="CV211" s="563" t="s">
        <v>1584</v>
      </c>
      <c r="CW211" s="563">
        <v>3</v>
      </c>
      <c r="CX211" s="563">
        <v>1</v>
      </c>
      <c r="CY211" s="563">
        <v>3</v>
      </c>
      <c r="CZ211" s="563">
        <v>11.247813753446485</v>
      </c>
      <c r="DA211" s="650">
        <v>6080.8891684183309</v>
      </c>
      <c r="DB211" s="563">
        <v>0</v>
      </c>
      <c r="DC211" s="563">
        <v>0</v>
      </c>
      <c r="DD211" s="563">
        <v>0</v>
      </c>
      <c r="DE211" s="650">
        <v>3745.3219062436979</v>
      </c>
      <c r="DF211" s="564">
        <v>3745.3219062436979</v>
      </c>
      <c r="DG211" s="565">
        <v>100.99386716303039</v>
      </c>
      <c r="DH211" s="649">
        <v>6.6170203731506234</v>
      </c>
      <c r="DI211" s="646">
        <v>30.415233327985966</v>
      </c>
      <c r="DJ211" s="646">
        <v>0</v>
      </c>
      <c r="DK211" s="646">
        <v>0</v>
      </c>
      <c r="DL211" s="646">
        <v>14.614822288687407</v>
      </c>
      <c r="DM211" s="646">
        <v>0.94240923016524081</v>
      </c>
      <c r="DN211" s="646">
        <v>1800</v>
      </c>
      <c r="DO211" s="563" t="s">
        <v>1585</v>
      </c>
      <c r="DP211" s="563">
        <v>2</v>
      </c>
      <c r="DQ211" s="563">
        <v>0</v>
      </c>
      <c r="DR211" s="563">
        <v>0</v>
      </c>
      <c r="DS211" s="563">
        <v>0</v>
      </c>
      <c r="DT211" s="650">
        <v>2662.0800031798371</v>
      </c>
      <c r="DU211" s="563">
        <v>0</v>
      </c>
      <c r="DV211" s="563">
        <v>0</v>
      </c>
      <c r="DW211" s="563">
        <v>0</v>
      </c>
      <c r="DX211" s="650">
        <v>3034.2344501887555</v>
      </c>
      <c r="DY211" s="564">
        <v>2662.0800031798371</v>
      </c>
      <c r="DZ211" s="565">
        <v>71.783884255798441</v>
      </c>
      <c r="EA211" s="649">
        <v>6.6170203731506234</v>
      </c>
      <c r="EB211" s="646">
        <v>30.994069478847678</v>
      </c>
      <c r="EC211" s="646">
        <v>6.2239232375104987E-2</v>
      </c>
      <c r="ED211" s="646">
        <v>0.51659691848660649</v>
      </c>
      <c r="EE211" s="646">
        <v>15.621749906544744</v>
      </c>
      <c r="EF211" s="646">
        <v>0.97579120991224544</v>
      </c>
      <c r="EG211" s="646">
        <v>2250</v>
      </c>
      <c r="EH211" s="563" t="s">
        <v>1585</v>
      </c>
      <c r="EI211" s="563">
        <v>2</v>
      </c>
      <c r="EJ211" s="563">
        <v>1</v>
      </c>
      <c r="EK211" s="563">
        <v>2</v>
      </c>
      <c r="EL211" s="563">
        <v>11.247813753446485</v>
      </c>
      <c r="EM211" s="650">
        <v>6741.7473804964166</v>
      </c>
      <c r="EN211" s="563">
        <v>1</v>
      </c>
      <c r="EO211" s="563">
        <v>6</v>
      </c>
      <c r="EP211" s="563">
        <v>13.741586265540548</v>
      </c>
      <c r="EQ211" s="650">
        <v>6584.6998282673585</v>
      </c>
      <c r="ER211" s="564">
        <v>4000</v>
      </c>
      <c r="ES211" s="565">
        <v>107.86134777324956</v>
      </c>
      <c r="ET211" s="649">
        <v>6.6170203731506234</v>
      </c>
      <c r="EU211" s="646">
        <v>30.415233327985966</v>
      </c>
      <c r="EV211" s="646">
        <v>0</v>
      </c>
      <c r="EW211" s="646">
        <v>0</v>
      </c>
      <c r="EX211" s="646">
        <v>14.614822288687407</v>
      </c>
      <c r="EY211" s="646">
        <v>0.94240923016524081</v>
      </c>
      <c r="EZ211" s="646">
        <v>1800</v>
      </c>
      <c r="FA211" s="563" t="s">
        <v>1586</v>
      </c>
      <c r="FB211" s="563">
        <v>2</v>
      </c>
      <c r="FC211" s="563">
        <v>0</v>
      </c>
      <c r="FD211" s="563">
        <v>0</v>
      </c>
      <c r="FE211" s="563">
        <v>0</v>
      </c>
      <c r="FF211" s="650">
        <v>2794.1632455265831</v>
      </c>
      <c r="FG211" s="563">
        <v>0</v>
      </c>
      <c r="FH211" s="563">
        <v>0</v>
      </c>
      <c r="FI211" s="563">
        <v>0</v>
      </c>
      <c r="FJ211" s="650">
        <v>3184.7827146069585</v>
      </c>
      <c r="FK211" s="564">
        <v>2794.1632455265831</v>
      </c>
      <c r="FL211" s="565">
        <v>75.345553390243623</v>
      </c>
      <c r="FM211" s="649">
        <v>6.6170203731506234</v>
      </c>
      <c r="FN211" s="646">
        <v>30.477472560361072</v>
      </c>
      <c r="FO211" s="646">
        <v>6.2239232375104987E-2</v>
      </c>
      <c r="FP211" s="646">
        <v>0</v>
      </c>
      <c r="FQ211" s="646">
        <v>14.61528124472725</v>
      </c>
      <c r="FR211" s="646">
        <v>0.94331678741798308</v>
      </c>
      <c r="FS211" s="646">
        <v>2250</v>
      </c>
      <c r="FT211" s="563" t="s">
        <v>1587</v>
      </c>
      <c r="FU211" s="563">
        <v>2</v>
      </c>
      <c r="FV211" s="563">
        <v>1</v>
      </c>
      <c r="FW211" s="563">
        <v>2</v>
      </c>
      <c r="FX211" s="563">
        <v>11.247813753446485</v>
      </c>
      <c r="FY211" s="650">
        <v>8326.600418078875</v>
      </c>
      <c r="FZ211" s="563">
        <v>0</v>
      </c>
      <c r="GA211" s="563">
        <v>0</v>
      </c>
      <c r="GB211" s="563">
        <v>0</v>
      </c>
      <c r="GC211" s="650">
        <v>3747.5236634566018</v>
      </c>
      <c r="GD211" s="564">
        <v>3747.5236634566018</v>
      </c>
      <c r="GE211" s="565">
        <v>101.05323828814372</v>
      </c>
      <c r="GF211" s="649">
        <v>6.6170203731506234</v>
      </c>
      <c r="GG211" s="646">
        <v>30.415233327985966</v>
      </c>
      <c r="GH211" s="646">
        <v>0</v>
      </c>
      <c r="GI211" s="646">
        <v>0</v>
      </c>
      <c r="GJ211" s="646">
        <v>14.614822288687407</v>
      </c>
      <c r="GK211" s="646">
        <v>0.94240923016524081</v>
      </c>
      <c r="GL211" s="646">
        <v>1800</v>
      </c>
      <c r="GM211" s="563" t="s">
        <v>1587</v>
      </c>
      <c r="GN211" s="563">
        <v>2</v>
      </c>
      <c r="GO211" s="563">
        <v>0</v>
      </c>
      <c r="GP211" s="563">
        <v>0</v>
      </c>
      <c r="GQ211" s="563">
        <v>0</v>
      </c>
      <c r="GR211" s="650">
        <v>3287.8829799425866</v>
      </c>
      <c r="GS211" s="563">
        <v>0</v>
      </c>
      <c r="GT211" s="563">
        <v>0</v>
      </c>
      <c r="GU211" s="563">
        <v>0</v>
      </c>
      <c r="GV211" s="650">
        <v>3747.5236634566018</v>
      </c>
      <c r="GW211" s="564">
        <v>3287.8829799425866</v>
      </c>
      <c r="GX211" s="565">
        <v>88.658872384333876</v>
      </c>
      <c r="GY211" s="649">
        <v>6.6170203731506234</v>
      </c>
      <c r="GZ211" s="646">
        <v>30.477472560361072</v>
      </c>
      <c r="HA211" s="646">
        <v>6.2239232375104987E-2</v>
      </c>
      <c r="HB211" s="646">
        <v>0</v>
      </c>
      <c r="HC211" s="646">
        <v>14.61528124472725</v>
      </c>
      <c r="HD211" s="646">
        <v>0.94331678741798308</v>
      </c>
      <c r="HE211" s="646">
        <v>2250</v>
      </c>
      <c r="HF211" s="563" t="s">
        <v>1587</v>
      </c>
      <c r="HG211" s="563">
        <v>2</v>
      </c>
      <c r="HH211" s="563">
        <v>1</v>
      </c>
      <c r="HI211" s="563">
        <v>2</v>
      </c>
      <c r="HJ211" s="563">
        <v>11.247813753446485</v>
      </c>
      <c r="HK211" s="650">
        <v>8326.600418078875</v>
      </c>
      <c r="HL211" s="563">
        <v>0</v>
      </c>
      <c r="HM211" s="563">
        <v>0</v>
      </c>
      <c r="HN211" s="563">
        <v>0</v>
      </c>
      <c r="HO211" s="650">
        <v>3747.5236634566018</v>
      </c>
      <c r="HP211" s="564">
        <v>3747.5236634566018</v>
      </c>
      <c r="HQ211" s="565">
        <v>101.05323828814372</v>
      </c>
      <c r="HR211" s="649">
        <v>6.6170203731506234</v>
      </c>
      <c r="HS211" s="646">
        <v>30.415233327985966</v>
      </c>
      <c r="HT211" s="646">
        <v>0</v>
      </c>
      <c r="HU211" s="646">
        <v>0</v>
      </c>
      <c r="HV211" s="646">
        <v>14.614822288687407</v>
      </c>
      <c r="HW211" s="646">
        <v>0.94240923016524081</v>
      </c>
      <c r="HX211" s="646">
        <v>1800</v>
      </c>
      <c r="HY211" s="563" t="s">
        <v>68</v>
      </c>
      <c r="HZ211" s="563">
        <v>2</v>
      </c>
      <c r="IA211" s="563">
        <v>0</v>
      </c>
      <c r="IB211" s="563">
        <v>0</v>
      </c>
      <c r="IC211" s="563">
        <v>0</v>
      </c>
      <c r="ID211" s="650">
        <v>2899.6402349406026</v>
      </c>
      <c r="IE211" s="563">
        <v>0</v>
      </c>
      <c r="IF211" s="563">
        <v>0</v>
      </c>
      <c r="IG211" s="563">
        <v>0</v>
      </c>
      <c r="IH211" s="650">
        <v>3305.0052152830926</v>
      </c>
      <c r="II211" s="564">
        <v>2899.6402349406026</v>
      </c>
      <c r="IJ211" s="565">
        <v>78.189775949558864</v>
      </c>
      <c r="IK211" s="649">
        <v>6.6170203731506234</v>
      </c>
      <c r="IL211" s="646">
        <v>30.415233327985966</v>
      </c>
      <c r="IM211" s="646">
        <v>0</v>
      </c>
      <c r="IN211" s="646">
        <v>0</v>
      </c>
      <c r="IO211" s="646">
        <v>14.614822288687407</v>
      </c>
      <c r="IP211" s="646">
        <v>0.94240923016524081</v>
      </c>
      <c r="IQ211" s="646">
        <v>2250</v>
      </c>
      <c r="IR211" s="563" t="s">
        <v>68</v>
      </c>
      <c r="IS211" s="563">
        <v>2</v>
      </c>
      <c r="IT211" s="563">
        <v>0</v>
      </c>
      <c r="IU211" s="563">
        <v>0</v>
      </c>
      <c r="IV211" s="563">
        <v>0</v>
      </c>
      <c r="IW211" s="650">
        <v>2899.6402349406026</v>
      </c>
      <c r="IX211" s="563">
        <v>0</v>
      </c>
      <c r="IY211" s="563">
        <v>0</v>
      </c>
      <c r="IZ211" s="563">
        <v>0</v>
      </c>
      <c r="JA211" s="650">
        <v>3305.0052152830926</v>
      </c>
      <c r="JB211" s="564">
        <v>2899.6402349406026</v>
      </c>
      <c r="JC211" s="565">
        <v>78.189775949558864</v>
      </c>
      <c r="JD211" s="649">
        <v>6.6170203731506234</v>
      </c>
      <c r="JE211" s="646">
        <v>30.415233327985966</v>
      </c>
      <c r="JF211" s="646">
        <v>0</v>
      </c>
      <c r="JG211" s="646">
        <v>0</v>
      </c>
      <c r="JH211" s="646">
        <v>14.614822288687407</v>
      </c>
      <c r="JI211" s="646">
        <v>0.94240923016524081</v>
      </c>
      <c r="JJ211" s="646">
        <v>1800</v>
      </c>
      <c r="JK211" s="563" t="s">
        <v>67</v>
      </c>
      <c r="JL211" s="563">
        <v>2</v>
      </c>
      <c r="JM211" s="563">
        <v>0</v>
      </c>
      <c r="JN211" s="563">
        <v>0</v>
      </c>
      <c r="JO211" s="563">
        <v>0</v>
      </c>
      <c r="JP211" s="650">
        <v>3951.5435573027785</v>
      </c>
      <c r="JQ211" s="563">
        <v>0</v>
      </c>
      <c r="JR211" s="563">
        <v>0</v>
      </c>
      <c r="JS211" s="563">
        <v>0</v>
      </c>
      <c r="JT211" s="650">
        <v>4503.9629082024776</v>
      </c>
      <c r="JU211" s="564">
        <v>3951.5435573027785</v>
      </c>
      <c r="JV211" s="565">
        <v>106.55470346884469</v>
      </c>
      <c r="JW211" s="649">
        <v>6.6170203731506234</v>
      </c>
      <c r="JX211" s="646">
        <v>30.415233327985966</v>
      </c>
      <c r="JY211" s="646">
        <v>0</v>
      </c>
      <c r="JZ211" s="646">
        <v>0</v>
      </c>
      <c r="KA211" s="646">
        <v>14.614822288687407</v>
      </c>
      <c r="KB211" s="646">
        <v>0.94240923016524081</v>
      </c>
      <c r="KC211" s="646">
        <v>2250</v>
      </c>
      <c r="KD211" s="563" t="s">
        <v>67</v>
      </c>
      <c r="KE211" s="563">
        <v>2</v>
      </c>
      <c r="KF211" s="563">
        <v>0</v>
      </c>
      <c r="KG211" s="563">
        <v>0</v>
      </c>
      <c r="KH211" s="563">
        <v>0</v>
      </c>
      <c r="KI211" s="650">
        <v>3951.5435573027785</v>
      </c>
      <c r="KJ211" s="563">
        <v>0</v>
      </c>
      <c r="KK211" s="563">
        <v>0</v>
      </c>
      <c r="KL211" s="563">
        <v>0</v>
      </c>
      <c r="KM211" s="650">
        <v>4503.9629082024776</v>
      </c>
      <c r="KN211" s="564">
        <v>3951.5435573027785</v>
      </c>
      <c r="KO211" s="566">
        <v>106.55470346884469</v>
      </c>
    </row>
    <row r="212" spans="1:301" ht="15" customHeight="1">
      <c r="A212" s="663" t="s">
        <v>961</v>
      </c>
      <c r="B212" s="629" t="s">
        <v>384</v>
      </c>
      <c r="C212" s="629">
        <v>230</v>
      </c>
      <c r="D212" s="629">
        <v>565</v>
      </c>
      <c r="E212" s="629">
        <v>0</v>
      </c>
      <c r="F212" s="629">
        <v>212.51592415822185</v>
      </c>
      <c r="G212" s="629">
        <v>50.726365485241438</v>
      </c>
      <c r="H212" s="629">
        <v>34.284679362746786</v>
      </c>
      <c r="I212" s="629">
        <v>175</v>
      </c>
      <c r="J212" s="629">
        <v>47.51</v>
      </c>
      <c r="K212" s="629">
        <v>22.58</v>
      </c>
      <c r="L212" s="629">
        <v>16</v>
      </c>
      <c r="M212" s="629">
        <v>302.16795021896399</v>
      </c>
      <c r="N212" s="629">
        <v>5</v>
      </c>
      <c r="O212" s="623">
        <v>9.8407101018891048</v>
      </c>
      <c r="P212" s="629">
        <v>5</v>
      </c>
      <c r="Q212" s="623">
        <v>3.5982673244357608</v>
      </c>
      <c r="R212" s="629">
        <v>11</v>
      </c>
      <c r="S212" s="629">
        <v>450</v>
      </c>
      <c r="T212" s="645">
        <v>13.733374110397357</v>
      </c>
      <c r="U212" s="645">
        <v>67.5</v>
      </c>
      <c r="V212" s="645">
        <v>60</v>
      </c>
      <c r="W212" s="793">
        <v>1.2640946624343021</v>
      </c>
      <c r="X212" s="646">
        <v>0</v>
      </c>
      <c r="Y212" s="646">
        <v>0</v>
      </c>
      <c r="Z212" s="646">
        <v>0</v>
      </c>
      <c r="AA212" s="646">
        <v>0</v>
      </c>
      <c r="AB212" s="647">
        <v>0.91812052644713227</v>
      </c>
      <c r="AC212" s="784">
        <v>4000</v>
      </c>
      <c r="AD212" s="631"/>
      <c r="AE212" s="631"/>
      <c r="AF212" s="631"/>
      <c r="AG212" s="631"/>
      <c r="AH212" s="629"/>
      <c r="AI212" s="648">
        <v>1.93160575035914</v>
      </c>
      <c r="AJ212" s="649">
        <v>7.9428337954544537</v>
      </c>
      <c r="AK212" s="646">
        <v>36.379279994610975</v>
      </c>
      <c r="AL212" s="646">
        <v>0</v>
      </c>
      <c r="AM212" s="646">
        <v>0</v>
      </c>
      <c r="AN212" s="646">
        <v>16.382853409385103</v>
      </c>
      <c r="AO212" s="646">
        <v>1.3444302482007187</v>
      </c>
      <c r="AP212" s="801">
        <v>1500</v>
      </c>
      <c r="AQ212" s="563" t="s">
        <v>67</v>
      </c>
      <c r="AR212" s="563">
        <v>2</v>
      </c>
      <c r="AS212" s="563">
        <v>0</v>
      </c>
      <c r="AT212" s="563">
        <v>0</v>
      </c>
      <c r="AU212" s="563">
        <v>0</v>
      </c>
      <c r="AV212" s="650">
        <v>2688.8111469224691</v>
      </c>
      <c r="AW212" s="563">
        <v>0</v>
      </c>
      <c r="AX212" s="563">
        <v>0</v>
      </c>
      <c r="AY212" s="563">
        <v>0</v>
      </c>
      <c r="AZ212" s="650">
        <v>2040.1161890283711</v>
      </c>
      <c r="BA212" s="564">
        <v>2040.1161890283711</v>
      </c>
      <c r="BB212" s="565">
        <v>60.353432133924031</v>
      </c>
      <c r="BC212" s="649">
        <v>7.9428337954544537</v>
      </c>
      <c r="BD212" s="646">
        <v>36.379279994610975</v>
      </c>
      <c r="BE212" s="646">
        <v>0</v>
      </c>
      <c r="BF212" s="646">
        <v>0</v>
      </c>
      <c r="BG212" s="646">
        <v>16.382853409385103</v>
      </c>
      <c r="BH212" s="646">
        <v>1.3444302482007187</v>
      </c>
      <c r="BI212" s="646">
        <v>1875</v>
      </c>
      <c r="BJ212" s="563" t="s">
        <v>67</v>
      </c>
      <c r="BK212" s="563">
        <v>2</v>
      </c>
      <c r="BL212" s="563">
        <v>0</v>
      </c>
      <c r="BM212" s="563">
        <v>0</v>
      </c>
      <c r="BN212" s="563">
        <v>0</v>
      </c>
      <c r="BO212" s="650">
        <v>2688.8111469224691</v>
      </c>
      <c r="BP212" s="563">
        <v>0</v>
      </c>
      <c r="BQ212" s="563">
        <v>0</v>
      </c>
      <c r="BR212" s="563">
        <v>0</v>
      </c>
      <c r="BS212" s="650">
        <v>2040.1161890283711</v>
      </c>
      <c r="BT212" s="564">
        <v>2040.1161890283711</v>
      </c>
      <c r="BU212" s="565">
        <v>60.353432133924031</v>
      </c>
      <c r="BV212" s="649">
        <v>11.91425069318168</v>
      </c>
      <c r="BW212" s="646">
        <v>40.977500466754464</v>
      </c>
      <c r="BX212" s="646">
        <v>0.20998324382935013</v>
      </c>
      <c r="BY212" s="646">
        <v>0.41682033058690832</v>
      </c>
      <c r="BZ212" s="646">
        <v>17.18375117483388</v>
      </c>
      <c r="CA212" s="646">
        <v>1.5645472477998541</v>
      </c>
      <c r="CB212" s="646">
        <v>1500</v>
      </c>
      <c r="CC212" s="563" t="s">
        <v>1584</v>
      </c>
      <c r="CD212" s="563">
        <v>3</v>
      </c>
      <c r="CE212" s="563">
        <v>1</v>
      </c>
      <c r="CF212" s="563">
        <v>4</v>
      </c>
      <c r="CG212" s="563">
        <v>19.321612099922941</v>
      </c>
      <c r="CH212" s="650">
        <v>5400.0055861021756</v>
      </c>
      <c r="CI212" s="563">
        <v>2</v>
      </c>
      <c r="CJ212" s="563">
        <v>3</v>
      </c>
      <c r="CK212" s="563">
        <v>10.061060491568705</v>
      </c>
      <c r="CL212" s="650">
        <v>3805.5327303702825</v>
      </c>
      <c r="CM212" s="564">
        <v>3805.5327303702825</v>
      </c>
      <c r="CN212" s="565">
        <v>112.5803337138439</v>
      </c>
      <c r="CO212" s="649">
        <v>11.91425069318168</v>
      </c>
      <c r="CP212" s="646">
        <v>40.977500466754464</v>
      </c>
      <c r="CQ212" s="646">
        <v>0.20998324382935013</v>
      </c>
      <c r="CR212" s="646">
        <v>0.41682033058690832</v>
      </c>
      <c r="CS212" s="646">
        <v>17.18375117483388</v>
      </c>
      <c r="CT212" s="646">
        <v>1.5645472477998541</v>
      </c>
      <c r="CU212" s="646">
        <v>1875</v>
      </c>
      <c r="CV212" s="563" t="s">
        <v>1584</v>
      </c>
      <c r="CW212" s="563">
        <v>3</v>
      </c>
      <c r="CX212" s="563">
        <v>1</v>
      </c>
      <c r="CY212" s="563">
        <v>4</v>
      </c>
      <c r="CZ212" s="563">
        <v>19.321612099922941</v>
      </c>
      <c r="DA212" s="650">
        <v>5400.0055861021756</v>
      </c>
      <c r="DB212" s="563">
        <v>2</v>
      </c>
      <c r="DC212" s="563">
        <v>3</v>
      </c>
      <c r="DD212" s="563">
        <v>10.061060491568705</v>
      </c>
      <c r="DE212" s="650">
        <v>3805.5327303702825</v>
      </c>
      <c r="DF212" s="564">
        <v>3805.5327303702825</v>
      </c>
      <c r="DG212" s="565">
        <v>112.5803337138439</v>
      </c>
      <c r="DH212" s="649">
        <v>7.9428337954544537</v>
      </c>
      <c r="DI212" s="646">
        <v>36.623211726721287</v>
      </c>
      <c r="DJ212" s="646">
        <v>0.10499162191467507</v>
      </c>
      <c r="DK212" s="646">
        <v>0.1389401101956361</v>
      </c>
      <c r="DL212" s="646">
        <v>16.654832938486575</v>
      </c>
      <c r="DM212" s="646">
        <v>1.3567720690334875</v>
      </c>
      <c r="DN212" s="646">
        <v>1500</v>
      </c>
      <c r="DO212" s="563" t="s">
        <v>1585</v>
      </c>
      <c r="DP212" s="563">
        <v>2</v>
      </c>
      <c r="DQ212" s="563">
        <v>1</v>
      </c>
      <c r="DR212" s="563">
        <v>2</v>
      </c>
      <c r="DS212" s="563">
        <v>19.321612099922941</v>
      </c>
      <c r="DT212" s="650">
        <v>5556.2290937464895</v>
      </c>
      <c r="DU212" s="563">
        <v>1</v>
      </c>
      <c r="DV212" s="563">
        <v>2</v>
      </c>
      <c r="DW212" s="563">
        <v>10.061060491568705</v>
      </c>
      <c r="DX212" s="650">
        <v>3859.3131561170981</v>
      </c>
      <c r="DY212" s="564">
        <v>3859.3131561170981</v>
      </c>
      <c r="DZ212" s="565">
        <v>114.17133784042251</v>
      </c>
      <c r="EA212" s="649">
        <v>7.9428337954544537</v>
      </c>
      <c r="EB212" s="646">
        <v>36.623211726721287</v>
      </c>
      <c r="EC212" s="646">
        <v>0.10499162191467507</v>
      </c>
      <c r="ED212" s="646">
        <v>0.1389401101956361</v>
      </c>
      <c r="EE212" s="646">
        <v>16.654832938486575</v>
      </c>
      <c r="EF212" s="646">
        <v>1.3567720690334875</v>
      </c>
      <c r="EG212" s="646">
        <v>1875</v>
      </c>
      <c r="EH212" s="563" t="s">
        <v>1585</v>
      </c>
      <c r="EI212" s="563">
        <v>2</v>
      </c>
      <c r="EJ212" s="563">
        <v>1</v>
      </c>
      <c r="EK212" s="563">
        <v>2</v>
      </c>
      <c r="EL212" s="563">
        <v>19.321612099922941</v>
      </c>
      <c r="EM212" s="650">
        <v>5556.2290937464895</v>
      </c>
      <c r="EN212" s="563">
        <v>1</v>
      </c>
      <c r="EO212" s="563">
        <v>2</v>
      </c>
      <c r="EP212" s="563">
        <v>10.061060491568705</v>
      </c>
      <c r="EQ212" s="650">
        <v>3859.3131561170981</v>
      </c>
      <c r="ER212" s="564">
        <v>3859.3131561170981</v>
      </c>
      <c r="ES212" s="565">
        <v>114.17133784042251</v>
      </c>
      <c r="ET212" s="649">
        <v>7.9428337954544537</v>
      </c>
      <c r="EU212" s="646">
        <v>36.518220104806609</v>
      </c>
      <c r="EV212" s="646">
        <v>0</v>
      </c>
      <c r="EW212" s="646">
        <v>0.1389401101956361</v>
      </c>
      <c r="EX212" s="646">
        <v>16.653431333384159</v>
      </c>
      <c r="EY212" s="646">
        <v>1.3551306670009733</v>
      </c>
      <c r="EZ212" s="646">
        <v>1500</v>
      </c>
      <c r="FA212" s="563" t="s">
        <v>1586</v>
      </c>
      <c r="FB212" s="563">
        <v>2</v>
      </c>
      <c r="FC212" s="563">
        <v>0</v>
      </c>
      <c r="FD212" s="563">
        <v>0</v>
      </c>
      <c r="FE212" s="563">
        <v>0</v>
      </c>
      <c r="FF212" s="650">
        <v>1901.2765953188564</v>
      </c>
      <c r="FG212" s="563">
        <v>1</v>
      </c>
      <c r="FH212" s="563">
        <v>2</v>
      </c>
      <c r="FI212" s="563">
        <v>10.061060491568705</v>
      </c>
      <c r="FJ212" s="650">
        <v>4050.798984598026</v>
      </c>
      <c r="FK212" s="564">
        <v>1901.2765953188564</v>
      </c>
      <c r="FL212" s="565">
        <v>56.246094502120037</v>
      </c>
      <c r="FM212" s="649">
        <v>7.9428337954544537</v>
      </c>
      <c r="FN212" s="646">
        <v>36.623211726721287</v>
      </c>
      <c r="FO212" s="646">
        <v>0.10499162191467507</v>
      </c>
      <c r="FP212" s="646">
        <v>0.1389401101956361</v>
      </c>
      <c r="FQ212" s="646">
        <v>16.654832938486575</v>
      </c>
      <c r="FR212" s="646">
        <v>1.3567720690334875</v>
      </c>
      <c r="FS212" s="646">
        <v>1875</v>
      </c>
      <c r="FT212" s="563" t="s">
        <v>1587</v>
      </c>
      <c r="FU212" s="563">
        <v>2</v>
      </c>
      <c r="FV212" s="563">
        <v>1</v>
      </c>
      <c r="FW212" s="563">
        <v>2</v>
      </c>
      <c r="FX212" s="563">
        <v>19.321612099922941</v>
      </c>
      <c r="FY212" s="650">
        <v>6862.3899537933912</v>
      </c>
      <c r="FZ212" s="563">
        <v>1</v>
      </c>
      <c r="GA212" s="563">
        <v>2</v>
      </c>
      <c r="GB212" s="563">
        <v>10.061060491568705</v>
      </c>
      <c r="GC212" s="650">
        <v>4766.5622464862699</v>
      </c>
      <c r="GD212" s="564">
        <v>4000</v>
      </c>
      <c r="GE212" s="565">
        <v>118.33332328521554</v>
      </c>
      <c r="GF212" s="649">
        <v>7.9428337954544537</v>
      </c>
      <c r="GG212" s="646">
        <v>36.518220104806609</v>
      </c>
      <c r="GH212" s="646">
        <v>0</v>
      </c>
      <c r="GI212" s="646">
        <v>0.1389401101956361</v>
      </c>
      <c r="GJ212" s="646">
        <v>16.653431333384159</v>
      </c>
      <c r="GK212" s="646">
        <v>1.3551306670009733</v>
      </c>
      <c r="GL212" s="646">
        <v>1500</v>
      </c>
      <c r="GM212" s="563" t="s">
        <v>1587</v>
      </c>
      <c r="GN212" s="563">
        <v>2</v>
      </c>
      <c r="GO212" s="563">
        <v>0</v>
      </c>
      <c r="GP212" s="563">
        <v>0</v>
      </c>
      <c r="GQ212" s="563">
        <v>0</v>
      </c>
      <c r="GR212" s="650">
        <v>2237.2261062157158</v>
      </c>
      <c r="GS212" s="563">
        <v>1</v>
      </c>
      <c r="GT212" s="563">
        <v>2</v>
      </c>
      <c r="GU212" s="563">
        <v>10.061060491568705</v>
      </c>
      <c r="GV212" s="650">
        <v>4766.5622464862699</v>
      </c>
      <c r="GW212" s="564">
        <v>2237.2261062157158</v>
      </c>
      <c r="GX212" s="565">
        <v>66.184600022237063</v>
      </c>
      <c r="GY212" s="649">
        <v>7.9428337954544537</v>
      </c>
      <c r="GZ212" s="646">
        <v>36.623211726721287</v>
      </c>
      <c r="HA212" s="646">
        <v>0.10499162191467507</v>
      </c>
      <c r="HB212" s="646">
        <v>0.1389401101956361</v>
      </c>
      <c r="HC212" s="646">
        <v>16.654832938486575</v>
      </c>
      <c r="HD212" s="646">
        <v>1.3567720690334875</v>
      </c>
      <c r="HE212" s="646">
        <v>1875</v>
      </c>
      <c r="HF212" s="563" t="s">
        <v>1587</v>
      </c>
      <c r="HG212" s="563">
        <v>2</v>
      </c>
      <c r="HH212" s="563">
        <v>1</v>
      </c>
      <c r="HI212" s="563">
        <v>2</v>
      </c>
      <c r="HJ212" s="563">
        <v>19.321612099922941</v>
      </c>
      <c r="HK212" s="650">
        <v>6862.3899537933912</v>
      </c>
      <c r="HL212" s="563">
        <v>1</v>
      </c>
      <c r="HM212" s="563">
        <v>2</v>
      </c>
      <c r="HN212" s="563">
        <v>10.061060491568705</v>
      </c>
      <c r="HO212" s="650">
        <v>4766.5622464862699</v>
      </c>
      <c r="HP212" s="564">
        <v>4000</v>
      </c>
      <c r="HQ212" s="565">
        <v>118.33332328521554</v>
      </c>
      <c r="HR212" s="649">
        <v>11.91425069318168</v>
      </c>
      <c r="HS212" s="646">
        <v>40.350696892338206</v>
      </c>
      <c r="HT212" s="646">
        <v>0</v>
      </c>
      <c r="HU212" s="646">
        <v>0</v>
      </c>
      <c r="HV212" s="646">
        <v>16.457603955136861</v>
      </c>
      <c r="HW212" s="646">
        <v>1.5291631873340616</v>
      </c>
      <c r="HX212" s="646">
        <v>1500</v>
      </c>
      <c r="HY212" s="563" t="s">
        <v>68</v>
      </c>
      <c r="HZ212" s="563">
        <v>3</v>
      </c>
      <c r="IA212" s="563">
        <v>0</v>
      </c>
      <c r="IB212" s="563">
        <v>0</v>
      </c>
      <c r="IC212" s="563">
        <v>0</v>
      </c>
      <c r="ID212" s="650">
        <v>2610.5338453052941</v>
      </c>
      <c r="IE212" s="563">
        <v>0</v>
      </c>
      <c r="IF212" s="563">
        <v>0</v>
      </c>
      <c r="IG212" s="563">
        <v>0</v>
      </c>
      <c r="IH212" s="650">
        <v>1980.7238473812311</v>
      </c>
      <c r="II212" s="564">
        <v>1980.7238473812311</v>
      </c>
      <c r="IJ212" s="565">
        <v>58.596408842724784</v>
      </c>
      <c r="IK212" s="649">
        <v>11.91425069318168</v>
      </c>
      <c r="IL212" s="646">
        <v>40.350696892338206</v>
      </c>
      <c r="IM212" s="646">
        <v>0</v>
      </c>
      <c r="IN212" s="646">
        <v>0</v>
      </c>
      <c r="IO212" s="646">
        <v>16.457603955136861</v>
      </c>
      <c r="IP212" s="646">
        <v>1.5291631873340616</v>
      </c>
      <c r="IQ212" s="646">
        <v>1875</v>
      </c>
      <c r="IR212" s="563" t="s">
        <v>68</v>
      </c>
      <c r="IS212" s="563">
        <v>3</v>
      </c>
      <c r="IT212" s="563">
        <v>0</v>
      </c>
      <c r="IU212" s="563">
        <v>0</v>
      </c>
      <c r="IV212" s="563">
        <v>0</v>
      </c>
      <c r="IW212" s="650">
        <v>2610.5338453052941</v>
      </c>
      <c r="IX212" s="563">
        <v>0</v>
      </c>
      <c r="IY212" s="563">
        <v>0</v>
      </c>
      <c r="IZ212" s="563">
        <v>0</v>
      </c>
      <c r="JA212" s="650">
        <v>1980.7238473812311</v>
      </c>
      <c r="JB212" s="564">
        <v>1980.7238473812311</v>
      </c>
      <c r="JC212" s="565">
        <v>58.596408842724784</v>
      </c>
      <c r="JD212" s="649">
        <v>7.9428337954544537</v>
      </c>
      <c r="JE212" s="646">
        <v>36.379279994610975</v>
      </c>
      <c r="JF212" s="646">
        <v>0</v>
      </c>
      <c r="JG212" s="646">
        <v>0</v>
      </c>
      <c r="JH212" s="646">
        <v>16.382853409385103</v>
      </c>
      <c r="JI212" s="646">
        <v>1.3444302482007187</v>
      </c>
      <c r="JJ212" s="646">
        <v>1500</v>
      </c>
      <c r="JK212" s="563" t="s">
        <v>67</v>
      </c>
      <c r="JL212" s="563">
        <v>2</v>
      </c>
      <c r="JM212" s="563">
        <v>0</v>
      </c>
      <c r="JN212" s="563">
        <v>0</v>
      </c>
      <c r="JO212" s="563">
        <v>0</v>
      </c>
      <c r="JP212" s="650">
        <v>2688.8111469224691</v>
      </c>
      <c r="JQ212" s="563">
        <v>0</v>
      </c>
      <c r="JR212" s="563">
        <v>0</v>
      </c>
      <c r="JS212" s="563">
        <v>0</v>
      </c>
      <c r="JT212" s="650">
        <v>2040.1161890283711</v>
      </c>
      <c r="JU212" s="564">
        <v>2040.1161890283711</v>
      </c>
      <c r="JV212" s="565">
        <v>60.353432133924031</v>
      </c>
      <c r="JW212" s="649">
        <v>7.9428337954544537</v>
      </c>
      <c r="JX212" s="646">
        <v>36.379279994610975</v>
      </c>
      <c r="JY212" s="646">
        <v>0</v>
      </c>
      <c r="JZ212" s="646">
        <v>0</v>
      </c>
      <c r="KA212" s="646">
        <v>16.382853409385103</v>
      </c>
      <c r="KB212" s="646">
        <v>1.3444302482007187</v>
      </c>
      <c r="KC212" s="646">
        <v>1875</v>
      </c>
      <c r="KD212" s="563" t="s">
        <v>67</v>
      </c>
      <c r="KE212" s="563">
        <v>2</v>
      </c>
      <c r="KF212" s="563">
        <v>0</v>
      </c>
      <c r="KG212" s="563">
        <v>0</v>
      </c>
      <c r="KH212" s="563">
        <v>0</v>
      </c>
      <c r="KI212" s="650">
        <v>2688.8111469224691</v>
      </c>
      <c r="KJ212" s="563">
        <v>0</v>
      </c>
      <c r="KK212" s="563">
        <v>0</v>
      </c>
      <c r="KL212" s="563">
        <v>0</v>
      </c>
      <c r="KM212" s="650">
        <v>2040.1161890283711</v>
      </c>
      <c r="KN212" s="564">
        <v>2040.1161890283711</v>
      </c>
      <c r="KO212" s="566">
        <v>60.353432133924031</v>
      </c>
    </row>
    <row r="213" spans="1:301" ht="15" customHeight="1">
      <c r="A213" s="663" t="s">
        <v>962</v>
      </c>
      <c r="B213" s="629" t="s">
        <v>385</v>
      </c>
      <c r="C213" s="629">
        <v>290</v>
      </c>
      <c r="D213" s="629">
        <v>615</v>
      </c>
      <c r="E213" s="629">
        <v>0</v>
      </c>
      <c r="F213" s="629">
        <v>272.37862505453455</v>
      </c>
      <c r="G213" s="629">
        <v>55.792810381633799</v>
      </c>
      <c r="H213" s="629">
        <v>35.399539369368505</v>
      </c>
      <c r="I213" s="629">
        <v>200</v>
      </c>
      <c r="J213" s="629">
        <v>45.02</v>
      </c>
      <c r="K213" s="629">
        <v>36.520000000000003</v>
      </c>
      <c r="L213" s="629">
        <v>24</v>
      </c>
      <c r="M213" s="629">
        <v>258.46259379910862</v>
      </c>
      <c r="N213" s="629">
        <v>5</v>
      </c>
      <c r="O213" s="623">
        <v>11.659495898776747</v>
      </c>
      <c r="P213" s="629">
        <v>5</v>
      </c>
      <c r="Q213" s="623">
        <v>5.4170531213234021</v>
      </c>
      <c r="R213" s="629">
        <v>11</v>
      </c>
      <c r="S213" s="629">
        <v>450</v>
      </c>
      <c r="T213" s="645">
        <v>13.733374110397357</v>
      </c>
      <c r="U213" s="645">
        <v>67.5</v>
      </c>
      <c r="V213" s="645">
        <v>72.5</v>
      </c>
      <c r="W213" s="793">
        <v>1.5274477171081151</v>
      </c>
      <c r="X213" s="646">
        <v>0</v>
      </c>
      <c r="Y213" s="646">
        <v>0</v>
      </c>
      <c r="Z213" s="646">
        <v>0</v>
      </c>
      <c r="AA213" s="646">
        <v>0</v>
      </c>
      <c r="AB213" s="647">
        <v>1.1708769658885505</v>
      </c>
      <c r="AC213" s="784">
        <v>4000</v>
      </c>
      <c r="AD213" s="631"/>
      <c r="AE213" s="631"/>
      <c r="AF213" s="631"/>
      <c r="AG213" s="631"/>
      <c r="AH213" s="629"/>
      <c r="AI213" s="648">
        <v>2.5163323229090859</v>
      </c>
      <c r="AJ213" s="649">
        <v>11.462628188820016</v>
      </c>
      <c r="AK213" s="646">
        <v>43.799999036425632</v>
      </c>
      <c r="AL213" s="646">
        <v>0</v>
      </c>
      <c r="AM213" s="646">
        <v>0</v>
      </c>
      <c r="AN213" s="646">
        <v>17.353261413147095</v>
      </c>
      <c r="AO213" s="646">
        <v>1.9545248556183807</v>
      </c>
      <c r="AP213" s="801">
        <v>1500</v>
      </c>
      <c r="AQ213" s="563" t="s">
        <v>67</v>
      </c>
      <c r="AR213" s="563">
        <v>2</v>
      </c>
      <c r="AS213" s="563">
        <v>0</v>
      </c>
      <c r="AT213" s="563">
        <v>0</v>
      </c>
      <c r="AU213" s="563">
        <v>0</v>
      </c>
      <c r="AV213" s="650">
        <v>2237.4366641367997</v>
      </c>
      <c r="AW213" s="563">
        <v>0</v>
      </c>
      <c r="AX213" s="563">
        <v>0</v>
      </c>
      <c r="AY213" s="563">
        <v>0</v>
      </c>
      <c r="AZ213" s="650">
        <v>1822.6303007645636</v>
      </c>
      <c r="BA213" s="564">
        <v>1822.6303007645636</v>
      </c>
      <c r="BB213" s="565">
        <v>58.691110121694109</v>
      </c>
      <c r="BC213" s="649">
        <v>17.193942283230022</v>
      </c>
      <c r="BD213" s="646">
        <v>49.531313130835642</v>
      </c>
      <c r="BE213" s="646">
        <v>0</v>
      </c>
      <c r="BF213" s="646">
        <v>0</v>
      </c>
      <c r="BG213" s="646">
        <v>17.393356206015692</v>
      </c>
      <c r="BH213" s="646">
        <v>2.2857410792056441</v>
      </c>
      <c r="BI213" s="646">
        <v>1875</v>
      </c>
      <c r="BJ213" s="563" t="s">
        <v>67</v>
      </c>
      <c r="BK213" s="563">
        <v>3</v>
      </c>
      <c r="BL213" s="563">
        <v>0</v>
      </c>
      <c r="BM213" s="563">
        <v>0</v>
      </c>
      <c r="BN213" s="563">
        <v>0</v>
      </c>
      <c r="BO213" s="650">
        <v>2927.5187640761415</v>
      </c>
      <c r="BP213" s="563">
        <v>0</v>
      </c>
      <c r="BQ213" s="563">
        <v>0</v>
      </c>
      <c r="BR213" s="563">
        <v>0</v>
      </c>
      <c r="BS213" s="650">
        <v>2384.7756188980397</v>
      </c>
      <c r="BT213" s="564">
        <v>2384.7756188980397</v>
      </c>
      <c r="BU213" s="565">
        <v>76.792934039098867</v>
      </c>
      <c r="BV213" s="649">
        <v>17.193942283230022</v>
      </c>
      <c r="BW213" s="646">
        <v>50.585252554524551</v>
      </c>
      <c r="BX213" s="646">
        <v>0.28216157767684896</v>
      </c>
      <c r="BY213" s="646">
        <v>0.77177784601205912</v>
      </c>
      <c r="BZ213" s="646">
        <v>18.655392718640734</v>
      </c>
      <c r="CA213" s="646">
        <v>2.36157715568423</v>
      </c>
      <c r="CB213" s="646">
        <v>1500</v>
      </c>
      <c r="CC213" s="563" t="s">
        <v>1584</v>
      </c>
      <c r="CD213" s="563">
        <v>3</v>
      </c>
      <c r="CE213" s="563">
        <v>1</v>
      </c>
      <c r="CF213" s="563">
        <v>4</v>
      </c>
      <c r="CG213" s="563">
        <v>20.447367482052137</v>
      </c>
      <c r="CH213" s="650">
        <v>5006.2671063509233</v>
      </c>
      <c r="CI213" s="563">
        <v>2</v>
      </c>
      <c r="CJ213" s="563">
        <v>3</v>
      </c>
      <c r="CK213" s="563">
        <v>17.202566693647565</v>
      </c>
      <c r="CL213" s="650">
        <v>3881.8169072179235</v>
      </c>
      <c r="CM213" s="564">
        <v>3881.8169072179235</v>
      </c>
      <c r="CN213" s="565">
        <v>124.99964665253893</v>
      </c>
      <c r="CO213" s="649">
        <v>17.193942283230022</v>
      </c>
      <c r="CP213" s="646">
        <v>50.585252554524551</v>
      </c>
      <c r="CQ213" s="646">
        <v>0.28216157767684896</v>
      </c>
      <c r="CR213" s="646">
        <v>0.77177784601205912</v>
      </c>
      <c r="CS213" s="646">
        <v>18.655392718640734</v>
      </c>
      <c r="CT213" s="646">
        <v>2.36157715568423</v>
      </c>
      <c r="CU213" s="646">
        <v>1875</v>
      </c>
      <c r="CV213" s="563" t="s">
        <v>1584</v>
      </c>
      <c r="CW213" s="563">
        <v>3</v>
      </c>
      <c r="CX213" s="563">
        <v>1</v>
      </c>
      <c r="CY213" s="563">
        <v>4</v>
      </c>
      <c r="CZ213" s="563">
        <v>20.447367482052137</v>
      </c>
      <c r="DA213" s="650">
        <v>5006.2671063509233</v>
      </c>
      <c r="DB213" s="563">
        <v>2</v>
      </c>
      <c r="DC213" s="563">
        <v>3</v>
      </c>
      <c r="DD213" s="563">
        <v>17.202566693647565</v>
      </c>
      <c r="DE213" s="650">
        <v>3881.8169072179235</v>
      </c>
      <c r="DF213" s="564">
        <v>3881.8169072179235</v>
      </c>
      <c r="DG213" s="565">
        <v>124.99964665253893</v>
      </c>
      <c r="DH213" s="649">
        <v>11.462628188820016</v>
      </c>
      <c r="DI213" s="646">
        <v>44.455598389272097</v>
      </c>
      <c r="DJ213" s="646">
        <v>0.14108078883842448</v>
      </c>
      <c r="DK213" s="646">
        <v>0.51451856400803941</v>
      </c>
      <c r="DL213" s="646">
        <v>18.31089483751725</v>
      </c>
      <c r="DM213" s="646">
        <v>2.0039442392319495</v>
      </c>
      <c r="DN213" s="646">
        <v>1500</v>
      </c>
      <c r="DO213" s="563" t="s">
        <v>1585</v>
      </c>
      <c r="DP213" s="563">
        <v>2</v>
      </c>
      <c r="DQ213" s="563">
        <v>1</v>
      </c>
      <c r="DR213" s="563">
        <v>2</v>
      </c>
      <c r="DS213" s="563">
        <v>20.447367482052137</v>
      </c>
      <c r="DT213" s="650">
        <v>5126.7839498660287</v>
      </c>
      <c r="DU213" s="563">
        <v>2</v>
      </c>
      <c r="DV213" s="563">
        <v>2</v>
      </c>
      <c r="DW213" s="563">
        <v>17.202566693647565</v>
      </c>
      <c r="DX213" s="650">
        <v>4303.6845831232522</v>
      </c>
      <c r="DY213" s="564">
        <v>4000</v>
      </c>
      <c r="DZ213" s="565">
        <v>128.80529879718151</v>
      </c>
      <c r="EA213" s="649">
        <v>11.462628188820016</v>
      </c>
      <c r="EB213" s="646">
        <v>44.455598389272097</v>
      </c>
      <c r="EC213" s="646">
        <v>0.14108078883842448</v>
      </c>
      <c r="ED213" s="646">
        <v>0.51451856400803941</v>
      </c>
      <c r="EE213" s="646">
        <v>18.31089483751725</v>
      </c>
      <c r="EF213" s="646">
        <v>2.0039442392319495</v>
      </c>
      <c r="EG213" s="646">
        <v>1875</v>
      </c>
      <c r="EH213" s="563" t="s">
        <v>1585</v>
      </c>
      <c r="EI213" s="563">
        <v>2</v>
      </c>
      <c r="EJ213" s="563">
        <v>1</v>
      </c>
      <c r="EK213" s="563">
        <v>2</v>
      </c>
      <c r="EL213" s="563">
        <v>20.447367482052137</v>
      </c>
      <c r="EM213" s="650">
        <v>5126.7839498660287</v>
      </c>
      <c r="EN213" s="563">
        <v>2</v>
      </c>
      <c r="EO213" s="563">
        <v>2</v>
      </c>
      <c r="EP213" s="563">
        <v>17.202566693647565</v>
      </c>
      <c r="EQ213" s="650">
        <v>4303.6845831232522</v>
      </c>
      <c r="ER213" s="564">
        <v>4000</v>
      </c>
      <c r="ES213" s="565">
        <v>128.80529879718151</v>
      </c>
      <c r="ET213" s="649">
        <v>11.462628188820016</v>
      </c>
      <c r="EU213" s="646">
        <v>44.057258318429653</v>
      </c>
      <c r="EV213" s="646">
        <v>0</v>
      </c>
      <c r="EW213" s="646">
        <v>0.25725928200401971</v>
      </c>
      <c r="EX213" s="646">
        <v>17.835852510286106</v>
      </c>
      <c r="EY213" s="646">
        <v>1.977527546366932</v>
      </c>
      <c r="EZ213" s="646">
        <v>1500</v>
      </c>
      <c r="FA213" s="563" t="s">
        <v>1587</v>
      </c>
      <c r="FB213" s="563">
        <v>2</v>
      </c>
      <c r="FC213" s="563">
        <v>0</v>
      </c>
      <c r="FD213" s="563">
        <v>0</v>
      </c>
      <c r="FE213" s="563">
        <v>0</v>
      </c>
      <c r="FF213" s="650">
        <v>1861.6598349573073</v>
      </c>
      <c r="FG213" s="563">
        <v>1</v>
      </c>
      <c r="FH213" s="563">
        <v>2</v>
      </c>
      <c r="FI213" s="563">
        <v>17.202566693647565</v>
      </c>
      <c r="FJ213" s="650">
        <v>4928.8983327344667</v>
      </c>
      <c r="FK213" s="564">
        <v>1861.6598349573073</v>
      </c>
      <c r="FL213" s="565">
        <v>59.9479128250969</v>
      </c>
      <c r="FM213" s="649">
        <v>11.462628188820016</v>
      </c>
      <c r="FN213" s="646">
        <v>44.455598389272097</v>
      </c>
      <c r="FO213" s="646">
        <v>0.14108078883842448</v>
      </c>
      <c r="FP213" s="646">
        <v>0.51451856400803941</v>
      </c>
      <c r="FQ213" s="646">
        <v>18.31089483751725</v>
      </c>
      <c r="FR213" s="646">
        <v>2.0039442392319495</v>
      </c>
      <c r="FS213" s="646">
        <v>1875</v>
      </c>
      <c r="FT213" s="563" t="s">
        <v>1586</v>
      </c>
      <c r="FU213" s="563">
        <v>2</v>
      </c>
      <c r="FV213" s="563">
        <v>1</v>
      </c>
      <c r="FW213" s="563">
        <v>2</v>
      </c>
      <c r="FX213" s="563">
        <v>20.447367482052137</v>
      </c>
      <c r="FY213" s="650">
        <v>5381.1573143406877</v>
      </c>
      <c r="FZ213" s="563">
        <v>2</v>
      </c>
      <c r="GA213" s="563">
        <v>2</v>
      </c>
      <c r="GB213" s="563">
        <v>17.202566693647565</v>
      </c>
      <c r="GC213" s="650">
        <v>4517.2185915293194</v>
      </c>
      <c r="GD213" s="564">
        <v>4000</v>
      </c>
      <c r="GE213" s="565">
        <v>128.80529879718151</v>
      </c>
      <c r="GF213" s="649">
        <v>11.462628188820016</v>
      </c>
      <c r="GG213" s="646">
        <v>44.057258318429653</v>
      </c>
      <c r="GH213" s="646">
        <v>0</v>
      </c>
      <c r="GI213" s="646">
        <v>0.25725928200401971</v>
      </c>
      <c r="GJ213" s="646">
        <v>17.835852510286106</v>
      </c>
      <c r="GK213" s="646">
        <v>1.977527546366932</v>
      </c>
      <c r="GL213" s="646">
        <v>1500</v>
      </c>
      <c r="GM213" s="563" t="s">
        <v>1587</v>
      </c>
      <c r="GN213" s="563">
        <v>2</v>
      </c>
      <c r="GO213" s="563">
        <v>0</v>
      </c>
      <c r="GP213" s="563">
        <v>0</v>
      </c>
      <c r="GQ213" s="563">
        <v>0</v>
      </c>
      <c r="GR213" s="650">
        <v>1861.6598349573073</v>
      </c>
      <c r="GS213" s="563">
        <v>1</v>
      </c>
      <c r="GT213" s="563">
        <v>2</v>
      </c>
      <c r="GU213" s="563">
        <v>17.202566693647565</v>
      </c>
      <c r="GV213" s="650">
        <v>4928.8983327344667</v>
      </c>
      <c r="GW213" s="564">
        <v>1861.6598349573073</v>
      </c>
      <c r="GX213" s="565">
        <v>59.9479128250969</v>
      </c>
      <c r="GY213" s="649">
        <v>11.462628188820016</v>
      </c>
      <c r="GZ213" s="646">
        <v>44.455598389272097</v>
      </c>
      <c r="HA213" s="646">
        <v>0.14108078883842448</v>
      </c>
      <c r="HB213" s="646">
        <v>0.51451856400803941</v>
      </c>
      <c r="HC213" s="646">
        <v>18.31089483751725</v>
      </c>
      <c r="HD213" s="646">
        <v>2.0039442392319495</v>
      </c>
      <c r="HE213" s="646">
        <v>1875</v>
      </c>
      <c r="HF213" s="563" t="s">
        <v>1587</v>
      </c>
      <c r="HG213" s="563">
        <v>2</v>
      </c>
      <c r="HH213" s="563">
        <v>1</v>
      </c>
      <c r="HI213" s="563">
        <v>2</v>
      </c>
      <c r="HJ213" s="563">
        <v>20.447367482052137</v>
      </c>
      <c r="HK213" s="650">
        <v>6331.9906503543934</v>
      </c>
      <c r="HL213" s="563">
        <v>2</v>
      </c>
      <c r="HM213" s="563">
        <v>2</v>
      </c>
      <c r="HN213" s="563">
        <v>17.202566693647565</v>
      </c>
      <c r="HO213" s="650">
        <v>5315.3967104704871</v>
      </c>
      <c r="HP213" s="564">
        <v>4000</v>
      </c>
      <c r="HQ213" s="565">
        <v>128.80529879718151</v>
      </c>
      <c r="HR213" s="649">
        <v>17.193942283230022</v>
      </c>
      <c r="HS213" s="646">
        <v>49.531313130835642</v>
      </c>
      <c r="HT213" s="646">
        <v>0</v>
      </c>
      <c r="HU213" s="646">
        <v>0</v>
      </c>
      <c r="HV213" s="646">
        <v>17.393356206015692</v>
      </c>
      <c r="HW213" s="646">
        <v>2.2857410792056441</v>
      </c>
      <c r="HX213" s="646">
        <v>1500</v>
      </c>
      <c r="HY213" s="563" t="s">
        <v>68</v>
      </c>
      <c r="HZ213" s="563">
        <v>3</v>
      </c>
      <c r="IA213" s="563">
        <v>0</v>
      </c>
      <c r="IB213" s="563">
        <v>0</v>
      </c>
      <c r="IC213" s="563">
        <v>0</v>
      </c>
      <c r="ID213" s="650">
        <v>2148.2114707199371</v>
      </c>
      <c r="IE213" s="563">
        <v>0</v>
      </c>
      <c r="IF213" s="563">
        <v>0</v>
      </c>
      <c r="IG213" s="563">
        <v>0</v>
      </c>
      <c r="IH213" s="650">
        <v>1749.9468841924604</v>
      </c>
      <c r="II213" s="564">
        <v>1749.9468841924604</v>
      </c>
      <c r="IJ213" s="565">
        <v>56.350607824401663</v>
      </c>
      <c r="IK213" s="649">
        <v>22.925256377640032</v>
      </c>
      <c r="IL213" s="646">
        <v>55.262627225245652</v>
      </c>
      <c r="IM213" s="646">
        <v>0</v>
      </c>
      <c r="IN213" s="646">
        <v>0</v>
      </c>
      <c r="IO213" s="646">
        <v>17.425134497732667</v>
      </c>
      <c r="IP213" s="646">
        <v>2.6169573027929074</v>
      </c>
      <c r="IQ213" s="646">
        <v>1875</v>
      </c>
      <c r="IR213" s="563" t="s">
        <v>68</v>
      </c>
      <c r="IS213" s="563">
        <v>4</v>
      </c>
      <c r="IT213" s="563">
        <v>0</v>
      </c>
      <c r="IU213" s="563">
        <v>0</v>
      </c>
      <c r="IV213" s="563">
        <v>0</v>
      </c>
      <c r="IW213" s="650">
        <v>3005.1723601601766</v>
      </c>
      <c r="IX213" s="563">
        <v>0</v>
      </c>
      <c r="IY213" s="563">
        <v>0</v>
      </c>
      <c r="IZ213" s="563">
        <v>0</v>
      </c>
      <c r="JA213" s="650">
        <v>2448.0327378389679</v>
      </c>
      <c r="JB213" s="564">
        <v>2448.0327378389679</v>
      </c>
      <c r="JC213" s="565">
        <v>78.829897065657647</v>
      </c>
      <c r="JD213" s="649">
        <v>11.462628188820016</v>
      </c>
      <c r="JE213" s="646">
        <v>43.799999036425632</v>
      </c>
      <c r="JF213" s="646">
        <v>0</v>
      </c>
      <c r="JG213" s="646">
        <v>0</v>
      </c>
      <c r="JH213" s="646">
        <v>17.353261413147095</v>
      </c>
      <c r="JI213" s="646">
        <v>1.9545248556183807</v>
      </c>
      <c r="JJ213" s="646">
        <v>1500</v>
      </c>
      <c r="JK213" s="563" t="s">
        <v>67</v>
      </c>
      <c r="JL213" s="563">
        <v>2</v>
      </c>
      <c r="JM213" s="563">
        <v>0</v>
      </c>
      <c r="JN213" s="563">
        <v>0</v>
      </c>
      <c r="JO213" s="563">
        <v>0</v>
      </c>
      <c r="JP213" s="650">
        <v>2237.4366641367997</v>
      </c>
      <c r="JQ213" s="563">
        <v>0</v>
      </c>
      <c r="JR213" s="563">
        <v>0</v>
      </c>
      <c r="JS213" s="563">
        <v>0</v>
      </c>
      <c r="JT213" s="650">
        <v>1822.6303007645636</v>
      </c>
      <c r="JU213" s="564">
        <v>1822.6303007645636</v>
      </c>
      <c r="JV213" s="565">
        <v>58.691110121694109</v>
      </c>
      <c r="JW213" s="649">
        <v>17.193942283230022</v>
      </c>
      <c r="JX213" s="646">
        <v>49.531313130835642</v>
      </c>
      <c r="JY213" s="646">
        <v>0</v>
      </c>
      <c r="JZ213" s="646">
        <v>0</v>
      </c>
      <c r="KA213" s="646">
        <v>17.393356206015692</v>
      </c>
      <c r="KB213" s="646">
        <v>2.2857410792056441</v>
      </c>
      <c r="KC213" s="646">
        <v>1875</v>
      </c>
      <c r="KD213" s="563" t="s">
        <v>67</v>
      </c>
      <c r="KE213" s="563">
        <v>3</v>
      </c>
      <c r="KF213" s="563">
        <v>0</v>
      </c>
      <c r="KG213" s="563">
        <v>0</v>
      </c>
      <c r="KH213" s="563">
        <v>0</v>
      </c>
      <c r="KI213" s="650">
        <v>2927.5187640761415</v>
      </c>
      <c r="KJ213" s="563">
        <v>0</v>
      </c>
      <c r="KK213" s="563">
        <v>0</v>
      </c>
      <c r="KL213" s="563">
        <v>0</v>
      </c>
      <c r="KM213" s="650">
        <v>2384.7756188980397</v>
      </c>
      <c r="KN213" s="564">
        <v>2384.7756188980397</v>
      </c>
      <c r="KO213" s="566">
        <v>76.792934039098867</v>
      </c>
    </row>
    <row r="214" spans="1:301" ht="15" customHeight="1">
      <c r="A214" s="663" t="s">
        <v>963</v>
      </c>
      <c r="B214" s="629" t="s">
        <v>382</v>
      </c>
      <c r="C214" s="629">
        <v>230</v>
      </c>
      <c r="D214" s="629">
        <v>765</v>
      </c>
      <c r="E214" s="629">
        <v>0</v>
      </c>
      <c r="F214" s="629">
        <v>230</v>
      </c>
      <c r="G214" s="629">
        <v>28</v>
      </c>
      <c r="H214" s="629">
        <v>30</v>
      </c>
      <c r="I214" s="629">
        <v>200</v>
      </c>
      <c r="J214" s="629">
        <v>49.5</v>
      </c>
      <c r="K214" s="629">
        <v>37.799999999999997</v>
      </c>
      <c r="L214" s="629">
        <v>16</v>
      </c>
      <c r="M214" s="629">
        <v>304.75726532731699</v>
      </c>
      <c r="N214" s="629">
        <v>2</v>
      </c>
      <c r="O214" s="623">
        <v>7.2162638507360652</v>
      </c>
      <c r="P214" s="629">
        <v>3</v>
      </c>
      <c r="Q214" s="623">
        <v>6.2003640891016216</v>
      </c>
      <c r="R214" s="629">
        <v>14</v>
      </c>
      <c r="S214" s="629">
        <v>500</v>
      </c>
      <c r="T214" s="645">
        <v>21.578814539344894</v>
      </c>
      <c r="U214" s="645">
        <v>75</v>
      </c>
      <c r="V214" s="645">
        <v>60</v>
      </c>
      <c r="W214" s="793">
        <v>1.560610694363336</v>
      </c>
      <c r="X214" s="646">
        <v>0</v>
      </c>
      <c r="Y214" s="646">
        <v>0</v>
      </c>
      <c r="Z214" s="646">
        <v>0</v>
      </c>
      <c r="AA214" s="646">
        <v>0</v>
      </c>
      <c r="AB214" s="647">
        <v>1.262932821967091</v>
      </c>
      <c r="AC214" s="784">
        <v>2370.9770873931452</v>
      </c>
      <c r="AD214" s="631"/>
      <c r="AE214" s="631"/>
      <c r="AF214" s="631"/>
      <c r="AG214" s="631"/>
      <c r="AH214" s="629"/>
      <c r="AI214" s="648">
        <v>2.8769501714141632</v>
      </c>
      <c r="AJ214" s="649">
        <v>26.411483642326601</v>
      </c>
      <c r="AK214" s="646">
        <v>62.967536815872514</v>
      </c>
      <c r="AL214" s="646">
        <v>0</v>
      </c>
      <c r="AM214" s="646">
        <v>0</v>
      </c>
      <c r="AN214" s="646">
        <v>13.019895335818331</v>
      </c>
      <c r="AO214" s="646">
        <v>3.9562960928078499</v>
      </c>
      <c r="AP214" s="801">
        <v>1500</v>
      </c>
      <c r="AQ214" s="563" t="s">
        <v>71</v>
      </c>
      <c r="AR214" s="563">
        <v>6</v>
      </c>
      <c r="AS214" s="563">
        <v>0</v>
      </c>
      <c r="AT214" s="563">
        <v>0</v>
      </c>
      <c r="AU214" s="563">
        <v>0</v>
      </c>
      <c r="AV214" s="650">
        <v>2702.5285462511929</v>
      </c>
      <c r="AW214" s="563">
        <v>0</v>
      </c>
      <c r="AX214" s="563">
        <v>0</v>
      </c>
      <c r="AY214" s="563">
        <v>0</v>
      </c>
      <c r="AZ214" s="650">
        <v>2003.8413732741435</v>
      </c>
      <c r="BA214" s="564">
        <v>2003.8413732741435</v>
      </c>
      <c r="BB214" s="565">
        <v>80.264480049775969</v>
      </c>
      <c r="BC214" s="649">
        <v>26.411483642326601</v>
      </c>
      <c r="BD214" s="646">
        <v>62.967536815872514</v>
      </c>
      <c r="BE214" s="646">
        <v>0</v>
      </c>
      <c r="BF214" s="646">
        <v>0</v>
      </c>
      <c r="BG214" s="646">
        <v>13.019895335818331</v>
      </c>
      <c r="BH214" s="646">
        <v>3.9562960928078499</v>
      </c>
      <c r="BI214" s="646">
        <v>1875</v>
      </c>
      <c r="BJ214" s="563" t="s">
        <v>71</v>
      </c>
      <c r="BK214" s="563">
        <v>6</v>
      </c>
      <c r="BL214" s="563">
        <v>0</v>
      </c>
      <c r="BM214" s="563">
        <v>0</v>
      </c>
      <c r="BN214" s="563">
        <v>0</v>
      </c>
      <c r="BO214" s="650">
        <v>2702.5285462523543</v>
      </c>
      <c r="BP214" s="563">
        <v>0</v>
      </c>
      <c r="BQ214" s="563">
        <v>0</v>
      </c>
      <c r="BR214" s="563">
        <v>0</v>
      </c>
      <c r="BS214" s="650">
        <v>2003.8413732741435</v>
      </c>
      <c r="BT214" s="564">
        <v>2003.8413732741435</v>
      </c>
      <c r="BU214" s="565">
        <v>80.264480049775969</v>
      </c>
      <c r="BV214" s="649">
        <v>26.411483642326601</v>
      </c>
      <c r="BW214" s="646">
        <v>62.967536815872514</v>
      </c>
      <c r="BX214" s="646">
        <v>0</v>
      </c>
      <c r="BY214" s="646">
        <v>0</v>
      </c>
      <c r="BZ214" s="646">
        <v>13.019895335818331</v>
      </c>
      <c r="CA214" s="646">
        <v>3.9562960928078499</v>
      </c>
      <c r="CB214" s="646">
        <v>1500</v>
      </c>
      <c r="CC214" s="563" t="s">
        <v>1584</v>
      </c>
      <c r="CD214" s="563">
        <v>6</v>
      </c>
      <c r="CE214" s="563">
        <v>0</v>
      </c>
      <c r="CF214" s="563">
        <v>0</v>
      </c>
      <c r="CG214" s="563">
        <v>0</v>
      </c>
      <c r="CH214" s="650">
        <v>2647.9263814484125</v>
      </c>
      <c r="CI214" s="563">
        <v>0</v>
      </c>
      <c r="CJ214" s="563">
        <v>0</v>
      </c>
      <c r="CK214" s="563">
        <v>0</v>
      </c>
      <c r="CL214" s="650">
        <v>1963.3555559998283</v>
      </c>
      <c r="CM214" s="564">
        <v>1963.3555559998283</v>
      </c>
      <c r="CN214" s="565">
        <v>78.642808236700475</v>
      </c>
      <c r="CO214" s="649">
        <v>26.411483642326601</v>
      </c>
      <c r="CP214" s="646">
        <v>62.967536815872514</v>
      </c>
      <c r="CQ214" s="646">
        <v>0</v>
      </c>
      <c r="CR214" s="646">
        <v>0</v>
      </c>
      <c r="CS214" s="646">
        <v>13.019895335818331</v>
      </c>
      <c r="CT214" s="646">
        <v>3.9562960928078499</v>
      </c>
      <c r="CU214" s="646">
        <v>1875</v>
      </c>
      <c r="CV214" s="563" t="s">
        <v>1584</v>
      </c>
      <c r="CW214" s="563">
        <v>6</v>
      </c>
      <c r="CX214" s="563">
        <v>0</v>
      </c>
      <c r="CY214" s="563">
        <v>0</v>
      </c>
      <c r="CZ214" s="563">
        <v>0</v>
      </c>
      <c r="DA214" s="650">
        <v>2647.9263814495498</v>
      </c>
      <c r="DB214" s="563">
        <v>0</v>
      </c>
      <c r="DC214" s="563">
        <v>0</v>
      </c>
      <c r="DD214" s="563">
        <v>0</v>
      </c>
      <c r="DE214" s="650">
        <v>1963.3555559998283</v>
      </c>
      <c r="DF214" s="564">
        <v>1963.3555559998283</v>
      </c>
      <c r="DG214" s="565">
        <v>78.642808236700475</v>
      </c>
      <c r="DH214" s="649">
        <v>22.009569701938837</v>
      </c>
      <c r="DI214" s="646">
        <v>58.565622875484749</v>
      </c>
      <c r="DJ214" s="646">
        <v>0</v>
      </c>
      <c r="DK214" s="646">
        <v>0</v>
      </c>
      <c r="DL214" s="646">
        <v>12.871066553731961</v>
      </c>
      <c r="DM214" s="646">
        <v>3.605174676156607</v>
      </c>
      <c r="DN214" s="646">
        <v>1500</v>
      </c>
      <c r="DO214" s="563" t="s">
        <v>1585</v>
      </c>
      <c r="DP214" s="563">
        <v>5</v>
      </c>
      <c r="DQ214" s="563">
        <v>0</v>
      </c>
      <c r="DR214" s="563">
        <v>0</v>
      </c>
      <c r="DS214" s="563">
        <v>0</v>
      </c>
      <c r="DT214" s="650">
        <v>2187.6401622025355</v>
      </c>
      <c r="DU214" s="563">
        <v>0</v>
      </c>
      <c r="DV214" s="563">
        <v>0</v>
      </c>
      <c r="DW214" s="563">
        <v>0</v>
      </c>
      <c r="DX214" s="650">
        <v>1622.0675533424183</v>
      </c>
      <c r="DY214" s="564">
        <v>1622.0675533424183</v>
      </c>
      <c r="DZ214" s="565">
        <v>64.972412742388116</v>
      </c>
      <c r="EA214" s="649">
        <v>26.411483642326601</v>
      </c>
      <c r="EB214" s="646">
        <v>62.967536815872514</v>
      </c>
      <c r="EC214" s="646">
        <v>0</v>
      </c>
      <c r="ED214" s="646">
        <v>0</v>
      </c>
      <c r="EE214" s="646">
        <v>13.019895335818331</v>
      </c>
      <c r="EF214" s="646">
        <v>3.9562960928078499</v>
      </c>
      <c r="EG214" s="646">
        <v>1875</v>
      </c>
      <c r="EH214" s="563" t="s">
        <v>1585</v>
      </c>
      <c r="EI214" s="563">
        <v>6</v>
      </c>
      <c r="EJ214" s="563">
        <v>0</v>
      </c>
      <c r="EK214" s="563">
        <v>0</v>
      </c>
      <c r="EL214" s="563">
        <v>0</v>
      </c>
      <c r="EM214" s="650">
        <v>2935.6974369141749</v>
      </c>
      <c r="EN214" s="563">
        <v>0</v>
      </c>
      <c r="EO214" s="563">
        <v>0</v>
      </c>
      <c r="EP214" s="563">
        <v>0</v>
      </c>
      <c r="EQ214" s="650">
        <v>2176.7288977062212</v>
      </c>
      <c r="ER214" s="564">
        <v>2176.7288977062212</v>
      </c>
      <c r="ES214" s="565">
        <v>87.189542802103517</v>
      </c>
      <c r="ET214" s="649">
        <v>22.009569701938837</v>
      </c>
      <c r="EU214" s="646">
        <v>58.565622875484749</v>
      </c>
      <c r="EV214" s="646">
        <v>0</v>
      </c>
      <c r="EW214" s="646">
        <v>0</v>
      </c>
      <c r="EX214" s="646">
        <v>12.871066553731961</v>
      </c>
      <c r="EY214" s="646">
        <v>3.605174676156607</v>
      </c>
      <c r="EZ214" s="646">
        <v>1500</v>
      </c>
      <c r="FA214" s="563" t="s">
        <v>1586</v>
      </c>
      <c r="FB214" s="563">
        <v>5</v>
      </c>
      <c r="FC214" s="563">
        <v>0</v>
      </c>
      <c r="FD214" s="563">
        <v>0</v>
      </c>
      <c r="FE214" s="563">
        <v>0</v>
      </c>
      <c r="FF214" s="650">
        <v>2296.1833334695161</v>
      </c>
      <c r="FG214" s="563">
        <v>0</v>
      </c>
      <c r="FH214" s="563">
        <v>0</v>
      </c>
      <c r="FI214" s="563">
        <v>0</v>
      </c>
      <c r="FJ214" s="650">
        <v>1702.5489594215005</v>
      </c>
      <c r="FK214" s="564">
        <v>1702.5489594215005</v>
      </c>
      <c r="FL214" s="565">
        <v>68.196120117018026</v>
      </c>
      <c r="FM214" s="649">
        <v>26.411483642326601</v>
      </c>
      <c r="FN214" s="646">
        <v>62.967536815872514</v>
      </c>
      <c r="FO214" s="646">
        <v>0</v>
      </c>
      <c r="FP214" s="646">
        <v>0</v>
      </c>
      <c r="FQ214" s="646">
        <v>13.019895335818331</v>
      </c>
      <c r="FR214" s="646">
        <v>3.9562960928078499</v>
      </c>
      <c r="FS214" s="646">
        <v>1875</v>
      </c>
      <c r="FT214" s="563" t="s">
        <v>1586</v>
      </c>
      <c r="FU214" s="563">
        <v>6</v>
      </c>
      <c r="FV214" s="563">
        <v>0</v>
      </c>
      <c r="FW214" s="563">
        <v>0</v>
      </c>
      <c r="FX214" s="563">
        <v>0</v>
      </c>
      <c r="FY214" s="650">
        <v>3081.3566340645098</v>
      </c>
      <c r="FZ214" s="563">
        <v>0</v>
      </c>
      <c r="GA214" s="563">
        <v>0</v>
      </c>
      <c r="GB214" s="563">
        <v>0</v>
      </c>
      <c r="GC214" s="650">
        <v>2284.7306896040868</v>
      </c>
      <c r="GD214" s="564">
        <v>2284.7306896040868</v>
      </c>
      <c r="GE214" s="565">
        <v>91.51558766111458</v>
      </c>
      <c r="GF214" s="649">
        <v>17.607655761551069</v>
      </c>
      <c r="GG214" s="646">
        <v>54.163708935096977</v>
      </c>
      <c r="GH214" s="646">
        <v>0</v>
      </c>
      <c r="GI214" s="646">
        <v>0</v>
      </c>
      <c r="GJ214" s="646">
        <v>12.698046980302925</v>
      </c>
      <c r="GK214" s="646">
        <v>3.2540532595053642</v>
      </c>
      <c r="GL214" s="646">
        <v>1500</v>
      </c>
      <c r="GM214" s="563" t="s">
        <v>1587</v>
      </c>
      <c r="GN214" s="563">
        <v>4</v>
      </c>
      <c r="GO214" s="563">
        <v>0</v>
      </c>
      <c r="GP214" s="563">
        <v>0</v>
      </c>
      <c r="GQ214" s="563">
        <v>0</v>
      </c>
      <c r="GR214" s="650">
        <v>2207.268843583835</v>
      </c>
      <c r="GS214" s="563">
        <v>0</v>
      </c>
      <c r="GT214" s="563">
        <v>0</v>
      </c>
      <c r="GU214" s="563">
        <v>0</v>
      </c>
      <c r="GV214" s="650">
        <v>1636.6216138015411</v>
      </c>
      <c r="GW214" s="564">
        <v>1636.6216138015411</v>
      </c>
      <c r="GX214" s="565">
        <v>65.555380092471211</v>
      </c>
      <c r="GY214" s="649">
        <v>22.009569701938837</v>
      </c>
      <c r="GZ214" s="646">
        <v>58.565622875484749</v>
      </c>
      <c r="HA214" s="646">
        <v>0</v>
      </c>
      <c r="HB214" s="646">
        <v>0</v>
      </c>
      <c r="HC214" s="646">
        <v>12.871066553731961</v>
      </c>
      <c r="HD214" s="646">
        <v>3.605174676156607</v>
      </c>
      <c r="HE214" s="646">
        <v>1875</v>
      </c>
      <c r="HF214" s="563" t="s">
        <v>1587</v>
      </c>
      <c r="HG214" s="563">
        <v>5</v>
      </c>
      <c r="HH214" s="563">
        <v>0</v>
      </c>
      <c r="HI214" s="563">
        <v>0</v>
      </c>
      <c r="HJ214" s="563">
        <v>0</v>
      </c>
      <c r="HK214" s="650">
        <v>2701.911605572574</v>
      </c>
      <c r="HL214" s="563">
        <v>0</v>
      </c>
      <c r="HM214" s="563">
        <v>0</v>
      </c>
      <c r="HN214" s="563">
        <v>0</v>
      </c>
      <c r="HO214" s="650">
        <v>2003.3839308316894</v>
      </c>
      <c r="HP214" s="564">
        <v>2003.3839308316894</v>
      </c>
      <c r="HQ214" s="565">
        <v>80.246157052613626</v>
      </c>
      <c r="HR214" s="649">
        <v>22.009569701938837</v>
      </c>
      <c r="HS214" s="646">
        <v>58.565622875484749</v>
      </c>
      <c r="HT214" s="646">
        <v>0</v>
      </c>
      <c r="HU214" s="646">
        <v>0</v>
      </c>
      <c r="HV214" s="646">
        <v>12.871066553731961</v>
      </c>
      <c r="HW214" s="646">
        <v>3.605174676156607</v>
      </c>
      <c r="HX214" s="646">
        <v>1500</v>
      </c>
      <c r="HY214" s="563" t="s">
        <v>68</v>
      </c>
      <c r="HZ214" s="563">
        <v>5</v>
      </c>
      <c r="IA214" s="563">
        <v>0</v>
      </c>
      <c r="IB214" s="563">
        <v>0</v>
      </c>
      <c r="IC214" s="563">
        <v>0</v>
      </c>
      <c r="ID214" s="650">
        <v>2382.862057608043</v>
      </c>
      <c r="IE214" s="563">
        <v>0</v>
      </c>
      <c r="IF214" s="563">
        <v>0</v>
      </c>
      <c r="IG214" s="563">
        <v>0</v>
      </c>
      <c r="IH214" s="650">
        <v>1766.8185538545588</v>
      </c>
      <c r="II214" s="564">
        <v>1766.8185538545588</v>
      </c>
      <c r="IJ214" s="565">
        <v>70.7704584099492</v>
      </c>
      <c r="IK214" s="649">
        <v>26.411483642326601</v>
      </c>
      <c r="IL214" s="646">
        <v>62.967536815872514</v>
      </c>
      <c r="IM214" s="646">
        <v>0</v>
      </c>
      <c r="IN214" s="646">
        <v>0</v>
      </c>
      <c r="IO214" s="646">
        <v>13.019895335818331</v>
      </c>
      <c r="IP214" s="646">
        <v>3.9562960928078499</v>
      </c>
      <c r="IQ214" s="646">
        <v>1875</v>
      </c>
      <c r="IR214" s="563" t="s">
        <v>68</v>
      </c>
      <c r="IS214" s="563">
        <v>6</v>
      </c>
      <c r="IT214" s="563">
        <v>0</v>
      </c>
      <c r="IU214" s="563">
        <v>0</v>
      </c>
      <c r="IV214" s="563">
        <v>0</v>
      </c>
      <c r="IW214" s="650">
        <v>3197.6748991452564</v>
      </c>
      <c r="IX214" s="563">
        <v>0</v>
      </c>
      <c r="IY214" s="563">
        <v>0</v>
      </c>
      <c r="IZ214" s="563">
        <v>0</v>
      </c>
      <c r="JA214" s="650">
        <v>2370.9770873931452</v>
      </c>
      <c r="JB214" s="564">
        <v>2370.9770873931452</v>
      </c>
      <c r="JC214" s="565">
        <v>94.970213544696378</v>
      </c>
      <c r="JD214" s="649">
        <v>13.205741821163301</v>
      </c>
      <c r="JE214" s="646">
        <v>49.761794994709213</v>
      </c>
      <c r="JF214" s="646">
        <v>0</v>
      </c>
      <c r="JG214" s="646">
        <v>0</v>
      </c>
      <c r="JH214" s="646">
        <v>12.494416884390999</v>
      </c>
      <c r="JI214" s="646">
        <v>2.9029318428541213</v>
      </c>
      <c r="JJ214" s="646">
        <v>1500</v>
      </c>
      <c r="JK214" s="563" t="s">
        <v>67</v>
      </c>
      <c r="JL214" s="563">
        <v>3</v>
      </c>
      <c r="JM214" s="563">
        <v>0</v>
      </c>
      <c r="JN214" s="563">
        <v>0</v>
      </c>
      <c r="JO214" s="563">
        <v>0</v>
      </c>
      <c r="JP214" s="650">
        <v>2196.9106045497765</v>
      </c>
      <c r="JQ214" s="563">
        <v>0</v>
      </c>
      <c r="JR214" s="563">
        <v>0</v>
      </c>
      <c r="JS214" s="563">
        <v>0</v>
      </c>
      <c r="JT214" s="650">
        <v>1628.941299763974</v>
      </c>
      <c r="JU214" s="564">
        <v>1628.941299763974</v>
      </c>
      <c r="JV214" s="565">
        <v>65.247742760960747</v>
      </c>
      <c r="JW214" s="649">
        <v>17.607655761551069</v>
      </c>
      <c r="JX214" s="646">
        <v>54.163708935096977</v>
      </c>
      <c r="JY214" s="646">
        <v>0</v>
      </c>
      <c r="JZ214" s="646">
        <v>0</v>
      </c>
      <c r="KA214" s="646">
        <v>12.698046980302925</v>
      </c>
      <c r="KB214" s="646">
        <v>3.2540532595053642</v>
      </c>
      <c r="KC214" s="646">
        <v>1875</v>
      </c>
      <c r="KD214" s="563" t="s">
        <v>67</v>
      </c>
      <c r="KE214" s="563">
        <v>4</v>
      </c>
      <c r="KF214" s="563">
        <v>0</v>
      </c>
      <c r="KG214" s="563">
        <v>0</v>
      </c>
      <c r="KH214" s="563">
        <v>0</v>
      </c>
      <c r="KI214" s="650">
        <v>2652.8069980918731</v>
      </c>
      <c r="KJ214" s="563">
        <v>0</v>
      </c>
      <c r="KK214" s="563">
        <v>0</v>
      </c>
      <c r="KL214" s="563">
        <v>0</v>
      </c>
      <c r="KM214" s="650">
        <v>1966.9743823646932</v>
      </c>
      <c r="KN214" s="564">
        <v>1966.9743823646932</v>
      </c>
      <c r="KO214" s="566">
        <v>78.787761435312049</v>
      </c>
    </row>
    <row r="215" spans="1:301" ht="15" customHeight="1">
      <c r="A215" s="663" t="s">
        <v>964</v>
      </c>
      <c r="B215" s="629" t="s">
        <v>388</v>
      </c>
      <c r="C215" s="629">
        <v>230</v>
      </c>
      <c r="D215" s="629">
        <v>815</v>
      </c>
      <c r="E215" s="629">
        <v>0</v>
      </c>
      <c r="F215" s="629">
        <v>214.60209229843403</v>
      </c>
      <c r="G215" s="629">
        <v>45.726365485241445</v>
      </c>
      <c r="H215" s="629">
        <v>29.679130201698506</v>
      </c>
      <c r="I215" s="629">
        <v>250</v>
      </c>
      <c r="J215" s="629">
        <v>55.45</v>
      </c>
      <c r="K215" s="629">
        <v>30.84</v>
      </c>
      <c r="L215" s="629">
        <v>16</v>
      </c>
      <c r="M215" s="629">
        <v>307.44868337613178</v>
      </c>
      <c r="N215" s="629">
        <v>5</v>
      </c>
      <c r="O215" s="623">
        <v>20.4759829819948</v>
      </c>
      <c r="P215" s="629">
        <v>5</v>
      </c>
      <c r="Q215" s="623">
        <v>11.150852413206474</v>
      </c>
      <c r="R215" s="629">
        <v>14</v>
      </c>
      <c r="S215" s="629">
        <v>550</v>
      </c>
      <c r="T215" s="645">
        <v>26.110365592607319</v>
      </c>
      <c r="U215" s="645">
        <v>82.5</v>
      </c>
      <c r="V215" s="645">
        <v>60</v>
      </c>
      <c r="W215" s="793">
        <v>1.8883389401796367</v>
      </c>
      <c r="X215" s="646">
        <v>0</v>
      </c>
      <c r="Y215" s="646">
        <v>0</v>
      </c>
      <c r="Z215" s="646">
        <v>0</v>
      </c>
      <c r="AA215" s="646">
        <v>0</v>
      </c>
      <c r="AB215" s="647">
        <v>2.0885974574540027</v>
      </c>
      <c r="AC215" s="784">
        <v>2498.6858224001367</v>
      </c>
      <c r="AD215" s="631"/>
      <c r="AE215" s="631"/>
      <c r="AF215" s="631"/>
      <c r="AG215" s="631"/>
      <c r="AH215" s="629"/>
      <c r="AI215" s="648">
        <v>3.3794209402159332</v>
      </c>
      <c r="AJ215" s="649">
        <v>32.399894195237167</v>
      </c>
      <c r="AK215" s="646">
        <v>92.025434123225395</v>
      </c>
      <c r="AL215" s="646">
        <v>0</v>
      </c>
      <c r="AM215" s="646">
        <v>0</v>
      </c>
      <c r="AN215" s="646">
        <v>14.732987411636817</v>
      </c>
      <c r="AO215" s="646">
        <v>6.9392034139869612</v>
      </c>
      <c r="AP215" s="801">
        <v>1500</v>
      </c>
      <c r="AQ215" s="563" t="s">
        <v>71</v>
      </c>
      <c r="AR215" s="563">
        <v>6</v>
      </c>
      <c r="AS215" s="563">
        <v>0</v>
      </c>
      <c r="AT215" s="563">
        <v>0</v>
      </c>
      <c r="AU215" s="563">
        <v>0</v>
      </c>
      <c r="AV215" s="650">
        <v>2734.6317902400692</v>
      </c>
      <c r="AW215" s="563">
        <v>0</v>
      </c>
      <c r="AX215" s="563">
        <v>0</v>
      </c>
      <c r="AY215" s="563">
        <v>0</v>
      </c>
      <c r="AZ215" s="650">
        <v>1862.4104511005576</v>
      </c>
      <c r="BA215" s="564">
        <v>1862.4104511005576</v>
      </c>
      <c r="BB215" s="565">
        <v>79.475200296404793</v>
      </c>
      <c r="BC215" s="649">
        <v>43.199858926982884</v>
      </c>
      <c r="BD215" s="646">
        <v>102.82539885497111</v>
      </c>
      <c r="BE215" s="646">
        <v>0</v>
      </c>
      <c r="BF215" s="646">
        <v>0</v>
      </c>
      <c r="BG215" s="646">
        <v>14.744181487200859</v>
      </c>
      <c r="BH215" s="646">
        <v>7.9073190025186042</v>
      </c>
      <c r="BI215" s="646">
        <v>1875</v>
      </c>
      <c r="BJ215" s="563" t="s">
        <v>71</v>
      </c>
      <c r="BK215" s="563">
        <v>8</v>
      </c>
      <c r="BL215" s="563">
        <v>0</v>
      </c>
      <c r="BM215" s="563">
        <v>0</v>
      </c>
      <c r="BN215" s="563">
        <v>0</v>
      </c>
      <c r="BO215" s="650">
        <v>3190.495258302848</v>
      </c>
      <c r="BP215" s="563">
        <v>0</v>
      </c>
      <c r="BQ215" s="563">
        <v>0</v>
      </c>
      <c r="BR215" s="563">
        <v>0</v>
      </c>
      <c r="BS215" s="650">
        <v>2172.8745107334707</v>
      </c>
      <c r="BT215" s="564">
        <v>2172.8745107334707</v>
      </c>
      <c r="BU215" s="565">
        <v>92.723726317927031</v>
      </c>
      <c r="BV215" s="649">
        <v>32.399894195237167</v>
      </c>
      <c r="BW215" s="646">
        <v>92.025434123225395</v>
      </c>
      <c r="BX215" s="646">
        <v>0</v>
      </c>
      <c r="BY215" s="646">
        <v>0</v>
      </c>
      <c r="BZ215" s="646">
        <v>14.732987411636817</v>
      </c>
      <c r="CA215" s="646">
        <v>6.9392034139869612</v>
      </c>
      <c r="CB215" s="646">
        <v>1500</v>
      </c>
      <c r="CC215" s="563" t="s">
        <v>1584</v>
      </c>
      <c r="CD215" s="563">
        <v>6</v>
      </c>
      <c r="CE215" s="563">
        <v>0</v>
      </c>
      <c r="CF215" s="563">
        <v>0</v>
      </c>
      <c r="CG215" s="563">
        <v>0</v>
      </c>
      <c r="CH215" s="650">
        <v>2679.38100819274</v>
      </c>
      <c r="CI215" s="563">
        <v>0</v>
      </c>
      <c r="CJ215" s="563">
        <v>0</v>
      </c>
      <c r="CK215" s="563">
        <v>0</v>
      </c>
      <c r="CL215" s="650">
        <v>1824.7821187292027</v>
      </c>
      <c r="CM215" s="564">
        <v>1824.7821187292027</v>
      </c>
      <c r="CN215" s="565">
        <v>77.869475172672836</v>
      </c>
      <c r="CO215" s="649">
        <v>43.199858926982884</v>
      </c>
      <c r="CP215" s="646">
        <v>102.82539885497111</v>
      </c>
      <c r="CQ215" s="646">
        <v>0</v>
      </c>
      <c r="CR215" s="646">
        <v>0</v>
      </c>
      <c r="CS215" s="646">
        <v>14.744181487200859</v>
      </c>
      <c r="CT215" s="646">
        <v>7.9073190025186042</v>
      </c>
      <c r="CU215" s="646">
        <v>1875</v>
      </c>
      <c r="CV215" s="563" t="s">
        <v>1584</v>
      </c>
      <c r="CW215" s="563">
        <v>8</v>
      </c>
      <c r="CX215" s="563">
        <v>0</v>
      </c>
      <c r="CY215" s="563">
        <v>0</v>
      </c>
      <c r="CZ215" s="563">
        <v>0</v>
      </c>
      <c r="DA215" s="650">
        <v>3126.0341638444766</v>
      </c>
      <c r="DB215" s="563">
        <v>0</v>
      </c>
      <c r="DC215" s="563">
        <v>0</v>
      </c>
      <c r="DD215" s="563">
        <v>0</v>
      </c>
      <c r="DE215" s="650">
        <v>2128.9735305586614</v>
      </c>
      <c r="DF215" s="564">
        <v>2128.9735305586614</v>
      </c>
      <c r="DG215" s="565">
        <v>90.850326611358767</v>
      </c>
      <c r="DH215" s="649">
        <v>26.999911829364301</v>
      </c>
      <c r="DI215" s="646">
        <v>86.625451757352522</v>
      </c>
      <c r="DJ215" s="646">
        <v>0</v>
      </c>
      <c r="DK215" s="646">
        <v>0</v>
      </c>
      <c r="DL215" s="646">
        <v>14.726343663977588</v>
      </c>
      <c r="DM215" s="646">
        <v>6.4551456197211383</v>
      </c>
      <c r="DN215" s="646">
        <v>1500</v>
      </c>
      <c r="DO215" s="563" t="s">
        <v>1585</v>
      </c>
      <c r="DP215" s="563">
        <v>5</v>
      </c>
      <c r="DQ215" s="563">
        <v>0</v>
      </c>
      <c r="DR215" s="563">
        <v>0</v>
      </c>
      <c r="DS215" s="563">
        <v>0</v>
      </c>
      <c r="DT215" s="650">
        <v>2213.6270647218348</v>
      </c>
      <c r="DU215" s="563">
        <v>0</v>
      </c>
      <c r="DV215" s="563">
        <v>0</v>
      </c>
      <c r="DW215" s="563">
        <v>0</v>
      </c>
      <c r="DX215" s="650">
        <v>1507.582188903501</v>
      </c>
      <c r="DY215" s="564">
        <v>1507.582188903501</v>
      </c>
      <c r="DZ215" s="565">
        <v>64.33350734022963</v>
      </c>
      <c r="EA215" s="649">
        <v>32.399894195237167</v>
      </c>
      <c r="EB215" s="646">
        <v>92.025434123225395</v>
      </c>
      <c r="EC215" s="646">
        <v>0</v>
      </c>
      <c r="ED215" s="646">
        <v>0</v>
      </c>
      <c r="EE215" s="646">
        <v>14.732987411636817</v>
      </c>
      <c r="EF215" s="646">
        <v>6.9392034139869612</v>
      </c>
      <c r="EG215" s="646">
        <v>1875</v>
      </c>
      <c r="EH215" s="563" t="s">
        <v>1585</v>
      </c>
      <c r="EI215" s="563">
        <v>6</v>
      </c>
      <c r="EJ215" s="563">
        <v>0</v>
      </c>
      <c r="EK215" s="563">
        <v>0</v>
      </c>
      <c r="EL215" s="563">
        <v>0</v>
      </c>
      <c r="EM215" s="650">
        <v>2970.570486164851</v>
      </c>
      <c r="EN215" s="563">
        <v>0</v>
      </c>
      <c r="EO215" s="563">
        <v>0</v>
      </c>
      <c r="EP215" s="563">
        <v>0</v>
      </c>
      <c r="EQ215" s="650">
        <v>2023.0955914822525</v>
      </c>
      <c r="ER215" s="564">
        <v>2023.0955914822525</v>
      </c>
      <c r="ES215" s="565">
        <v>86.332165531401543</v>
      </c>
      <c r="ET215" s="649">
        <v>26.999911829364301</v>
      </c>
      <c r="EU215" s="646">
        <v>86.625451757352522</v>
      </c>
      <c r="EV215" s="646">
        <v>0</v>
      </c>
      <c r="EW215" s="646">
        <v>0</v>
      </c>
      <c r="EX215" s="646">
        <v>14.726343663977588</v>
      </c>
      <c r="EY215" s="646">
        <v>6.4551456197211383</v>
      </c>
      <c r="EZ215" s="646">
        <v>1500</v>
      </c>
      <c r="FA215" s="563" t="s">
        <v>1586</v>
      </c>
      <c r="FB215" s="563">
        <v>5</v>
      </c>
      <c r="FC215" s="563">
        <v>0</v>
      </c>
      <c r="FD215" s="563">
        <v>0</v>
      </c>
      <c r="FE215" s="563">
        <v>0</v>
      </c>
      <c r="FF215" s="650">
        <v>2323.4596166006663</v>
      </c>
      <c r="FG215" s="563">
        <v>0</v>
      </c>
      <c r="FH215" s="563">
        <v>0</v>
      </c>
      <c r="FI215" s="563">
        <v>0</v>
      </c>
      <c r="FJ215" s="650">
        <v>1582.3832254526376</v>
      </c>
      <c r="FK215" s="564">
        <v>1582.3832254526376</v>
      </c>
      <c r="FL215" s="565">
        <v>67.525514429004474</v>
      </c>
      <c r="FM215" s="649">
        <v>32.399894195237167</v>
      </c>
      <c r="FN215" s="646">
        <v>92.025434123225395</v>
      </c>
      <c r="FO215" s="646">
        <v>0</v>
      </c>
      <c r="FP215" s="646">
        <v>0</v>
      </c>
      <c r="FQ215" s="646">
        <v>14.732987411636817</v>
      </c>
      <c r="FR215" s="646">
        <v>6.9392034139869612</v>
      </c>
      <c r="FS215" s="646">
        <v>1875</v>
      </c>
      <c r="FT215" s="563" t="s">
        <v>1586</v>
      </c>
      <c r="FU215" s="563">
        <v>6</v>
      </c>
      <c r="FV215" s="563">
        <v>0</v>
      </c>
      <c r="FW215" s="563">
        <v>0</v>
      </c>
      <c r="FX215" s="563">
        <v>0</v>
      </c>
      <c r="FY215" s="650">
        <v>3117.959963926588</v>
      </c>
      <c r="FZ215" s="563">
        <v>0</v>
      </c>
      <c r="GA215" s="563">
        <v>0</v>
      </c>
      <c r="GB215" s="563">
        <v>0</v>
      </c>
      <c r="GC215" s="650">
        <v>2123.4746277926556</v>
      </c>
      <c r="GD215" s="564">
        <v>2123.4746277926556</v>
      </c>
      <c r="GE215" s="565">
        <v>90.615670282792465</v>
      </c>
      <c r="GF215" s="649">
        <v>21.599929463491442</v>
      </c>
      <c r="GG215" s="646">
        <v>81.225469391479663</v>
      </c>
      <c r="GH215" s="646">
        <v>0</v>
      </c>
      <c r="GI215" s="646">
        <v>0</v>
      </c>
      <c r="GJ215" s="646">
        <v>14.718816545117875</v>
      </c>
      <c r="GK215" s="646">
        <v>5.9710878254553172</v>
      </c>
      <c r="GL215" s="646">
        <v>1500</v>
      </c>
      <c r="GM215" s="563" t="s">
        <v>1587</v>
      </c>
      <c r="GN215" s="563">
        <v>4</v>
      </c>
      <c r="GO215" s="563">
        <v>0</v>
      </c>
      <c r="GP215" s="563">
        <v>0</v>
      </c>
      <c r="GQ215" s="563">
        <v>0</v>
      </c>
      <c r="GR215" s="650">
        <v>2233.4889145366137</v>
      </c>
      <c r="GS215" s="563">
        <v>0</v>
      </c>
      <c r="GT215" s="563">
        <v>0</v>
      </c>
      <c r="GU215" s="563">
        <v>0</v>
      </c>
      <c r="GV215" s="650">
        <v>1521.1090252422136</v>
      </c>
      <c r="GW215" s="564">
        <v>1521.1090252422136</v>
      </c>
      <c r="GX215" s="565">
        <v>64.910742088220118</v>
      </c>
      <c r="GY215" s="649">
        <v>32.399894195237167</v>
      </c>
      <c r="GZ215" s="646">
        <v>92.025434123225395</v>
      </c>
      <c r="HA215" s="646">
        <v>0</v>
      </c>
      <c r="HB215" s="646">
        <v>0</v>
      </c>
      <c r="HC215" s="646">
        <v>14.732987411636817</v>
      </c>
      <c r="HD215" s="646">
        <v>6.9392034139869612</v>
      </c>
      <c r="HE215" s="646">
        <v>1875</v>
      </c>
      <c r="HF215" s="563" t="s">
        <v>1587</v>
      </c>
      <c r="HG215" s="563">
        <v>6</v>
      </c>
      <c r="HH215" s="563">
        <v>0</v>
      </c>
      <c r="HI215" s="563">
        <v>0</v>
      </c>
      <c r="HJ215" s="563">
        <v>0</v>
      </c>
      <c r="HK215" s="650">
        <v>3668.8935458452443</v>
      </c>
      <c r="HL215" s="563">
        <v>0</v>
      </c>
      <c r="HM215" s="563">
        <v>0</v>
      </c>
      <c r="HN215" s="563">
        <v>0</v>
      </c>
      <c r="HO215" s="650">
        <v>2498.6858224001367</v>
      </c>
      <c r="HP215" s="564">
        <v>2498.6858224001367</v>
      </c>
      <c r="HQ215" s="565">
        <v>106.62717023290352</v>
      </c>
      <c r="HR215" s="649">
        <v>26.999911829364301</v>
      </c>
      <c r="HS215" s="646">
        <v>86.625451757352522</v>
      </c>
      <c r="HT215" s="646">
        <v>0</v>
      </c>
      <c r="HU215" s="646">
        <v>0</v>
      </c>
      <c r="HV215" s="646">
        <v>14.726343663977588</v>
      </c>
      <c r="HW215" s="646">
        <v>6.4551456197211383</v>
      </c>
      <c r="HX215" s="646">
        <v>1500</v>
      </c>
      <c r="HY215" s="563" t="s">
        <v>68</v>
      </c>
      <c r="HZ215" s="563">
        <v>5</v>
      </c>
      <c r="IA215" s="563">
        <v>0</v>
      </c>
      <c r="IB215" s="563">
        <v>0</v>
      </c>
      <c r="IC215" s="563">
        <v>0</v>
      </c>
      <c r="ID215" s="650">
        <v>2411.1679943328713</v>
      </c>
      <c r="IE215" s="563">
        <v>0</v>
      </c>
      <c r="IF215" s="563">
        <v>0</v>
      </c>
      <c r="IG215" s="563">
        <v>0</v>
      </c>
      <c r="IH215" s="650">
        <v>1642.1166783878596</v>
      </c>
      <c r="II215" s="564">
        <v>1642.1166783878596</v>
      </c>
      <c r="IJ215" s="565">
        <v>70.074537998764455</v>
      </c>
      <c r="IK215" s="649">
        <v>32.399894195237167</v>
      </c>
      <c r="IL215" s="646">
        <v>92.025434123225395</v>
      </c>
      <c r="IM215" s="646">
        <v>0</v>
      </c>
      <c r="IN215" s="646">
        <v>0</v>
      </c>
      <c r="IO215" s="646">
        <v>14.732987411636817</v>
      </c>
      <c r="IP215" s="646">
        <v>6.9392034139869612</v>
      </c>
      <c r="IQ215" s="646">
        <v>1875</v>
      </c>
      <c r="IR215" s="563" t="s">
        <v>68</v>
      </c>
      <c r="IS215" s="563">
        <v>6</v>
      </c>
      <c r="IT215" s="563">
        <v>0</v>
      </c>
      <c r="IU215" s="563">
        <v>0</v>
      </c>
      <c r="IV215" s="563">
        <v>0</v>
      </c>
      <c r="IW215" s="650">
        <v>3235.6599696921576</v>
      </c>
      <c r="IX215" s="563">
        <v>0</v>
      </c>
      <c r="IY215" s="563">
        <v>0</v>
      </c>
      <c r="IZ215" s="563">
        <v>0</v>
      </c>
      <c r="JA215" s="650">
        <v>2203.6337635178888</v>
      </c>
      <c r="JB215" s="564">
        <v>2203.6337635178888</v>
      </c>
      <c r="JC215" s="565">
        <v>94.036325146270599</v>
      </c>
      <c r="JD215" s="649">
        <v>16.199947097618583</v>
      </c>
      <c r="JE215" s="646">
        <v>75.825487025606805</v>
      </c>
      <c r="JF215" s="646">
        <v>0</v>
      </c>
      <c r="JG215" s="646">
        <v>0</v>
      </c>
      <c r="JH215" s="646">
        <v>14.710217324760292</v>
      </c>
      <c r="JI215" s="646">
        <v>5.4870300311894953</v>
      </c>
      <c r="JJ215" s="646">
        <v>1500</v>
      </c>
      <c r="JK215" s="563" t="s">
        <v>67</v>
      </c>
      <c r="JL215" s="563">
        <v>3</v>
      </c>
      <c r="JM215" s="563">
        <v>0</v>
      </c>
      <c r="JN215" s="563">
        <v>0</v>
      </c>
      <c r="JO215" s="563">
        <v>0</v>
      </c>
      <c r="JP215" s="650">
        <v>2223.0076303360329</v>
      </c>
      <c r="JQ215" s="563">
        <v>0</v>
      </c>
      <c r="JR215" s="563">
        <v>0</v>
      </c>
      <c r="JS215" s="563">
        <v>0</v>
      </c>
      <c r="JT215" s="650">
        <v>1513.9707869953768</v>
      </c>
      <c r="JU215" s="564">
        <v>1513.9707869953768</v>
      </c>
      <c r="JV215" s="565">
        <v>64.606129904533347</v>
      </c>
      <c r="JW215" s="649">
        <v>26.999911829364301</v>
      </c>
      <c r="JX215" s="646">
        <v>86.625451757352522</v>
      </c>
      <c r="JY215" s="646">
        <v>0</v>
      </c>
      <c r="JZ215" s="646">
        <v>0</v>
      </c>
      <c r="KA215" s="646">
        <v>14.726343663977588</v>
      </c>
      <c r="KB215" s="646">
        <v>6.4551456197211383</v>
      </c>
      <c r="KC215" s="646">
        <v>1875</v>
      </c>
      <c r="KD215" s="563" t="s">
        <v>67</v>
      </c>
      <c r="KE215" s="563">
        <v>5</v>
      </c>
      <c r="KF215" s="563">
        <v>0</v>
      </c>
      <c r="KG215" s="563">
        <v>0</v>
      </c>
      <c r="KH215" s="563">
        <v>0</v>
      </c>
      <c r="KI215" s="650">
        <v>3285.8681014228541</v>
      </c>
      <c r="KJ215" s="563">
        <v>0</v>
      </c>
      <c r="KK215" s="563">
        <v>0</v>
      </c>
      <c r="KL215" s="563">
        <v>0</v>
      </c>
      <c r="KM215" s="650">
        <v>2237.8278183068028</v>
      </c>
      <c r="KN215" s="564">
        <v>2237.8278183068028</v>
      </c>
      <c r="KO215" s="566">
        <v>95.495498311718237</v>
      </c>
    </row>
    <row r="216" spans="1:301" ht="15" customHeight="1">
      <c r="A216" s="663" t="s">
        <v>965</v>
      </c>
      <c r="B216" s="629" t="s">
        <v>389</v>
      </c>
      <c r="C216" s="629">
        <v>151</v>
      </c>
      <c r="D216" s="629">
        <v>1000</v>
      </c>
      <c r="E216" s="629">
        <v>0</v>
      </c>
      <c r="F216" s="629">
        <v>0</v>
      </c>
      <c r="G216" s="629">
        <v>28</v>
      </c>
      <c r="H216" s="629">
        <v>30</v>
      </c>
      <c r="I216" s="629">
        <v>250</v>
      </c>
      <c r="J216" s="629"/>
      <c r="K216" s="629"/>
      <c r="L216" s="629">
        <v>16</v>
      </c>
      <c r="M216" s="629">
        <v>28.139690635232103</v>
      </c>
      <c r="N216" s="629">
        <v>2</v>
      </c>
      <c r="O216" s="623">
        <v>12.330751165339938</v>
      </c>
      <c r="P216" s="629">
        <v>2</v>
      </c>
      <c r="Q216" s="623">
        <v>7.1210087979838148</v>
      </c>
      <c r="R216" s="629">
        <v>18</v>
      </c>
      <c r="S216" s="629">
        <v>650</v>
      </c>
      <c r="T216" s="645">
        <v>46.88768130620511</v>
      </c>
      <c r="U216" s="645">
        <v>97.5</v>
      </c>
      <c r="V216" s="645">
        <v>10</v>
      </c>
      <c r="W216" s="793">
        <v>0.43957201224567299</v>
      </c>
      <c r="X216" s="646">
        <v>0</v>
      </c>
      <c r="Y216" s="646">
        <v>0</v>
      </c>
      <c r="Z216" s="646">
        <v>0</v>
      </c>
      <c r="AA216" s="646">
        <v>0</v>
      </c>
      <c r="AB216" s="647">
        <v>1.2800141195445456</v>
      </c>
      <c r="AC216" s="784">
        <v>0</v>
      </c>
      <c r="AD216" s="631"/>
      <c r="AE216" s="631"/>
      <c r="AF216" s="631"/>
      <c r="AG216" s="631"/>
      <c r="AH216" s="629"/>
      <c r="AI216" s="648">
        <v>3.2318427405883825</v>
      </c>
      <c r="AJ216" s="649">
        <v>1.9792332805196855</v>
      </c>
      <c r="AK216" s="646">
        <v>68.758246562294218</v>
      </c>
      <c r="AL216" s="646">
        <v>0</v>
      </c>
      <c r="AM216" s="646">
        <v>0</v>
      </c>
      <c r="AN216" s="646">
        <v>12.084645498198503</v>
      </c>
      <c r="AO216" s="646">
        <v>5.5368491638615493</v>
      </c>
      <c r="AP216" s="801">
        <v>1500</v>
      </c>
      <c r="AQ216" s="563"/>
      <c r="AR216" s="563">
        <v>4</v>
      </c>
      <c r="AS216" s="563">
        <v>0</v>
      </c>
      <c r="AT216" s="563"/>
      <c r="AU216" s="563"/>
      <c r="AV216" s="650">
        <v>0</v>
      </c>
      <c r="AW216" s="563">
        <v>0</v>
      </c>
      <c r="AX216" s="563"/>
      <c r="AY216" s="563"/>
      <c r="AZ216" s="650">
        <v>0</v>
      </c>
      <c r="BA216" s="564">
        <v>0</v>
      </c>
      <c r="BB216" s="565">
        <v>0</v>
      </c>
      <c r="BC216" s="649">
        <v>0</v>
      </c>
      <c r="BD216" s="646">
        <v>66.779013281774539</v>
      </c>
      <c r="BE216" s="646">
        <v>0</v>
      </c>
      <c r="BF216" s="646">
        <v>0</v>
      </c>
      <c r="BG216" s="646">
        <v>11.998238611200469</v>
      </c>
      <c r="BH216" s="646">
        <v>5.2838039415429474</v>
      </c>
      <c r="BI216" s="646">
        <v>1875</v>
      </c>
      <c r="BJ216" s="563"/>
      <c r="BK216" s="563"/>
      <c r="BL216" s="563">
        <v>0</v>
      </c>
      <c r="BM216" s="563"/>
      <c r="BN216" s="563"/>
      <c r="BO216" s="650">
        <v>0</v>
      </c>
      <c r="BP216" s="563">
        <v>0</v>
      </c>
      <c r="BQ216" s="563"/>
      <c r="BR216" s="563"/>
      <c r="BS216" s="650">
        <v>0</v>
      </c>
      <c r="BT216" s="564">
        <v>0</v>
      </c>
      <c r="BU216" s="565">
        <v>0</v>
      </c>
      <c r="BV216" s="649">
        <v>0</v>
      </c>
      <c r="BW216" s="646">
        <v>66.779013281774539</v>
      </c>
      <c r="BX216" s="646">
        <v>0</v>
      </c>
      <c r="BY216" s="646">
        <v>0</v>
      </c>
      <c r="BZ216" s="646">
        <v>11.998238611200469</v>
      </c>
      <c r="CA216" s="646">
        <v>5.2838039415429474</v>
      </c>
      <c r="CB216" s="646">
        <v>1500</v>
      </c>
      <c r="CC216" s="563"/>
      <c r="CD216" s="563"/>
      <c r="CE216" s="563">
        <v>0</v>
      </c>
      <c r="CF216" s="563"/>
      <c r="CG216" s="563"/>
      <c r="CH216" s="650">
        <v>0</v>
      </c>
      <c r="CI216" s="563">
        <v>0</v>
      </c>
      <c r="CJ216" s="563"/>
      <c r="CK216" s="563"/>
      <c r="CL216" s="650">
        <v>0</v>
      </c>
      <c r="CM216" s="564">
        <v>0</v>
      </c>
      <c r="CN216" s="565">
        <v>0</v>
      </c>
      <c r="CO216" s="649">
        <v>0</v>
      </c>
      <c r="CP216" s="646">
        <v>66.779013281774539</v>
      </c>
      <c r="CQ216" s="646">
        <v>0</v>
      </c>
      <c r="CR216" s="646">
        <v>0</v>
      </c>
      <c r="CS216" s="646">
        <v>11.998238611200469</v>
      </c>
      <c r="CT216" s="646">
        <v>5.2838039415429474</v>
      </c>
      <c r="CU216" s="646">
        <v>1875</v>
      </c>
      <c r="CV216" s="563"/>
      <c r="CW216" s="563"/>
      <c r="CX216" s="563">
        <v>0</v>
      </c>
      <c r="CY216" s="563"/>
      <c r="CZ216" s="563"/>
      <c r="DA216" s="650">
        <v>0</v>
      </c>
      <c r="DB216" s="563">
        <v>0</v>
      </c>
      <c r="DC216" s="563"/>
      <c r="DD216" s="563"/>
      <c r="DE216" s="650">
        <v>0</v>
      </c>
      <c r="DF216" s="564">
        <v>0</v>
      </c>
      <c r="DG216" s="565">
        <v>0</v>
      </c>
      <c r="DH216" s="649">
        <v>0</v>
      </c>
      <c r="DI216" s="646">
        <v>66.779013281774539</v>
      </c>
      <c r="DJ216" s="646">
        <v>0</v>
      </c>
      <c r="DK216" s="646">
        <v>0</v>
      </c>
      <c r="DL216" s="646">
        <v>11.998238611200469</v>
      </c>
      <c r="DM216" s="646">
        <v>5.2838039415429474</v>
      </c>
      <c r="DN216" s="646">
        <v>1500</v>
      </c>
      <c r="DO216" s="563"/>
      <c r="DP216" s="563"/>
      <c r="DQ216" s="563">
        <v>0</v>
      </c>
      <c r="DR216" s="563"/>
      <c r="DS216" s="563"/>
      <c r="DT216" s="650">
        <v>0</v>
      </c>
      <c r="DU216" s="563">
        <v>0</v>
      </c>
      <c r="DV216" s="563"/>
      <c r="DW216" s="563"/>
      <c r="DX216" s="650">
        <v>0</v>
      </c>
      <c r="DY216" s="564">
        <v>0</v>
      </c>
      <c r="DZ216" s="565">
        <v>0</v>
      </c>
      <c r="EA216" s="649">
        <v>0</v>
      </c>
      <c r="EB216" s="646">
        <v>66.779013281774539</v>
      </c>
      <c r="EC216" s="646">
        <v>0</v>
      </c>
      <c r="ED216" s="646">
        <v>0</v>
      </c>
      <c r="EE216" s="646">
        <v>11.998238611200469</v>
      </c>
      <c r="EF216" s="646">
        <v>5.2838039415429474</v>
      </c>
      <c r="EG216" s="646">
        <v>1875</v>
      </c>
      <c r="EH216" s="563"/>
      <c r="EI216" s="563"/>
      <c r="EJ216" s="563">
        <v>0</v>
      </c>
      <c r="EK216" s="563"/>
      <c r="EL216" s="563"/>
      <c r="EM216" s="650">
        <v>0</v>
      </c>
      <c r="EN216" s="563">
        <v>0</v>
      </c>
      <c r="EO216" s="563"/>
      <c r="EP216" s="563"/>
      <c r="EQ216" s="650">
        <v>0</v>
      </c>
      <c r="ER216" s="564">
        <v>0</v>
      </c>
      <c r="ES216" s="565">
        <v>0</v>
      </c>
      <c r="ET216" s="649">
        <v>0</v>
      </c>
      <c r="EU216" s="646">
        <v>66.779013281774539</v>
      </c>
      <c r="EV216" s="646">
        <v>0</v>
      </c>
      <c r="EW216" s="646">
        <v>0</v>
      </c>
      <c r="EX216" s="646">
        <v>11.998238611200469</v>
      </c>
      <c r="EY216" s="646">
        <v>5.2838039415429474</v>
      </c>
      <c r="EZ216" s="646">
        <v>1500</v>
      </c>
      <c r="FA216" s="563"/>
      <c r="FB216" s="563"/>
      <c r="FC216" s="563">
        <v>0</v>
      </c>
      <c r="FD216" s="563"/>
      <c r="FE216" s="563"/>
      <c r="FF216" s="650">
        <v>0</v>
      </c>
      <c r="FG216" s="563">
        <v>0</v>
      </c>
      <c r="FH216" s="563"/>
      <c r="FI216" s="563"/>
      <c r="FJ216" s="650">
        <v>0</v>
      </c>
      <c r="FK216" s="564">
        <v>0</v>
      </c>
      <c r="FL216" s="565">
        <v>0</v>
      </c>
      <c r="FM216" s="649">
        <v>0</v>
      </c>
      <c r="FN216" s="646">
        <v>66.779013281774539</v>
      </c>
      <c r="FO216" s="646">
        <v>0</v>
      </c>
      <c r="FP216" s="646">
        <v>0</v>
      </c>
      <c r="FQ216" s="646">
        <v>11.998238611200469</v>
      </c>
      <c r="FR216" s="646">
        <v>5.2838039415429474</v>
      </c>
      <c r="FS216" s="646">
        <v>1875</v>
      </c>
      <c r="FT216" s="563"/>
      <c r="FU216" s="563"/>
      <c r="FV216" s="563">
        <v>0</v>
      </c>
      <c r="FW216" s="563"/>
      <c r="FX216" s="563"/>
      <c r="FY216" s="650">
        <v>0</v>
      </c>
      <c r="FZ216" s="563">
        <v>0</v>
      </c>
      <c r="GA216" s="563"/>
      <c r="GB216" s="563"/>
      <c r="GC216" s="650">
        <v>0</v>
      </c>
      <c r="GD216" s="564">
        <v>0</v>
      </c>
      <c r="GE216" s="565">
        <v>0</v>
      </c>
      <c r="GF216" s="649">
        <v>0</v>
      </c>
      <c r="GG216" s="646">
        <v>66.779013281774539</v>
      </c>
      <c r="GH216" s="646">
        <v>0</v>
      </c>
      <c r="GI216" s="646">
        <v>0</v>
      </c>
      <c r="GJ216" s="646">
        <v>11.998238611200469</v>
      </c>
      <c r="GK216" s="646">
        <v>5.2838039415429474</v>
      </c>
      <c r="GL216" s="646">
        <v>1500</v>
      </c>
      <c r="GM216" s="563"/>
      <c r="GN216" s="563"/>
      <c r="GO216" s="563">
        <v>0</v>
      </c>
      <c r="GP216" s="563"/>
      <c r="GQ216" s="563"/>
      <c r="GR216" s="650">
        <v>0</v>
      </c>
      <c r="GS216" s="563">
        <v>0</v>
      </c>
      <c r="GT216" s="563"/>
      <c r="GU216" s="563"/>
      <c r="GV216" s="650">
        <v>0</v>
      </c>
      <c r="GW216" s="564">
        <v>0</v>
      </c>
      <c r="GX216" s="565">
        <v>0</v>
      </c>
      <c r="GY216" s="649">
        <v>0</v>
      </c>
      <c r="GZ216" s="646">
        <v>66.779013281774539</v>
      </c>
      <c r="HA216" s="646">
        <v>0</v>
      </c>
      <c r="HB216" s="646">
        <v>0</v>
      </c>
      <c r="HC216" s="646">
        <v>11.998238611200469</v>
      </c>
      <c r="HD216" s="646">
        <v>5.2838039415429474</v>
      </c>
      <c r="HE216" s="646">
        <v>1875</v>
      </c>
      <c r="HF216" s="563"/>
      <c r="HG216" s="563"/>
      <c r="HH216" s="563">
        <v>0</v>
      </c>
      <c r="HI216" s="563"/>
      <c r="HJ216" s="563"/>
      <c r="HK216" s="650">
        <v>0</v>
      </c>
      <c r="HL216" s="563">
        <v>0</v>
      </c>
      <c r="HM216" s="563"/>
      <c r="HN216" s="563"/>
      <c r="HO216" s="650">
        <v>0</v>
      </c>
      <c r="HP216" s="564">
        <v>0</v>
      </c>
      <c r="HQ216" s="565">
        <v>0</v>
      </c>
      <c r="HR216" s="649">
        <v>0</v>
      </c>
      <c r="HS216" s="646">
        <v>66.779013281774539</v>
      </c>
      <c r="HT216" s="646">
        <v>0</v>
      </c>
      <c r="HU216" s="646">
        <v>0</v>
      </c>
      <c r="HV216" s="646">
        <v>11.998238611200469</v>
      </c>
      <c r="HW216" s="646">
        <v>5.2838039415429474</v>
      </c>
      <c r="HX216" s="646">
        <v>1500</v>
      </c>
      <c r="HY216" s="563"/>
      <c r="HZ216" s="563"/>
      <c r="IA216" s="563">
        <v>0</v>
      </c>
      <c r="IB216" s="563"/>
      <c r="IC216" s="563"/>
      <c r="ID216" s="650">
        <v>0</v>
      </c>
      <c r="IE216" s="563">
        <v>0</v>
      </c>
      <c r="IF216" s="563"/>
      <c r="IG216" s="563"/>
      <c r="IH216" s="650">
        <v>0</v>
      </c>
      <c r="II216" s="564">
        <v>0</v>
      </c>
      <c r="IJ216" s="565">
        <v>0</v>
      </c>
      <c r="IK216" s="649">
        <v>0</v>
      </c>
      <c r="IL216" s="646">
        <v>66.779013281774539</v>
      </c>
      <c r="IM216" s="646">
        <v>0</v>
      </c>
      <c r="IN216" s="646">
        <v>0</v>
      </c>
      <c r="IO216" s="646">
        <v>11.998238611200469</v>
      </c>
      <c r="IP216" s="646">
        <v>5.2838039415429474</v>
      </c>
      <c r="IQ216" s="646">
        <v>1875</v>
      </c>
      <c r="IR216" s="563"/>
      <c r="IS216" s="563"/>
      <c r="IT216" s="563">
        <v>0</v>
      </c>
      <c r="IU216" s="563"/>
      <c r="IV216" s="563"/>
      <c r="IW216" s="650">
        <v>0</v>
      </c>
      <c r="IX216" s="563">
        <v>0</v>
      </c>
      <c r="IY216" s="563"/>
      <c r="IZ216" s="563"/>
      <c r="JA216" s="650">
        <v>0</v>
      </c>
      <c r="JB216" s="564">
        <v>0</v>
      </c>
      <c r="JC216" s="565">
        <v>0</v>
      </c>
      <c r="JD216" s="649">
        <v>0</v>
      </c>
      <c r="JE216" s="646">
        <v>66.779013281774539</v>
      </c>
      <c r="JF216" s="646">
        <v>0</v>
      </c>
      <c r="JG216" s="646">
        <v>0</v>
      </c>
      <c r="JH216" s="646">
        <v>11.998238611200469</v>
      </c>
      <c r="JI216" s="646">
        <v>5.2838039415429474</v>
      </c>
      <c r="JJ216" s="646">
        <v>1500</v>
      </c>
      <c r="JK216" s="563"/>
      <c r="JL216" s="563"/>
      <c r="JM216" s="563">
        <v>0</v>
      </c>
      <c r="JN216" s="563"/>
      <c r="JO216" s="563"/>
      <c r="JP216" s="650">
        <v>0</v>
      </c>
      <c r="JQ216" s="563">
        <v>0</v>
      </c>
      <c r="JR216" s="563"/>
      <c r="JS216" s="563"/>
      <c r="JT216" s="650">
        <v>0</v>
      </c>
      <c r="JU216" s="564">
        <v>0</v>
      </c>
      <c r="JV216" s="565">
        <v>0</v>
      </c>
      <c r="JW216" s="649">
        <v>0</v>
      </c>
      <c r="JX216" s="646">
        <v>66.779013281774539</v>
      </c>
      <c r="JY216" s="646">
        <v>0</v>
      </c>
      <c r="JZ216" s="646">
        <v>0</v>
      </c>
      <c r="KA216" s="646">
        <v>11.998238611200469</v>
      </c>
      <c r="KB216" s="646">
        <v>5.2838039415429474</v>
      </c>
      <c r="KC216" s="646">
        <v>1875</v>
      </c>
      <c r="KD216" s="563"/>
      <c r="KE216" s="563"/>
      <c r="KF216" s="563">
        <v>0</v>
      </c>
      <c r="KG216" s="563"/>
      <c r="KH216" s="563"/>
      <c r="KI216" s="650">
        <v>0</v>
      </c>
      <c r="KJ216" s="563">
        <v>0</v>
      </c>
      <c r="KK216" s="563"/>
      <c r="KL216" s="563"/>
      <c r="KM216" s="650">
        <v>0</v>
      </c>
      <c r="KN216" s="564">
        <v>0</v>
      </c>
      <c r="KO216" s="566">
        <v>0</v>
      </c>
    </row>
    <row r="217" spans="1:301" ht="15" customHeight="1">
      <c r="A217" s="663" t="s">
        <v>966</v>
      </c>
      <c r="B217" s="629" t="s">
        <v>390</v>
      </c>
      <c r="C217" s="629">
        <v>150.69999999999999</v>
      </c>
      <c r="D217" s="629">
        <v>1100</v>
      </c>
      <c r="E217" s="629">
        <v>0</v>
      </c>
      <c r="F217" s="629">
        <v>0</v>
      </c>
      <c r="G217" s="629">
        <v>28</v>
      </c>
      <c r="H217" s="629">
        <v>70</v>
      </c>
      <c r="I217" s="629">
        <v>70</v>
      </c>
      <c r="J217" s="629"/>
      <c r="K217" s="629"/>
      <c r="L217" s="629">
        <v>28</v>
      </c>
      <c r="M217" s="629">
        <v>24.705464825263359</v>
      </c>
      <c r="N217" s="629">
        <v>2</v>
      </c>
      <c r="O217" s="623">
        <v>14.920208910061325</v>
      </c>
      <c r="P217" s="629">
        <v>2</v>
      </c>
      <c r="Q217" s="623">
        <v>9.7104665427052019</v>
      </c>
      <c r="R217" s="629">
        <v>18</v>
      </c>
      <c r="S217" s="629">
        <v>650</v>
      </c>
      <c r="T217" s="645">
        <v>46.88768130620511</v>
      </c>
      <c r="U217" s="645">
        <v>97.5</v>
      </c>
      <c r="V217" s="645">
        <v>10</v>
      </c>
      <c r="W217" s="793">
        <v>0.43957201224567299</v>
      </c>
      <c r="X217" s="646">
        <v>0</v>
      </c>
      <c r="Y217" s="646">
        <v>0</v>
      </c>
      <c r="Z217" s="646">
        <v>0</v>
      </c>
      <c r="AA217" s="646">
        <v>0</v>
      </c>
      <c r="AB217" s="647">
        <v>1.8874313415044706</v>
      </c>
      <c r="AC217" s="784">
        <v>0</v>
      </c>
      <c r="AD217" s="631"/>
      <c r="AE217" s="631"/>
      <c r="AF217" s="631"/>
      <c r="AG217" s="631"/>
      <c r="AH217" s="629"/>
      <c r="AI217" s="648">
        <v>3.8624989786869701</v>
      </c>
      <c r="AJ217" s="649">
        <v>1.5204731272060084</v>
      </c>
      <c r="AK217" s="646">
        <v>73.478401898423314</v>
      </c>
      <c r="AL217" s="646">
        <v>0</v>
      </c>
      <c r="AM217" s="646">
        <v>0</v>
      </c>
      <c r="AN217" s="646">
        <v>20.843249199043154</v>
      </c>
      <c r="AO217" s="646">
        <v>6.9487672422102573</v>
      </c>
      <c r="AP217" s="801">
        <v>1200</v>
      </c>
      <c r="AQ217" s="563"/>
      <c r="AR217" s="563">
        <v>4</v>
      </c>
      <c r="AS217" s="563">
        <v>0</v>
      </c>
      <c r="AT217" s="563"/>
      <c r="AU217" s="563"/>
      <c r="AV217" s="650">
        <v>0</v>
      </c>
      <c r="AW217" s="563">
        <v>0</v>
      </c>
      <c r="AX217" s="563"/>
      <c r="AY217" s="563"/>
      <c r="AZ217" s="650">
        <v>0</v>
      </c>
      <c r="BA217" s="564">
        <v>0</v>
      </c>
      <c r="BB217" s="565">
        <v>0</v>
      </c>
      <c r="BC217" s="649">
        <v>0</v>
      </c>
      <c r="BD217" s="646">
        <v>71.957928771217311</v>
      </c>
      <c r="BE217" s="646">
        <v>0</v>
      </c>
      <c r="BF217" s="646">
        <v>0</v>
      </c>
      <c r="BG217" s="646">
        <v>20.544116642993028</v>
      </c>
      <c r="BH217" s="646">
        <v>6.7144793455015135</v>
      </c>
      <c r="BI217" s="646">
        <v>1500</v>
      </c>
      <c r="BJ217" s="563"/>
      <c r="BK217" s="563"/>
      <c r="BL217" s="563">
        <v>0</v>
      </c>
      <c r="BM217" s="563"/>
      <c r="BN217" s="563"/>
      <c r="BO217" s="650">
        <v>0</v>
      </c>
      <c r="BP217" s="563">
        <v>0</v>
      </c>
      <c r="BQ217" s="563"/>
      <c r="BR217" s="563"/>
      <c r="BS217" s="650">
        <v>0</v>
      </c>
      <c r="BT217" s="564">
        <v>0</v>
      </c>
      <c r="BU217" s="565">
        <v>0</v>
      </c>
      <c r="BV217" s="649">
        <v>0</v>
      </c>
      <c r="BW217" s="646">
        <v>71.957928771217311</v>
      </c>
      <c r="BX217" s="646">
        <v>0</v>
      </c>
      <c r="BY217" s="646">
        <v>0</v>
      </c>
      <c r="BZ217" s="646">
        <v>20.544116642993028</v>
      </c>
      <c r="CA217" s="646">
        <v>6.7144793455015135</v>
      </c>
      <c r="CB217" s="646">
        <v>1200</v>
      </c>
      <c r="CC217" s="563"/>
      <c r="CD217" s="563"/>
      <c r="CE217" s="563">
        <v>0</v>
      </c>
      <c r="CF217" s="563"/>
      <c r="CG217" s="563"/>
      <c r="CH217" s="650">
        <v>0</v>
      </c>
      <c r="CI217" s="563">
        <v>0</v>
      </c>
      <c r="CJ217" s="563"/>
      <c r="CK217" s="563"/>
      <c r="CL217" s="650">
        <v>0</v>
      </c>
      <c r="CM217" s="564">
        <v>0</v>
      </c>
      <c r="CN217" s="565">
        <v>0</v>
      </c>
      <c r="CO217" s="649">
        <v>0</v>
      </c>
      <c r="CP217" s="646">
        <v>71.957928771217311</v>
      </c>
      <c r="CQ217" s="646">
        <v>0</v>
      </c>
      <c r="CR217" s="646">
        <v>0</v>
      </c>
      <c r="CS217" s="646">
        <v>20.544116642993028</v>
      </c>
      <c r="CT217" s="646">
        <v>6.7144793455015135</v>
      </c>
      <c r="CU217" s="646">
        <v>1500</v>
      </c>
      <c r="CV217" s="563"/>
      <c r="CW217" s="563"/>
      <c r="CX217" s="563">
        <v>0</v>
      </c>
      <c r="CY217" s="563"/>
      <c r="CZ217" s="563"/>
      <c r="DA217" s="650">
        <v>0</v>
      </c>
      <c r="DB217" s="563">
        <v>0</v>
      </c>
      <c r="DC217" s="563"/>
      <c r="DD217" s="563"/>
      <c r="DE217" s="650">
        <v>0</v>
      </c>
      <c r="DF217" s="564">
        <v>0</v>
      </c>
      <c r="DG217" s="565">
        <v>0</v>
      </c>
      <c r="DH217" s="649">
        <v>0</v>
      </c>
      <c r="DI217" s="646">
        <v>71.957928771217311</v>
      </c>
      <c r="DJ217" s="646">
        <v>0</v>
      </c>
      <c r="DK217" s="646">
        <v>0</v>
      </c>
      <c r="DL217" s="646">
        <v>20.544116642993028</v>
      </c>
      <c r="DM217" s="646">
        <v>6.7144793455015135</v>
      </c>
      <c r="DN217" s="646">
        <v>1200</v>
      </c>
      <c r="DO217" s="563"/>
      <c r="DP217" s="563"/>
      <c r="DQ217" s="563">
        <v>0</v>
      </c>
      <c r="DR217" s="563"/>
      <c r="DS217" s="563"/>
      <c r="DT217" s="650">
        <v>0</v>
      </c>
      <c r="DU217" s="563">
        <v>0</v>
      </c>
      <c r="DV217" s="563"/>
      <c r="DW217" s="563"/>
      <c r="DX217" s="650">
        <v>0</v>
      </c>
      <c r="DY217" s="564">
        <v>0</v>
      </c>
      <c r="DZ217" s="565">
        <v>0</v>
      </c>
      <c r="EA217" s="649">
        <v>0</v>
      </c>
      <c r="EB217" s="646">
        <v>71.957928771217311</v>
      </c>
      <c r="EC217" s="646">
        <v>0</v>
      </c>
      <c r="ED217" s="646">
        <v>0</v>
      </c>
      <c r="EE217" s="646">
        <v>20.544116642993028</v>
      </c>
      <c r="EF217" s="646">
        <v>6.7144793455015135</v>
      </c>
      <c r="EG217" s="646">
        <v>1500</v>
      </c>
      <c r="EH217" s="563"/>
      <c r="EI217" s="563"/>
      <c r="EJ217" s="563">
        <v>0</v>
      </c>
      <c r="EK217" s="563"/>
      <c r="EL217" s="563"/>
      <c r="EM217" s="650">
        <v>0</v>
      </c>
      <c r="EN217" s="563">
        <v>0</v>
      </c>
      <c r="EO217" s="563"/>
      <c r="EP217" s="563"/>
      <c r="EQ217" s="650">
        <v>0</v>
      </c>
      <c r="ER217" s="564">
        <v>0</v>
      </c>
      <c r="ES217" s="565">
        <v>0</v>
      </c>
      <c r="ET217" s="649">
        <v>0</v>
      </c>
      <c r="EU217" s="646">
        <v>71.957928771217311</v>
      </c>
      <c r="EV217" s="646">
        <v>0</v>
      </c>
      <c r="EW217" s="646">
        <v>0</v>
      </c>
      <c r="EX217" s="646">
        <v>20.544116642993028</v>
      </c>
      <c r="EY217" s="646">
        <v>6.7144793455015135</v>
      </c>
      <c r="EZ217" s="646">
        <v>1200</v>
      </c>
      <c r="FA217" s="563"/>
      <c r="FB217" s="563"/>
      <c r="FC217" s="563">
        <v>0</v>
      </c>
      <c r="FD217" s="563"/>
      <c r="FE217" s="563"/>
      <c r="FF217" s="650">
        <v>0</v>
      </c>
      <c r="FG217" s="563">
        <v>0</v>
      </c>
      <c r="FH217" s="563"/>
      <c r="FI217" s="563"/>
      <c r="FJ217" s="650">
        <v>0</v>
      </c>
      <c r="FK217" s="564">
        <v>0</v>
      </c>
      <c r="FL217" s="565">
        <v>0</v>
      </c>
      <c r="FM217" s="649">
        <v>0</v>
      </c>
      <c r="FN217" s="646">
        <v>71.957928771217311</v>
      </c>
      <c r="FO217" s="646">
        <v>0</v>
      </c>
      <c r="FP217" s="646">
        <v>0</v>
      </c>
      <c r="FQ217" s="646">
        <v>20.544116642993028</v>
      </c>
      <c r="FR217" s="646">
        <v>6.7144793455015135</v>
      </c>
      <c r="FS217" s="646">
        <v>1500</v>
      </c>
      <c r="FT217" s="563"/>
      <c r="FU217" s="563"/>
      <c r="FV217" s="563">
        <v>0</v>
      </c>
      <c r="FW217" s="563"/>
      <c r="FX217" s="563"/>
      <c r="FY217" s="650">
        <v>0</v>
      </c>
      <c r="FZ217" s="563">
        <v>0</v>
      </c>
      <c r="GA217" s="563"/>
      <c r="GB217" s="563"/>
      <c r="GC217" s="650">
        <v>0</v>
      </c>
      <c r="GD217" s="564">
        <v>0</v>
      </c>
      <c r="GE217" s="565">
        <v>0</v>
      </c>
      <c r="GF217" s="649">
        <v>0</v>
      </c>
      <c r="GG217" s="646">
        <v>71.957928771217311</v>
      </c>
      <c r="GH217" s="646">
        <v>0</v>
      </c>
      <c r="GI217" s="646">
        <v>0</v>
      </c>
      <c r="GJ217" s="646">
        <v>20.544116642993028</v>
      </c>
      <c r="GK217" s="646">
        <v>6.7144793455015135</v>
      </c>
      <c r="GL217" s="646">
        <v>1200</v>
      </c>
      <c r="GM217" s="563"/>
      <c r="GN217" s="563"/>
      <c r="GO217" s="563">
        <v>0</v>
      </c>
      <c r="GP217" s="563"/>
      <c r="GQ217" s="563"/>
      <c r="GR217" s="650">
        <v>0</v>
      </c>
      <c r="GS217" s="563">
        <v>0</v>
      </c>
      <c r="GT217" s="563"/>
      <c r="GU217" s="563"/>
      <c r="GV217" s="650">
        <v>0</v>
      </c>
      <c r="GW217" s="564">
        <v>0</v>
      </c>
      <c r="GX217" s="565">
        <v>0</v>
      </c>
      <c r="GY217" s="649">
        <v>0</v>
      </c>
      <c r="GZ217" s="646">
        <v>71.957928771217311</v>
      </c>
      <c r="HA217" s="646">
        <v>0</v>
      </c>
      <c r="HB217" s="646">
        <v>0</v>
      </c>
      <c r="HC217" s="646">
        <v>20.544116642993028</v>
      </c>
      <c r="HD217" s="646">
        <v>6.7144793455015135</v>
      </c>
      <c r="HE217" s="646">
        <v>1500</v>
      </c>
      <c r="HF217" s="563"/>
      <c r="HG217" s="563"/>
      <c r="HH217" s="563">
        <v>0</v>
      </c>
      <c r="HI217" s="563"/>
      <c r="HJ217" s="563"/>
      <c r="HK217" s="650">
        <v>0</v>
      </c>
      <c r="HL217" s="563">
        <v>0</v>
      </c>
      <c r="HM217" s="563"/>
      <c r="HN217" s="563"/>
      <c r="HO217" s="650">
        <v>0</v>
      </c>
      <c r="HP217" s="564">
        <v>0</v>
      </c>
      <c r="HQ217" s="565">
        <v>0</v>
      </c>
      <c r="HR217" s="649">
        <v>0</v>
      </c>
      <c r="HS217" s="646">
        <v>71.957928771217311</v>
      </c>
      <c r="HT217" s="646">
        <v>0</v>
      </c>
      <c r="HU217" s="646">
        <v>0</v>
      </c>
      <c r="HV217" s="646">
        <v>20.544116642993028</v>
      </c>
      <c r="HW217" s="646">
        <v>6.7144793455015135</v>
      </c>
      <c r="HX217" s="646">
        <v>1200</v>
      </c>
      <c r="HY217" s="563"/>
      <c r="HZ217" s="563"/>
      <c r="IA217" s="563">
        <v>0</v>
      </c>
      <c r="IB217" s="563"/>
      <c r="IC217" s="563"/>
      <c r="ID217" s="650">
        <v>0</v>
      </c>
      <c r="IE217" s="563">
        <v>0</v>
      </c>
      <c r="IF217" s="563"/>
      <c r="IG217" s="563"/>
      <c r="IH217" s="650">
        <v>0</v>
      </c>
      <c r="II217" s="564">
        <v>0</v>
      </c>
      <c r="IJ217" s="565">
        <v>0</v>
      </c>
      <c r="IK217" s="649">
        <v>0</v>
      </c>
      <c r="IL217" s="646">
        <v>71.957928771217311</v>
      </c>
      <c r="IM217" s="646">
        <v>0</v>
      </c>
      <c r="IN217" s="646">
        <v>0</v>
      </c>
      <c r="IO217" s="646">
        <v>20.544116642993028</v>
      </c>
      <c r="IP217" s="646">
        <v>6.7144793455015135</v>
      </c>
      <c r="IQ217" s="646">
        <v>1500</v>
      </c>
      <c r="IR217" s="563"/>
      <c r="IS217" s="563"/>
      <c r="IT217" s="563">
        <v>0</v>
      </c>
      <c r="IU217" s="563"/>
      <c r="IV217" s="563"/>
      <c r="IW217" s="650">
        <v>0</v>
      </c>
      <c r="IX217" s="563">
        <v>0</v>
      </c>
      <c r="IY217" s="563"/>
      <c r="IZ217" s="563"/>
      <c r="JA217" s="650">
        <v>0</v>
      </c>
      <c r="JB217" s="564">
        <v>0</v>
      </c>
      <c r="JC217" s="565">
        <v>0</v>
      </c>
      <c r="JD217" s="649">
        <v>0</v>
      </c>
      <c r="JE217" s="646">
        <v>71.957928771217311</v>
      </c>
      <c r="JF217" s="646">
        <v>0</v>
      </c>
      <c r="JG217" s="646">
        <v>0</v>
      </c>
      <c r="JH217" s="646">
        <v>20.544116642993028</v>
      </c>
      <c r="JI217" s="646">
        <v>6.7144793455015135</v>
      </c>
      <c r="JJ217" s="646">
        <v>1200</v>
      </c>
      <c r="JK217" s="563"/>
      <c r="JL217" s="563"/>
      <c r="JM217" s="563">
        <v>0</v>
      </c>
      <c r="JN217" s="563"/>
      <c r="JO217" s="563"/>
      <c r="JP217" s="650">
        <v>0</v>
      </c>
      <c r="JQ217" s="563">
        <v>0</v>
      </c>
      <c r="JR217" s="563"/>
      <c r="JS217" s="563"/>
      <c r="JT217" s="650">
        <v>0</v>
      </c>
      <c r="JU217" s="564">
        <v>0</v>
      </c>
      <c r="JV217" s="565">
        <v>0</v>
      </c>
      <c r="JW217" s="649">
        <v>0</v>
      </c>
      <c r="JX217" s="646">
        <v>71.957928771217311</v>
      </c>
      <c r="JY217" s="646">
        <v>0</v>
      </c>
      <c r="JZ217" s="646">
        <v>0</v>
      </c>
      <c r="KA217" s="646">
        <v>20.544116642993028</v>
      </c>
      <c r="KB217" s="646">
        <v>6.7144793455015135</v>
      </c>
      <c r="KC217" s="646">
        <v>1500</v>
      </c>
      <c r="KD217" s="563"/>
      <c r="KE217" s="563"/>
      <c r="KF217" s="563">
        <v>0</v>
      </c>
      <c r="KG217" s="563"/>
      <c r="KH217" s="563"/>
      <c r="KI217" s="650">
        <v>0</v>
      </c>
      <c r="KJ217" s="563">
        <v>0</v>
      </c>
      <c r="KK217" s="563"/>
      <c r="KL217" s="563"/>
      <c r="KM217" s="650">
        <v>0</v>
      </c>
      <c r="KN217" s="564">
        <v>0</v>
      </c>
      <c r="KO217" s="566">
        <v>0</v>
      </c>
    </row>
    <row r="218" spans="1:301" ht="15" customHeight="1">
      <c r="A218" s="663" t="s">
        <v>967</v>
      </c>
      <c r="B218" s="629" t="s">
        <v>382</v>
      </c>
      <c r="C218" s="629">
        <v>198</v>
      </c>
      <c r="D218" s="629">
        <v>650</v>
      </c>
      <c r="E218" s="629">
        <v>0</v>
      </c>
      <c r="F218" s="629">
        <v>0</v>
      </c>
      <c r="G218" s="629">
        <v>28</v>
      </c>
      <c r="H218" s="629">
        <v>70</v>
      </c>
      <c r="I218" s="629">
        <v>70</v>
      </c>
      <c r="J218" s="629">
        <v>44.89</v>
      </c>
      <c r="K218" s="629">
        <v>33.99</v>
      </c>
      <c r="L218" s="629">
        <v>12</v>
      </c>
      <c r="M218" s="629">
        <v>58.412747822868283</v>
      </c>
      <c r="N218" s="629">
        <v>2</v>
      </c>
      <c r="O218" s="623">
        <v>5.2097423673561236</v>
      </c>
      <c r="P218" s="629">
        <v>2</v>
      </c>
      <c r="Q218" s="623">
        <v>2.7127652563747864</v>
      </c>
      <c r="R218" s="629">
        <v>11</v>
      </c>
      <c r="S218" s="629">
        <v>450</v>
      </c>
      <c r="T218" s="645">
        <v>13.733374110397357</v>
      </c>
      <c r="U218" s="645">
        <v>67.5</v>
      </c>
      <c r="V218" s="645">
        <v>10</v>
      </c>
      <c r="W218" s="793">
        <v>0.21068244373905035</v>
      </c>
      <c r="X218" s="646">
        <v>0</v>
      </c>
      <c r="Y218" s="646">
        <v>0</v>
      </c>
      <c r="Z218" s="646">
        <v>0</v>
      </c>
      <c r="AA218" s="646">
        <v>0</v>
      </c>
      <c r="AB218" s="647">
        <v>0.72547957280802411</v>
      </c>
      <c r="AC218" s="784">
        <v>4000</v>
      </c>
      <c r="AD218" s="631"/>
      <c r="AE218" s="631"/>
      <c r="AF218" s="631"/>
      <c r="AG218" s="631"/>
      <c r="AH218" s="629"/>
      <c r="AI218" s="648">
        <v>1.3638748132884393</v>
      </c>
      <c r="AJ218" s="649">
        <v>0.77034731828798697</v>
      </c>
      <c r="AK218" s="646">
        <v>22.6369114961553</v>
      </c>
      <c r="AL218" s="646">
        <v>0</v>
      </c>
      <c r="AM218" s="646">
        <v>0</v>
      </c>
      <c r="AN218" s="646">
        <v>20.804245182354041</v>
      </c>
      <c r="AO218" s="646">
        <v>0.87915939138006316</v>
      </c>
      <c r="AP218" s="801">
        <v>1500</v>
      </c>
      <c r="AQ218" s="563" t="s">
        <v>67</v>
      </c>
      <c r="AR218" s="563">
        <v>2</v>
      </c>
      <c r="AS218" s="563">
        <v>0</v>
      </c>
      <c r="AT218" s="563">
        <v>0</v>
      </c>
      <c r="AU218" s="563">
        <v>0</v>
      </c>
      <c r="AV218" s="650">
        <v>2226.4861329104965</v>
      </c>
      <c r="AW218" s="563">
        <v>0</v>
      </c>
      <c r="AX218" s="563">
        <v>0</v>
      </c>
      <c r="AY218" s="563">
        <v>0</v>
      </c>
      <c r="AZ218" s="650">
        <v>1745.4204217724769</v>
      </c>
      <c r="BA218" s="564">
        <v>1745.4204217724769</v>
      </c>
      <c r="BB218" s="565">
        <v>59.403499723381785</v>
      </c>
      <c r="BC218" s="649">
        <v>1.1555209774319803</v>
      </c>
      <c r="BD218" s="646">
        <v>23.022085155299294</v>
      </c>
      <c r="BE218" s="646">
        <v>0</v>
      </c>
      <c r="BF218" s="646">
        <v>0</v>
      </c>
      <c r="BG218" s="646">
        <v>21.041748900654945</v>
      </c>
      <c r="BH218" s="646">
        <v>0.90138891877024041</v>
      </c>
      <c r="BI218" s="646">
        <v>1875</v>
      </c>
      <c r="BJ218" s="563" t="s">
        <v>67</v>
      </c>
      <c r="BK218" s="563">
        <v>3</v>
      </c>
      <c r="BL218" s="563">
        <v>0</v>
      </c>
      <c r="BM218" s="563">
        <v>0</v>
      </c>
      <c r="BN218" s="563">
        <v>0</v>
      </c>
      <c r="BO218" s="650">
        <v>2913.190811846051</v>
      </c>
      <c r="BP218" s="563">
        <v>0</v>
      </c>
      <c r="BQ218" s="563">
        <v>0</v>
      </c>
      <c r="BR218" s="563">
        <v>0</v>
      </c>
      <c r="BS218" s="650">
        <v>2283.752258932413</v>
      </c>
      <c r="BT218" s="564">
        <v>2283.752258932413</v>
      </c>
      <c r="BU218" s="565">
        <v>77.725042625545939</v>
      </c>
      <c r="BV218" s="649">
        <v>1.1555209774319803</v>
      </c>
      <c r="BW218" s="646">
        <v>24.146347208024689</v>
      </c>
      <c r="BX218" s="646">
        <v>0.17374680959743566</v>
      </c>
      <c r="BY218" s="646">
        <v>0.95051524312795854</v>
      </c>
      <c r="BZ218" s="646">
        <v>21.691649769643981</v>
      </c>
      <c r="CA218" s="646">
        <v>0.99797161263020806</v>
      </c>
      <c r="CB218" s="646">
        <v>1500</v>
      </c>
      <c r="CC218" s="563" t="s">
        <v>1584</v>
      </c>
      <c r="CD218" s="563">
        <v>3</v>
      </c>
      <c r="CE218" s="563">
        <v>1</v>
      </c>
      <c r="CF218" s="563">
        <v>3</v>
      </c>
      <c r="CG218" s="563">
        <v>25.343364293579452</v>
      </c>
      <c r="CH218" s="650">
        <v>4737.4516397845</v>
      </c>
      <c r="CI218" s="563">
        <v>2</v>
      </c>
      <c r="CJ218" s="563">
        <v>3</v>
      </c>
      <c r="CK218" s="563">
        <v>20.075386093356681</v>
      </c>
      <c r="CL218" s="650">
        <v>3759.7813982784828</v>
      </c>
      <c r="CM218" s="564">
        <v>3759.7813982784828</v>
      </c>
      <c r="CN218" s="565">
        <v>127.96010088263179</v>
      </c>
      <c r="CO218" s="649">
        <v>1.1555209774319803</v>
      </c>
      <c r="CP218" s="646">
        <v>24.146347208024689</v>
      </c>
      <c r="CQ218" s="646">
        <v>0.17374680959743566</v>
      </c>
      <c r="CR218" s="646">
        <v>0.95051524312795854</v>
      </c>
      <c r="CS218" s="646">
        <v>21.691649769643981</v>
      </c>
      <c r="CT218" s="646">
        <v>0.99797161263020806</v>
      </c>
      <c r="CU218" s="646">
        <v>1875</v>
      </c>
      <c r="CV218" s="563" t="s">
        <v>1584</v>
      </c>
      <c r="CW218" s="563">
        <v>3</v>
      </c>
      <c r="CX218" s="563">
        <v>1</v>
      </c>
      <c r="CY218" s="563">
        <v>3</v>
      </c>
      <c r="CZ218" s="563">
        <v>25.343364293579452</v>
      </c>
      <c r="DA218" s="650">
        <v>4737.4516397845</v>
      </c>
      <c r="DB218" s="563">
        <v>2</v>
      </c>
      <c r="DC218" s="563">
        <v>3</v>
      </c>
      <c r="DD218" s="563">
        <v>20.075386093356681</v>
      </c>
      <c r="DE218" s="650">
        <v>3759.7813982784828</v>
      </c>
      <c r="DF218" s="564">
        <v>3759.7813982784828</v>
      </c>
      <c r="DG218" s="565">
        <v>127.96010088263179</v>
      </c>
      <c r="DH218" s="649">
        <v>0.77034731828798697</v>
      </c>
      <c r="DI218" s="646">
        <v>23.386419531305563</v>
      </c>
      <c r="DJ218" s="646">
        <v>0.11583120639829045</v>
      </c>
      <c r="DK218" s="646">
        <v>0.6336768287519724</v>
      </c>
      <c r="DL218" s="646">
        <v>21.259202910560617</v>
      </c>
      <c r="DM218" s="646">
        <v>0.94354785395337493</v>
      </c>
      <c r="DN218" s="646">
        <v>1500</v>
      </c>
      <c r="DO218" s="563" t="s">
        <v>1585</v>
      </c>
      <c r="DP218" s="563">
        <v>2</v>
      </c>
      <c r="DQ218" s="563">
        <v>1</v>
      </c>
      <c r="DR218" s="563">
        <v>2</v>
      </c>
      <c r="DS218" s="563">
        <v>25.343364293579452</v>
      </c>
      <c r="DT218" s="650">
        <v>5252.3078941517742</v>
      </c>
      <c r="DU218" s="563">
        <v>2</v>
      </c>
      <c r="DV218" s="563">
        <v>2</v>
      </c>
      <c r="DW218" s="563">
        <v>20.075386093356681</v>
      </c>
      <c r="DX218" s="650">
        <v>4168.3865124080412</v>
      </c>
      <c r="DY218" s="564">
        <v>4000</v>
      </c>
      <c r="DZ218" s="565">
        <v>136.1356816555577</v>
      </c>
      <c r="EA218" s="649">
        <v>0.77034731828798697</v>
      </c>
      <c r="EB218" s="646">
        <v>23.386419531305563</v>
      </c>
      <c r="EC218" s="646">
        <v>0.11583120639829045</v>
      </c>
      <c r="ED218" s="646">
        <v>0.6336768287519724</v>
      </c>
      <c r="EE218" s="646">
        <v>21.259202910560617</v>
      </c>
      <c r="EF218" s="646">
        <v>0.94354785395337493</v>
      </c>
      <c r="EG218" s="646">
        <v>1875</v>
      </c>
      <c r="EH218" s="563" t="s">
        <v>1585</v>
      </c>
      <c r="EI218" s="563">
        <v>2</v>
      </c>
      <c r="EJ218" s="563">
        <v>1</v>
      </c>
      <c r="EK218" s="563">
        <v>2</v>
      </c>
      <c r="EL218" s="563">
        <v>25.343364293579452</v>
      </c>
      <c r="EM218" s="650">
        <v>5252.3078941517742</v>
      </c>
      <c r="EN218" s="563">
        <v>2</v>
      </c>
      <c r="EO218" s="563">
        <v>2</v>
      </c>
      <c r="EP218" s="563">
        <v>20.075386093356681</v>
      </c>
      <c r="EQ218" s="650">
        <v>4168.3865124080412</v>
      </c>
      <c r="ER218" s="564">
        <v>4000</v>
      </c>
      <c r="ES218" s="565">
        <v>136.1356816555577</v>
      </c>
      <c r="ET218" s="649">
        <v>0.77034731828798697</v>
      </c>
      <c r="EU218" s="646">
        <v>22.953749910531286</v>
      </c>
      <c r="EV218" s="646">
        <v>0</v>
      </c>
      <c r="EW218" s="646">
        <v>0.3168384143759862</v>
      </c>
      <c r="EX218" s="646">
        <v>21.000194012711805</v>
      </c>
      <c r="EY218" s="646">
        <v>0.91062208279912737</v>
      </c>
      <c r="EZ218" s="646">
        <v>1500</v>
      </c>
      <c r="FA218" s="563" t="s">
        <v>1587</v>
      </c>
      <c r="FB218" s="563">
        <v>2</v>
      </c>
      <c r="FC218" s="563">
        <v>0</v>
      </c>
      <c r="FD218" s="563">
        <v>0</v>
      </c>
      <c r="FE218" s="563">
        <v>0</v>
      </c>
      <c r="FF218" s="650">
        <v>1852.5484422273055</v>
      </c>
      <c r="FG218" s="563">
        <v>1</v>
      </c>
      <c r="FH218" s="563">
        <v>2</v>
      </c>
      <c r="FI218" s="563">
        <v>20.075386093356681</v>
      </c>
      <c r="FJ218" s="650">
        <v>4790.7917392849649</v>
      </c>
      <c r="FK218" s="564">
        <v>1852.5484422273055</v>
      </c>
      <c r="FL218" s="565">
        <v>63.049486245638946</v>
      </c>
      <c r="FM218" s="649">
        <v>0.77034731828798697</v>
      </c>
      <c r="FN218" s="646">
        <v>23.386419531305563</v>
      </c>
      <c r="FO218" s="646">
        <v>0.11583120639829045</v>
      </c>
      <c r="FP218" s="646">
        <v>0.6336768287519724</v>
      </c>
      <c r="FQ218" s="646">
        <v>21.259202910560617</v>
      </c>
      <c r="FR218" s="646">
        <v>0.94354785395337493</v>
      </c>
      <c r="FS218" s="646">
        <v>1875</v>
      </c>
      <c r="FT218" s="563" t="s">
        <v>1587</v>
      </c>
      <c r="FU218" s="563">
        <v>2</v>
      </c>
      <c r="FV218" s="563">
        <v>1</v>
      </c>
      <c r="FW218" s="563">
        <v>2</v>
      </c>
      <c r="FX218" s="563">
        <v>25.343364293579452</v>
      </c>
      <c r="FY218" s="650">
        <v>6487.0228204995228</v>
      </c>
      <c r="FZ218" s="563">
        <v>2</v>
      </c>
      <c r="GA218" s="563">
        <v>2</v>
      </c>
      <c r="GB218" s="563">
        <v>20.075386093356681</v>
      </c>
      <c r="GC218" s="650">
        <v>5148.292707813599</v>
      </c>
      <c r="GD218" s="564">
        <v>4000</v>
      </c>
      <c r="GE218" s="565">
        <v>136.1356816555577</v>
      </c>
      <c r="GF218" s="649">
        <v>0.77034731828798697</v>
      </c>
      <c r="GG218" s="646">
        <v>22.953749910531286</v>
      </c>
      <c r="GH218" s="646">
        <v>0</v>
      </c>
      <c r="GI218" s="646">
        <v>0.3168384143759862</v>
      </c>
      <c r="GJ218" s="646">
        <v>21.000194012711805</v>
      </c>
      <c r="GK218" s="646">
        <v>0.91062208279912737</v>
      </c>
      <c r="GL218" s="646">
        <v>1500</v>
      </c>
      <c r="GM218" s="563" t="s">
        <v>1587</v>
      </c>
      <c r="GN218" s="563">
        <v>2</v>
      </c>
      <c r="GO218" s="563">
        <v>0</v>
      </c>
      <c r="GP218" s="563">
        <v>0</v>
      </c>
      <c r="GQ218" s="563">
        <v>0</v>
      </c>
      <c r="GR218" s="650">
        <v>1852.5484422273055</v>
      </c>
      <c r="GS218" s="563">
        <v>1</v>
      </c>
      <c r="GT218" s="563">
        <v>2</v>
      </c>
      <c r="GU218" s="563">
        <v>20.075386093356681</v>
      </c>
      <c r="GV218" s="650">
        <v>4790.7917392849649</v>
      </c>
      <c r="GW218" s="564">
        <v>1852.5484422273055</v>
      </c>
      <c r="GX218" s="565">
        <v>63.049486245638946</v>
      </c>
      <c r="GY218" s="649">
        <v>0.77034731828798697</v>
      </c>
      <c r="GZ218" s="646">
        <v>23.386419531305563</v>
      </c>
      <c r="HA218" s="646">
        <v>0.11583120639829045</v>
      </c>
      <c r="HB218" s="646">
        <v>0.6336768287519724</v>
      </c>
      <c r="HC218" s="646">
        <v>21.259202910560617</v>
      </c>
      <c r="HD218" s="646">
        <v>0.94354785395337493</v>
      </c>
      <c r="HE218" s="646">
        <v>1875</v>
      </c>
      <c r="HF218" s="563" t="s">
        <v>1587</v>
      </c>
      <c r="HG218" s="563">
        <v>2</v>
      </c>
      <c r="HH218" s="563">
        <v>1</v>
      </c>
      <c r="HI218" s="563">
        <v>2</v>
      </c>
      <c r="HJ218" s="563">
        <v>25.343364293579452</v>
      </c>
      <c r="HK218" s="650">
        <v>6487.0228204995228</v>
      </c>
      <c r="HL218" s="563">
        <v>2</v>
      </c>
      <c r="HM218" s="563">
        <v>2</v>
      </c>
      <c r="HN218" s="563">
        <v>20.075386093356681</v>
      </c>
      <c r="HO218" s="650">
        <v>5148.292707813599</v>
      </c>
      <c r="HP218" s="564">
        <v>4000</v>
      </c>
      <c r="HQ218" s="565">
        <v>136.1356816555577</v>
      </c>
      <c r="HR218" s="649">
        <v>1.1555209774319803</v>
      </c>
      <c r="HS218" s="646">
        <v>23.022085155299294</v>
      </c>
      <c r="HT218" s="646">
        <v>0</v>
      </c>
      <c r="HU218" s="646">
        <v>0</v>
      </c>
      <c r="HV218" s="646">
        <v>21.041748900654945</v>
      </c>
      <c r="HW218" s="646">
        <v>0.90138891877024041</v>
      </c>
      <c r="HX218" s="646">
        <v>1500</v>
      </c>
      <c r="HY218" s="563" t="s">
        <v>68</v>
      </c>
      <c r="HZ218" s="563">
        <v>3</v>
      </c>
      <c r="IA218" s="563">
        <v>0</v>
      </c>
      <c r="IB218" s="563">
        <v>0</v>
      </c>
      <c r="IC218" s="563">
        <v>0</v>
      </c>
      <c r="ID218" s="650">
        <v>2137.6976281750813</v>
      </c>
      <c r="IE218" s="563">
        <v>0</v>
      </c>
      <c r="IF218" s="563">
        <v>0</v>
      </c>
      <c r="IG218" s="563">
        <v>0</v>
      </c>
      <c r="IH218" s="650">
        <v>1675.8160047077938</v>
      </c>
      <c r="II218" s="564">
        <v>1675.8160047077938</v>
      </c>
      <c r="IJ218" s="565">
        <v>57.034588532547204</v>
      </c>
      <c r="IK218" s="649">
        <v>1.5406946365759739</v>
      </c>
      <c r="IL218" s="646">
        <v>23.407258814443288</v>
      </c>
      <c r="IM218" s="646">
        <v>0</v>
      </c>
      <c r="IN218" s="646">
        <v>0</v>
      </c>
      <c r="IO218" s="646">
        <v>21.271436225164209</v>
      </c>
      <c r="IP218" s="646">
        <v>0.92361844616041777</v>
      </c>
      <c r="IQ218" s="646">
        <v>1875</v>
      </c>
      <c r="IR218" s="563" t="s">
        <v>68</v>
      </c>
      <c r="IS218" s="563">
        <v>4</v>
      </c>
      <c r="IT218" s="563">
        <v>0</v>
      </c>
      <c r="IU218" s="563">
        <v>0</v>
      </c>
      <c r="IV218" s="563">
        <v>0</v>
      </c>
      <c r="IW218" s="650">
        <v>2990.4643533156336</v>
      </c>
      <c r="IX218" s="563">
        <v>0</v>
      </c>
      <c r="IY218" s="563">
        <v>0</v>
      </c>
      <c r="IZ218" s="563">
        <v>0</v>
      </c>
      <c r="JA218" s="650">
        <v>2344.3296931908435</v>
      </c>
      <c r="JB218" s="564">
        <v>2344.3296931908435</v>
      </c>
      <c r="JC218" s="565">
        <v>79.786730201974976</v>
      </c>
      <c r="JD218" s="649">
        <v>0.77034731828798697</v>
      </c>
      <c r="JE218" s="646">
        <v>22.6369114961553</v>
      </c>
      <c r="JF218" s="646">
        <v>0</v>
      </c>
      <c r="JG218" s="646">
        <v>0</v>
      </c>
      <c r="JH218" s="646">
        <v>20.804245182354041</v>
      </c>
      <c r="JI218" s="646">
        <v>0.87915939138006316</v>
      </c>
      <c r="JJ218" s="646">
        <v>1500</v>
      </c>
      <c r="JK218" s="563" t="s">
        <v>67</v>
      </c>
      <c r="JL218" s="563">
        <v>2</v>
      </c>
      <c r="JM218" s="563">
        <v>0</v>
      </c>
      <c r="JN218" s="563">
        <v>0</v>
      </c>
      <c r="JO218" s="563">
        <v>0</v>
      </c>
      <c r="JP218" s="650">
        <v>2226.4861329104965</v>
      </c>
      <c r="JQ218" s="563">
        <v>0</v>
      </c>
      <c r="JR218" s="563">
        <v>0</v>
      </c>
      <c r="JS218" s="563">
        <v>0</v>
      </c>
      <c r="JT218" s="650">
        <v>1745.4204217724769</v>
      </c>
      <c r="JU218" s="564">
        <v>1745.4204217724769</v>
      </c>
      <c r="JV218" s="565">
        <v>59.403499723381785</v>
      </c>
      <c r="JW218" s="649">
        <v>1.1555209774319803</v>
      </c>
      <c r="JX218" s="646">
        <v>23.022085155299294</v>
      </c>
      <c r="JY218" s="646">
        <v>0</v>
      </c>
      <c r="JZ218" s="646">
        <v>0</v>
      </c>
      <c r="KA218" s="646">
        <v>21.041748900654945</v>
      </c>
      <c r="KB218" s="646">
        <v>0.90138891877024041</v>
      </c>
      <c r="KC218" s="646">
        <v>1875</v>
      </c>
      <c r="KD218" s="563" t="s">
        <v>67</v>
      </c>
      <c r="KE218" s="563">
        <v>3</v>
      </c>
      <c r="KF218" s="563">
        <v>0</v>
      </c>
      <c r="KG218" s="563">
        <v>0</v>
      </c>
      <c r="KH218" s="563">
        <v>0</v>
      </c>
      <c r="KI218" s="650">
        <v>2913.190811846051</v>
      </c>
      <c r="KJ218" s="563">
        <v>0</v>
      </c>
      <c r="KK218" s="563">
        <v>0</v>
      </c>
      <c r="KL218" s="563">
        <v>0</v>
      </c>
      <c r="KM218" s="650">
        <v>2283.752258932413</v>
      </c>
      <c r="KN218" s="564">
        <v>2283.752258932413</v>
      </c>
      <c r="KO218" s="566">
        <v>77.725042625545939</v>
      </c>
    </row>
    <row r="219" spans="1:301" ht="15" customHeight="1">
      <c r="A219" s="663" t="s">
        <v>968</v>
      </c>
      <c r="B219" s="629" t="s">
        <v>382</v>
      </c>
      <c r="C219" s="629">
        <v>198</v>
      </c>
      <c r="D219" s="629">
        <v>700</v>
      </c>
      <c r="E219" s="629">
        <v>0</v>
      </c>
      <c r="F219" s="629">
        <v>0</v>
      </c>
      <c r="G219" s="629">
        <v>28</v>
      </c>
      <c r="H219" s="629">
        <v>70</v>
      </c>
      <c r="I219" s="629">
        <v>70</v>
      </c>
      <c r="J219" s="629">
        <v>48.53</v>
      </c>
      <c r="K219" s="629">
        <v>35.15</v>
      </c>
      <c r="L219" s="629">
        <v>12</v>
      </c>
      <c r="M219" s="629">
        <v>58.412747822868283</v>
      </c>
      <c r="N219" s="629">
        <v>2</v>
      </c>
      <c r="O219" s="623">
        <v>6.04206807101657</v>
      </c>
      <c r="P219" s="629">
        <v>2</v>
      </c>
      <c r="Q219" s="623">
        <v>2.9593802796815853</v>
      </c>
      <c r="R219" s="629">
        <v>11</v>
      </c>
      <c r="S219" s="629">
        <v>500</v>
      </c>
      <c r="T219" s="645">
        <v>16.954782852342415</v>
      </c>
      <c r="U219" s="645">
        <v>75</v>
      </c>
      <c r="V219" s="645">
        <v>10</v>
      </c>
      <c r="W219" s="793">
        <v>0.26010178239388937</v>
      </c>
      <c r="X219" s="646">
        <v>0</v>
      </c>
      <c r="Y219" s="646">
        <v>0</v>
      </c>
      <c r="Z219" s="646">
        <v>0</v>
      </c>
      <c r="AA219" s="646">
        <v>0</v>
      </c>
      <c r="AB219" s="647">
        <v>0.84328663615897759</v>
      </c>
      <c r="AC219" s="784">
        <v>4000</v>
      </c>
      <c r="AD219" s="631"/>
      <c r="AE219" s="631"/>
      <c r="AF219" s="631"/>
      <c r="AG219" s="631"/>
      <c r="AH219" s="629"/>
      <c r="AI219" s="648">
        <v>1.57593231740575</v>
      </c>
      <c r="AJ219" s="649">
        <v>0.77034731828798697</v>
      </c>
      <c r="AK219" s="646">
        <v>26.986680303722444</v>
      </c>
      <c r="AL219" s="646">
        <v>0</v>
      </c>
      <c r="AM219" s="646">
        <v>0</v>
      </c>
      <c r="AN219" s="646">
        <v>20.284751952809284</v>
      </c>
      <c r="AO219" s="646">
        <v>1.2246151696344216</v>
      </c>
      <c r="AP219" s="801">
        <v>1500</v>
      </c>
      <c r="AQ219" s="563" t="s">
        <v>67</v>
      </c>
      <c r="AR219" s="563">
        <v>2</v>
      </c>
      <c r="AS219" s="563">
        <v>0</v>
      </c>
      <c r="AT219" s="563">
        <v>0</v>
      </c>
      <c r="AU219" s="563">
        <v>0</v>
      </c>
      <c r="AV219" s="650">
        <v>2201.7732498441351</v>
      </c>
      <c r="AW219" s="563">
        <v>0</v>
      </c>
      <c r="AX219" s="563">
        <v>0</v>
      </c>
      <c r="AY219" s="563">
        <v>0</v>
      </c>
      <c r="AZ219" s="650">
        <v>1693.7031234017702</v>
      </c>
      <c r="BA219" s="564">
        <v>1693.7031234017702</v>
      </c>
      <c r="BB219" s="565">
        <v>62.077461714812692</v>
      </c>
      <c r="BC219" s="649">
        <v>1.1555209774319803</v>
      </c>
      <c r="BD219" s="646">
        <v>27.371853962866439</v>
      </c>
      <c r="BE219" s="646">
        <v>0</v>
      </c>
      <c r="BF219" s="646">
        <v>0</v>
      </c>
      <c r="BG219" s="646">
        <v>20.491823272977701</v>
      </c>
      <c r="BH219" s="646">
        <v>1.2500945997736264</v>
      </c>
      <c r="BI219" s="646">
        <v>1875</v>
      </c>
      <c r="BJ219" s="563" t="s">
        <v>67</v>
      </c>
      <c r="BK219" s="563">
        <v>3</v>
      </c>
      <c r="BL219" s="563">
        <v>0</v>
      </c>
      <c r="BM219" s="563">
        <v>0</v>
      </c>
      <c r="BN219" s="563">
        <v>0</v>
      </c>
      <c r="BO219" s="650">
        <v>2880.8558501236362</v>
      </c>
      <c r="BP219" s="563">
        <v>0</v>
      </c>
      <c r="BQ219" s="563">
        <v>0</v>
      </c>
      <c r="BR219" s="563">
        <v>0</v>
      </c>
      <c r="BS219" s="650">
        <v>2216.0840367054479</v>
      </c>
      <c r="BT219" s="564">
        <v>2216.0840367054479</v>
      </c>
      <c r="BU219" s="565">
        <v>81.223722176933563</v>
      </c>
      <c r="BV219" s="649">
        <v>1.1555209774319803</v>
      </c>
      <c r="BW219" s="646">
        <v>29.170564862603577</v>
      </c>
      <c r="BX219" s="646">
        <v>0.24129030957107134</v>
      </c>
      <c r="BY219" s="646">
        <v>1.5574205901660685</v>
      </c>
      <c r="BZ219" s="646">
        <v>21.386424242726584</v>
      </c>
      <c r="CA219" s="646">
        <v>1.4331934944649316</v>
      </c>
      <c r="CB219" s="646">
        <v>1500</v>
      </c>
      <c r="CC219" s="563" t="s">
        <v>1584</v>
      </c>
      <c r="CD219" s="563">
        <v>3</v>
      </c>
      <c r="CE219" s="563">
        <v>1</v>
      </c>
      <c r="CF219" s="563">
        <v>4</v>
      </c>
      <c r="CG219" s="563">
        <v>26.477663327847459</v>
      </c>
      <c r="CH219" s="650">
        <v>4720.087528315089</v>
      </c>
      <c r="CI219" s="563">
        <v>3</v>
      </c>
      <c r="CJ219" s="563">
        <v>3</v>
      </c>
      <c r="CK219" s="563">
        <v>20.34384326220561</v>
      </c>
      <c r="CL219" s="650">
        <v>3664.2171507693342</v>
      </c>
      <c r="CM219" s="564">
        <v>3664.2171507693342</v>
      </c>
      <c r="CN219" s="565">
        <v>134.30057295683775</v>
      </c>
      <c r="CO219" s="649">
        <v>1.1555209774319803</v>
      </c>
      <c r="CP219" s="646">
        <v>29.170564862603577</v>
      </c>
      <c r="CQ219" s="646">
        <v>0.24129030957107134</v>
      </c>
      <c r="CR219" s="646">
        <v>1.5574205901660685</v>
      </c>
      <c r="CS219" s="646">
        <v>21.386424242726584</v>
      </c>
      <c r="CT219" s="646">
        <v>1.4331934944649316</v>
      </c>
      <c r="CU219" s="646">
        <v>1875</v>
      </c>
      <c r="CV219" s="563" t="s">
        <v>1584</v>
      </c>
      <c r="CW219" s="563">
        <v>3</v>
      </c>
      <c r="CX219" s="563">
        <v>1</v>
      </c>
      <c r="CY219" s="563">
        <v>4</v>
      </c>
      <c r="CZ219" s="563">
        <v>26.477663327847459</v>
      </c>
      <c r="DA219" s="650">
        <v>4720.087528315089</v>
      </c>
      <c r="DB219" s="563">
        <v>3</v>
      </c>
      <c r="DC219" s="563">
        <v>3</v>
      </c>
      <c r="DD219" s="563">
        <v>20.34384326220561</v>
      </c>
      <c r="DE219" s="650">
        <v>3664.2171507693342</v>
      </c>
      <c r="DF219" s="564">
        <v>3664.2171507693342</v>
      </c>
      <c r="DG219" s="565">
        <v>134.30057295683775</v>
      </c>
      <c r="DH219" s="649">
        <v>0.77034731828798697</v>
      </c>
      <c r="DI219" s="646">
        <v>27.799512387470678</v>
      </c>
      <c r="DJ219" s="646">
        <v>0.12064515478553567</v>
      </c>
      <c r="DK219" s="646">
        <v>0.69218692896269696</v>
      </c>
      <c r="DL219" s="646">
        <v>20.715012223793785</v>
      </c>
      <c r="DM219" s="646">
        <v>1.306163676062434</v>
      </c>
      <c r="DN219" s="646">
        <v>1500</v>
      </c>
      <c r="DO219" s="563" t="s">
        <v>1585</v>
      </c>
      <c r="DP219" s="563">
        <v>2</v>
      </c>
      <c r="DQ219" s="563">
        <v>1</v>
      </c>
      <c r="DR219" s="563">
        <v>2</v>
      </c>
      <c r="DS219" s="563">
        <v>26.477663327847459</v>
      </c>
      <c r="DT219" s="650">
        <v>4860.5525505787591</v>
      </c>
      <c r="DU219" s="563">
        <v>2</v>
      </c>
      <c r="DV219" s="563">
        <v>2</v>
      </c>
      <c r="DW219" s="563">
        <v>20.34384326220561</v>
      </c>
      <c r="DX219" s="650">
        <v>3868.9646205929871</v>
      </c>
      <c r="DY219" s="564">
        <v>3868.9646205929871</v>
      </c>
      <c r="DZ219" s="565">
        <v>141.80495967229373</v>
      </c>
      <c r="EA219" s="649">
        <v>0.77034731828798697</v>
      </c>
      <c r="EB219" s="646">
        <v>27.799512387470678</v>
      </c>
      <c r="EC219" s="646">
        <v>0.12064515478553567</v>
      </c>
      <c r="ED219" s="646">
        <v>0.69218692896269696</v>
      </c>
      <c r="EE219" s="646">
        <v>20.715012223793785</v>
      </c>
      <c r="EF219" s="646">
        <v>1.306163676062434</v>
      </c>
      <c r="EG219" s="646">
        <v>1875</v>
      </c>
      <c r="EH219" s="563" t="s">
        <v>1585</v>
      </c>
      <c r="EI219" s="563">
        <v>2</v>
      </c>
      <c r="EJ219" s="563">
        <v>1</v>
      </c>
      <c r="EK219" s="563">
        <v>2</v>
      </c>
      <c r="EL219" s="563">
        <v>26.477663327847459</v>
      </c>
      <c r="EM219" s="650">
        <v>4860.5525505787591</v>
      </c>
      <c r="EN219" s="563">
        <v>2</v>
      </c>
      <c r="EO219" s="563">
        <v>2</v>
      </c>
      <c r="EP219" s="563">
        <v>20.34384326220561</v>
      </c>
      <c r="EQ219" s="650">
        <v>3868.9646205929871</v>
      </c>
      <c r="ER219" s="564">
        <v>3868.9646205929871</v>
      </c>
      <c r="ES219" s="565">
        <v>141.80495967229373</v>
      </c>
      <c r="ET219" s="649">
        <v>0.77034731828798697</v>
      </c>
      <c r="EU219" s="646">
        <v>27.332773768203793</v>
      </c>
      <c r="EV219" s="646">
        <v>0</v>
      </c>
      <c r="EW219" s="646">
        <v>0.34609346448134848</v>
      </c>
      <c r="EX219" s="646">
        <v>20.471079590850874</v>
      </c>
      <c r="EY219" s="646">
        <v>1.2646189333049831</v>
      </c>
      <c r="EZ219" s="646">
        <v>1500</v>
      </c>
      <c r="FA219" s="563" t="s">
        <v>1587</v>
      </c>
      <c r="FB219" s="563">
        <v>2</v>
      </c>
      <c r="FC219" s="563">
        <v>0</v>
      </c>
      <c r="FD219" s="563">
        <v>0</v>
      </c>
      <c r="FE219" s="563">
        <v>0</v>
      </c>
      <c r="FF219" s="650">
        <v>1831.9860805980034</v>
      </c>
      <c r="FG219" s="563">
        <v>1</v>
      </c>
      <c r="FH219" s="563">
        <v>2</v>
      </c>
      <c r="FI219" s="563">
        <v>20.34384326220561</v>
      </c>
      <c r="FJ219" s="650">
        <v>4446.3632206111834</v>
      </c>
      <c r="FK219" s="564">
        <v>1831.9860805980034</v>
      </c>
      <c r="FL219" s="565">
        <v>67.145796809996867</v>
      </c>
      <c r="FM219" s="649">
        <v>0.77034731828798697</v>
      </c>
      <c r="FN219" s="646">
        <v>27.799512387470678</v>
      </c>
      <c r="FO219" s="646">
        <v>0.12064515478553567</v>
      </c>
      <c r="FP219" s="646">
        <v>0.69218692896269696</v>
      </c>
      <c r="FQ219" s="646">
        <v>20.715012223793785</v>
      </c>
      <c r="FR219" s="646">
        <v>1.306163676062434</v>
      </c>
      <c r="FS219" s="646">
        <v>1875</v>
      </c>
      <c r="FT219" s="563" t="s">
        <v>1587</v>
      </c>
      <c r="FU219" s="563">
        <v>2</v>
      </c>
      <c r="FV219" s="563">
        <v>1</v>
      </c>
      <c r="FW219" s="563">
        <v>2</v>
      </c>
      <c r="FX219" s="563">
        <v>26.477663327847459</v>
      </c>
      <c r="FY219" s="650">
        <v>6003.173452750073</v>
      </c>
      <c r="FZ219" s="563">
        <v>2</v>
      </c>
      <c r="GA219" s="563">
        <v>2</v>
      </c>
      <c r="GB219" s="563">
        <v>20.34384326220561</v>
      </c>
      <c r="GC219" s="650">
        <v>4778.4825816166704</v>
      </c>
      <c r="GD219" s="564">
        <v>4000</v>
      </c>
      <c r="GE219" s="565">
        <v>146.60765716752366</v>
      </c>
      <c r="GF219" s="649">
        <v>0.77034731828798697</v>
      </c>
      <c r="GG219" s="646">
        <v>27.332773768203793</v>
      </c>
      <c r="GH219" s="646">
        <v>0</v>
      </c>
      <c r="GI219" s="646">
        <v>0.34609346448134848</v>
      </c>
      <c r="GJ219" s="646">
        <v>20.471079590850874</v>
      </c>
      <c r="GK219" s="646">
        <v>1.2646189333049831</v>
      </c>
      <c r="GL219" s="646">
        <v>1500</v>
      </c>
      <c r="GM219" s="563" t="s">
        <v>1587</v>
      </c>
      <c r="GN219" s="563">
        <v>2</v>
      </c>
      <c r="GO219" s="563">
        <v>0</v>
      </c>
      <c r="GP219" s="563">
        <v>0</v>
      </c>
      <c r="GQ219" s="563">
        <v>0</v>
      </c>
      <c r="GR219" s="650">
        <v>1831.9860805980034</v>
      </c>
      <c r="GS219" s="563">
        <v>1</v>
      </c>
      <c r="GT219" s="563">
        <v>2</v>
      </c>
      <c r="GU219" s="563">
        <v>20.34384326220561</v>
      </c>
      <c r="GV219" s="650">
        <v>4446.3632206111834</v>
      </c>
      <c r="GW219" s="564">
        <v>1831.9860805980034</v>
      </c>
      <c r="GX219" s="565">
        <v>67.145796809996867</v>
      </c>
      <c r="GY219" s="649">
        <v>0.77034731828798697</v>
      </c>
      <c r="GZ219" s="646">
        <v>27.799512387470678</v>
      </c>
      <c r="HA219" s="646">
        <v>0.12064515478553567</v>
      </c>
      <c r="HB219" s="646">
        <v>0.69218692896269696</v>
      </c>
      <c r="HC219" s="646">
        <v>20.715012223793785</v>
      </c>
      <c r="HD219" s="646">
        <v>1.306163676062434</v>
      </c>
      <c r="HE219" s="646">
        <v>1875</v>
      </c>
      <c r="HF219" s="563" t="s">
        <v>1587</v>
      </c>
      <c r="HG219" s="563">
        <v>2</v>
      </c>
      <c r="HH219" s="563">
        <v>1</v>
      </c>
      <c r="HI219" s="563">
        <v>2</v>
      </c>
      <c r="HJ219" s="563">
        <v>26.477663327847459</v>
      </c>
      <c r="HK219" s="650">
        <v>6003.173452750073</v>
      </c>
      <c r="HL219" s="563">
        <v>2</v>
      </c>
      <c r="HM219" s="563">
        <v>2</v>
      </c>
      <c r="HN219" s="563">
        <v>20.34384326220561</v>
      </c>
      <c r="HO219" s="650">
        <v>4778.4825816166704</v>
      </c>
      <c r="HP219" s="564">
        <v>4000</v>
      </c>
      <c r="HQ219" s="565">
        <v>146.60765716752366</v>
      </c>
      <c r="HR219" s="649">
        <v>1.1555209774319803</v>
      </c>
      <c r="HS219" s="646">
        <v>27.371853962866439</v>
      </c>
      <c r="HT219" s="646">
        <v>0</v>
      </c>
      <c r="HU219" s="646">
        <v>0</v>
      </c>
      <c r="HV219" s="646">
        <v>20.491823272977701</v>
      </c>
      <c r="HW219" s="646">
        <v>1.2500945997736264</v>
      </c>
      <c r="HX219" s="646">
        <v>1500</v>
      </c>
      <c r="HY219" s="563" t="s">
        <v>68</v>
      </c>
      <c r="HZ219" s="563">
        <v>3</v>
      </c>
      <c r="IA219" s="563">
        <v>0</v>
      </c>
      <c r="IB219" s="563">
        <v>0</v>
      </c>
      <c r="IC219" s="563">
        <v>0</v>
      </c>
      <c r="ID219" s="650">
        <v>2113.970253126367</v>
      </c>
      <c r="IE219" s="563">
        <v>0</v>
      </c>
      <c r="IF219" s="563">
        <v>0</v>
      </c>
      <c r="IG219" s="563">
        <v>0</v>
      </c>
      <c r="IH219" s="650">
        <v>1626.1611048058744</v>
      </c>
      <c r="II219" s="564">
        <v>1626.1611048058744</v>
      </c>
      <c r="IJ219" s="565">
        <v>59.601917438135295</v>
      </c>
      <c r="IK219" s="649">
        <v>1.5406946365759739</v>
      </c>
      <c r="IL219" s="646">
        <v>27.757027622010433</v>
      </c>
      <c r="IM219" s="646">
        <v>0</v>
      </c>
      <c r="IN219" s="646">
        <v>0</v>
      </c>
      <c r="IO219" s="646">
        <v>20.693147694077592</v>
      </c>
      <c r="IP219" s="646">
        <v>1.2755740299128311</v>
      </c>
      <c r="IQ219" s="646">
        <v>1875</v>
      </c>
      <c r="IR219" s="563" t="s">
        <v>68</v>
      </c>
      <c r="IS219" s="563">
        <v>4</v>
      </c>
      <c r="IT219" s="563">
        <v>0</v>
      </c>
      <c r="IU219" s="563">
        <v>0</v>
      </c>
      <c r="IV219" s="563">
        <v>0</v>
      </c>
      <c r="IW219" s="650">
        <v>2957.2716939115503</v>
      </c>
      <c r="IX219" s="563">
        <v>0</v>
      </c>
      <c r="IY219" s="563">
        <v>0</v>
      </c>
      <c r="IZ219" s="563">
        <v>0</v>
      </c>
      <c r="JA219" s="650">
        <v>2274.866544536414</v>
      </c>
      <c r="JB219" s="564">
        <v>2274.866544536414</v>
      </c>
      <c r="JC219" s="565">
        <v>83.378213615815952</v>
      </c>
      <c r="JD219" s="649">
        <v>0.77034731828798697</v>
      </c>
      <c r="JE219" s="646">
        <v>26.986680303722444</v>
      </c>
      <c r="JF219" s="646">
        <v>0</v>
      </c>
      <c r="JG219" s="646">
        <v>0</v>
      </c>
      <c r="JH219" s="646">
        <v>20.284751952809284</v>
      </c>
      <c r="JI219" s="646">
        <v>1.2246151696344216</v>
      </c>
      <c r="JJ219" s="646">
        <v>1500</v>
      </c>
      <c r="JK219" s="563" t="s">
        <v>67</v>
      </c>
      <c r="JL219" s="563">
        <v>2</v>
      </c>
      <c r="JM219" s="563">
        <v>0</v>
      </c>
      <c r="JN219" s="563">
        <v>0</v>
      </c>
      <c r="JO219" s="563">
        <v>0</v>
      </c>
      <c r="JP219" s="650">
        <v>2201.7732498441351</v>
      </c>
      <c r="JQ219" s="563">
        <v>0</v>
      </c>
      <c r="JR219" s="563">
        <v>0</v>
      </c>
      <c r="JS219" s="563">
        <v>0</v>
      </c>
      <c r="JT219" s="650">
        <v>1693.7031234017702</v>
      </c>
      <c r="JU219" s="564">
        <v>1693.7031234017702</v>
      </c>
      <c r="JV219" s="565">
        <v>62.077461714812692</v>
      </c>
      <c r="JW219" s="649">
        <v>1.1555209774319803</v>
      </c>
      <c r="JX219" s="646">
        <v>27.371853962866439</v>
      </c>
      <c r="JY219" s="646">
        <v>0</v>
      </c>
      <c r="JZ219" s="646">
        <v>0</v>
      </c>
      <c r="KA219" s="646">
        <v>20.491823272977701</v>
      </c>
      <c r="KB219" s="646">
        <v>1.2500945997736264</v>
      </c>
      <c r="KC219" s="646">
        <v>1875</v>
      </c>
      <c r="KD219" s="563" t="s">
        <v>67</v>
      </c>
      <c r="KE219" s="563">
        <v>3</v>
      </c>
      <c r="KF219" s="563">
        <v>0</v>
      </c>
      <c r="KG219" s="563">
        <v>0</v>
      </c>
      <c r="KH219" s="563">
        <v>0</v>
      </c>
      <c r="KI219" s="650">
        <v>2880.8558501236362</v>
      </c>
      <c r="KJ219" s="563">
        <v>0</v>
      </c>
      <c r="KK219" s="563">
        <v>0</v>
      </c>
      <c r="KL219" s="563">
        <v>0</v>
      </c>
      <c r="KM219" s="650">
        <v>2216.0840367054479</v>
      </c>
      <c r="KN219" s="564">
        <v>2216.0840367054479</v>
      </c>
      <c r="KO219" s="566">
        <v>81.223722176933563</v>
      </c>
    </row>
    <row r="220" spans="1:301" ht="15" customHeight="1">
      <c r="A220" s="782" t="s">
        <v>969</v>
      </c>
      <c r="B220" s="629" t="s">
        <v>382</v>
      </c>
      <c r="C220" s="629">
        <v>196.3</v>
      </c>
      <c r="D220" s="629">
        <v>315</v>
      </c>
      <c r="E220" s="629"/>
      <c r="F220" s="629"/>
      <c r="G220" s="629">
        <v>28</v>
      </c>
      <c r="H220" s="629">
        <v>100</v>
      </c>
      <c r="I220" s="629">
        <v>100</v>
      </c>
      <c r="J220" s="629">
        <v>131.47</v>
      </c>
      <c r="K220" s="629">
        <v>64.56</v>
      </c>
      <c r="L220" s="629">
        <v>14</v>
      </c>
      <c r="M220" s="629">
        <v>59.935473719032224</v>
      </c>
      <c r="N220" s="629">
        <v>2</v>
      </c>
      <c r="O220" s="623">
        <v>1.2235187843808555</v>
      </c>
      <c r="P220" s="629">
        <v>2</v>
      </c>
      <c r="Q220" s="623">
        <v>0.35759178379485823</v>
      </c>
      <c r="R220" s="629">
        <v>7</v>
      </c>
      <c r="S220" s="629">
        <v>265</v>
      </c>
      <c r="T220" s="645">
        <v>3.03074450205099</v>
      </c>
      <c r="U220" s="645">
        <v>39.75</v>
      </c>
      <c r="V220" s="645">
        <v>10</v>
      </c>
      <c r="W220" s="793">
        <v>7.3062590674443512E-2</v>
      </c>
      <c r="X220" s="646">
        <v>0</v>
      </c>
      <c r="Y220" s="646">
        <v>0</v>
      </c>
      <c r="Z220" s="646">
        <v>0</v>
      </c>
      <c r="AA220" s="646">
        <v>0</v>
      </c>
      <c r="AB220" s="647">
        <v>0.67629110355569422</v>
      </c>
      <c r="AC220" s="784">
        <v>4000</v>
      </c>
      <c r="AD220" s="631"/>
      <c r="AE220" s="631"/>
      <c r="AF220" s="631"/>
      <c r="AG220" s="631"/>
      <c r="AH220" s="629"/>
      <c r="AI220" s="648">
        <v>0.41901527875588424</v>
      </c>
      <c r="AJ220" s="649">
        <v>1.3173817123443283</v>
      </c>
      <c r="AK220" s="646">
        <v>6.0022993732454761</v>
      </c>
      <c r="AL220" s="646">
        <v>0</v>
      </c>
      <c r="AM220" s="646">
        <v>0</v>
      </c>
      <c r="AN220" s="646">
        <v>33.245838326412716</v>
      </c>
      <c r="AO220" s="646">
        <v>7.2039048840408931E-2</v>
      </c>
      <c r="AP220" s="801">
        <v>3300</v>
      </c>
      <c r="AQ220" s="563" t="s">
        <v>67</v>
      </c>
      <c r="AR220" s="563">
        <v>2</v>
      </c>
      <c r="AS220" s="563">
        <v>0</v>
      </c>
      <c r="AT220" s="563">
        <v>0</v>
      </c>
      <c r="AU220" s="563">
        <v>0</v>
      </c>
      <c r="AV220" s="650">
        <v>7434.3882294878131</v>
      </c>
      <c r="AW220" s="563">
        <v>0</v>
      </c>
      <c r="AX220" s="563">
        <v>0</v>
      </c>
      <c r="AY220" s="563">
        <v>0</v>
      </c>
      <c r="AZ220" s="650">
        <v>7286.836570066278</v>
      </c>
      <c r="BA220" s="564">
        <v>4000</v>
      </c>
      <c r="BB220" s="565">
        <v>65.973445725385659</v>
      </c>
      <c r="BC220" s="649">
        <v>1.3173817123443283</v>
      </c>
      <c r="BD220" s="646">
        <v>6.0022993732454761</v>
      </c>
      <c r="BE220" s="646">
        <v>0</v>
      </c>
      <c r="BF220" s="646">
        <v>0</v>
      </c>
      <c r="BG220" s="646">
        <v>33.245838326412716</v>
      </c>
      <c r="BH220" s="646">
        <v>7.2039048840408931E-2</v>
      </c>
      <c r="BI220" s="646">
        <v>3600</v>
      </c>
      <c r="BJ220" s="563" t="s">
        <v>67</v>
      </c>
      <c r="BK220" s="563">
        <v>2</v>
      </c>
      <c r="BL220" s="563">
        <v>0</v>
      </c>
      <c r="BM220" s="563">
        <v>0</v>
      </c>
      <c r="BN220" s="563">
        <v>0</v>
      </c>
      <c r="BO220" s="650">
        <v>7434.3882294878131</v>
      </c>
      <c r="BP220" s="563">
        <v>0</v>
      </c>
      <c r="BQ220" s="563">
        <v>0</v>
      </c>
      <c r="BR220" s="563">
        <v>0</v>
      </c>
      <c r="BS220" s="650">
        <v>7286.836570066278</v>
      </c>
      <c r="BT220" s="564">
        <v>4000</v>
      </c>
      <c r="BU220" s="565">
        <v>65.973445725385659</v>
      </c>
      <c r="BV220" s="649">
        <v>1.9760725685164924</v>
      </c>
      <c r="BW220" s="646">
        <v>6.8944717150336494</v>
      </c>
      <c r="BX220" s="646">
        <v>7.9197485416042074E-2</v>
      </c>
      <c r="BY220" s="646">
        <v>0.15428400019996685</v>
      </c>
      <c r="BZ220" s="646">
        <v>35.413894164893897</v>
      </c>
      <c r="CA220" s="646">
        <v>8.774933794112956E-2</v>
      </c>
      <c r="CB220" s="646">
        <v>3300</v>
      </c>
      <c r="CC220" s="563" t="s">
        <v>1584</v>
      </c>
      <c r="CD220" s="563">
        <v>3</v>
      </c>
      <c r="CE220" s="563">
        <v>1</v>
      </c>
      <c r="CF220" s="563">
        <v>3</v>
      </c>
      <c r="CG220" s="563">
        <v>11.227451050345543</v>
      </c>
      <c r="CH220" s="650">
        <v>11708.972922815759</v>
      </c>
      <c r="CI220" s="563">
        <v>1</v>
      </c>
      <c r="CJ220" s="563">
        <v>3</v>
      </c>
      <c r="CK220" s="563">
        <v>13.530966910513785</v>
      </c>
      <c r="CL220" s="650">
        <v>8448.9059775064652</v>
      </c>
      <c r="CM220" s="564">
        <v>4000</v>
      </c>
      <c r="CN220" s="565">
        <v>65.973445725385659</v>
      </c>
      <c r="CO220" s="649">
        <v>1.9760725685164924</v>
      </c>
      <c r="CP220" s="646">
        <v>6.8944717150336494</v>
      </c>
      <c r="CQ220" s="646">
        <v>7.9197485416042074E-2</v>
      </c>
      <c r="CR220" s="646">
        <v>0.15428400019996685</v>
      </c>
      <c r="CS220" s="646">
        <v>35.413894164893897</v>
      </c>
      <c r="CT220" s="646">
        <v>8.774933794112956E-2</v>
      </c>
      <c r="CU220" s="646">
        <v>3600</v>
      </c>
      <c r="CV220" s="563" t="s">
        <v>1584</v>
      </c>
      <c r="CW220" s="563">
        <v>3</v>
      </c>
      <c r="CX220" s="563">
        <v>1</v>
      </c>
      <c r="CY220" s="563">
        <v>3</v>
      </c>
      <c r="CZ220" s="563">
        <v>11.227451050345543</v>
      </c>
      <c r="DA220" s="650">
        <v>11708.972922815759</v>
      </c>
      <c r="DB220" s="563">
        <v>1</v>
      </c>
      <c r="DC220" s="563">
        <v>3</v>
      </c>
      <c r="DD220" s="563">
        <v>13.530966910513785</v>
      </c>
      <c r="DE220" s="650">
        <v>8448.9059775064652</v>
      </c>
      <c r="DF220" s="564">
        <v>4000</v>
      </c>
      <c r="DG220" s="565">
        <v>65.973445725385659</v>
      </c>
      <c r="DH220" s="649">
        <v>1.3173817123443283</v>
      </c>
      <c r="DI220" s="646">
        <v>6.4665216973894157</v>
      </c>
      <c r="DJ220" s="646">
        <v>5.2798323610694718E-2</v>
      </c>
      <c r="DK220" s="646">
        <v>0.41142400053324502</v>
      </c>
      <c r="DL220" s="646">
        <v>34.448595579100186</v>
      </c>
      <c r="DM220" s="646">
        <v>8.1975940464579788E-2</v>
      </c>
      <c r="DN220" s="646">
        <v>3300</v>
      </c>
      <c r="DO220" s="563" t="s">
        <v>1585</v>
      </c>
      <c r="DP220" s="563">
        <v>2</v>
      </c>
      <c r="DQ220" s="563">
        <v>1</v>
      </c>
      <c r="DR220" s="563">
        <v>2</v>
      </c>
      <c r="DS220" s="563">
        <v>11.227451050345543</v>
      </c>
      <c r="DT220" s="650">
        <v>12981.47940940503</v>
      </c>
      <c r="DU220" s="563">
        <v>1</v>
      </c>
      <c r="DV220" s="563">
        <v>8</v>
      </c>
      <c r="DW220" s="563">
        <v>13.530966910513785</v>
      </c>
      <c r="DX220" s="650">
        <v>10990.784474461263</v>
      </c>
      <c r="DY220" s="564">
        <v>4000</v>
      </c>
      <c r="DZ220" s="565">
        <v>65.973445725385659</v>
      </c>
      <c r="EA220" s="649">
        <v>1.3173817123443283</v>
      </c>
      <c r="EB220" s="646">
        <v>6.4665216973894157</v>
      </c>
      <c r="EC220" s="646">
        <v>5.2798323610694718E-2</v>
      </c>
      <c r="ED220" s="646">
        <v>0.41142400053324502</v>
      </c>
      <c r="EE220" s="646">
        <v>34.448595579100186</v>
      </c>
      <c r="EF220" s="646">
        <v>8.1975940464579788E-2</v>
      </c>
      <c r="EG220" s="646">
        <v>3600</v>
      </c>
      <c r="EH220" s="563" t="s">
        <v>1585</v>
      </c>
      <c r="EI220" s="563">
        <v>2</v>
      </c>
      <c r="EJ220" s="563">
        <v>1</v>
      </c>
      <c r="EK220" s="563">
        <v>2</v>
      </c>
      <c r="EL220" s="563">
        <v>11.227451050345543</v>
      </c>
      <c r="EM220" s="650">
        <v>12981.47940940503</v>
      </c>
      <c r="EN220" s="563">
        <v>1</v>
      </c>
      <c r="EO220" s="563">
        <v>8</v>
      </c>
      <c r="EP220" s="563">
        <v>13.530966910513785</v>
      </c>
      <c r="EQ220" s="650">
        <v>10990.784474461263</v>
      </c>
      <c r="ER220" s="564">
        <v>4000</v>
      </c>
      <c r="ES220" s="565">
        <v>65.973445725385659</v>
      </c>
      <c r="ET220" s="649">
        <v>1.3173817123443283</v>
      </c>
      <c r="EU220" s="646">
        <v>6.0022993732454761</v>
      </c>
      <c r="EV220" s="646">
        <v>0</v>
      </c>
      <c r="EW220" s="646">
        <v>0</v>
      </c>
      <c r="EX220" s="646">
        <v>33.245838326412716</v>
      </c>
      <c r="EY220" s="646">
        <v>7.2039048840408931E-2</v>
      </c>
      <c r="EZ220" s="646">
        <v>3300</v>
      </c>
      <c r="FA220" s="563" t="s">
        <v>1587</v>
      </c>
      <c r="FB220" s="563">
        <v>2</v>
      </c>
      <c r="FC220" s="563">
        <v>0</v>
      </c>
      <c r="FD220" s="563">
        <v>0</v>
      </c>
      <c r="FE220" s="563">
        <v>0</v>
      </c>
      <c r="FF220" s="650">
        <v>6185.7849145671362</v>
      </c>
      <c r="FG220" s="563">
        <v>0</v>
      </c>
      <c r="FH220" s="563">
        <v>0</v>
      </c>
      <c r="FI220" s="563">
        <v>0</v>
      </c>
      <c r="FJ220" s="650">
        <v>6063.0145129154089</v>
      </c>
      <c r="FK220" s="564">
        <v>4000</v>
      </c>
      <c r="FL220" s="565">
        <v>65.973445725385659</v>
      </c>
      <c r="FM220" s="649">
        <v>1.3173817123443283</v>
      </c>
      <c r="FN220" s="646">
        <v>6.0022993732454761</v>
      </c>
      <c r="FO220" s="646">
        <v>0</v>
      </c>
      <c r="FP220" s="646">
        <v>0</v>
      </c>
      <c r="FQ220" s="646">
        <v>33.245838326412716</v>
      </c>
      <c r="FR220" s="646">
        <v>7.2039048840408931E-2</v>
      </c>
      <c r="FS220" s="646">
        <v>3600</v>
      </c>
      <c r="FT220" s="563" t="s">
        <v>1587</v>
      </c>
      <c r="FU220" s="563">
        <v>2</v>
      </c>
      <c r="FV220" s="563">
        <v>0</v>
      </c>
      <c r="FW220" s="563">
        <v>0</v>
      </c>
      <c r="FX220" s="563">
        <v>0</v>
      </c>
      <c r="FY220" s="650">
        <v>6185.7849145671362</v>
      </c>
      <c r="FZ220" s="563">
        <v>0</v>
      </c>
      <c r="GA220" s="563">
        <v>0</v>
      </c>
      <c r="GB220" s="563">
        <v>0</v>
      </c>
      <c r="GC220" s="650">
        <v>6063.0145129154089</v>
      </c>
      <c r="GD220" s="564">
        <v>4000</v>
      </c>
      <c r="GE220" s="565">
        <v>65.973445725385659</v>
      </c>
      <c r="GF220" s="649">
        <v>1.3173817123443283</v>
      </c>
      <c r="GG220" s="646">
        <v>6.0022993732454761</v>
      </c>
      <c r="GH220" s="646">
        <v>0</v>
      </c>
      <c r="GI220" s="646">
        <v>0</v>
      </c>
      <c r="GJ220" s="646">
        <v>33.245838326412716</v>
      </c>
      <c r="GK220" s="646">
        <v>7.2039048840408931E-2</v>
      </c>
      <c r="GL220" s="646">
        <v>3300</v>
      </c>
      <c r="GM220" s="563" t="s">
        <v>1587</v>
      </c>
      <c r="GN220" s="563">
        <v>2</v>
      </c>
      <c r="GO220" s="563">
        <v>0</v>
      </c>
      <c r="GP220" s="563">
        <v>0</v>
      </c>
      <c r="GQ220" s="563">
        <v>0</v>
      </c>
      <c r="GR220" s="650">
        <v>6185.7849145671362</v>
      </c>
      <c r="GS220" s="563">
        <v>0</v>
      </c>
      <c r="GT220" s="563">
        <v>0</v>
      </c>
      <c r="GU220" s="563">
        <v>0</v>
      </c>
      <c r="GV220" s="650">
        <v>6063.0145129154089</v>
      </c>
      <c r="GW220" s="564">
        <v>4000</v>
      </c>
      <c r="GX220" s="565">
        <v>65.973445725385659</v>
      </c>
      <c r="GY220" s="649">
        <v>1.3173817123443283</v>
      </c>
      <c r="GZ220" s="646">
        <v>6.0022993732454761</v>
      </c>
      <c r="HA220" s="646">
        <v>0</v>
      </c>
      <c r="HB220" s="646">
        <v>0</v>
      </c>
      <c r="HC220" s="646">
        <v>33.245838326412716</v>
      </c>
      <c r="HD220" s="646">
        <v>7.2039048840408931E-2</v>
      </c>
      <c r="HE220" s="646">
        <v>3600</v>
      </c>
      <c r="HF220" s="563" t="s">
        <v>1587</v>
      </c>
      <c r="HG220" s="563">
        <v>2</v>
      </c>
      <c r="HH220" s="563">
        <v>0</v>
      </c>
      <c r="HI220" s="563">
        <v>0</v>
      </c>
      <c r="HJ220" s="563">
        <v>0</v>
      </c>
      <c r="HK220" s="650">
        <v>6185.7849145671362</v>
      </c>
      <c r="HL220" s="563">
        <v>0</v>
      </c>
      <c r="HM220" s="563">
        <v>0</v>
      </c>
      <c r="HN220" s="563">
        <v>0</v>
      </c>
      <c r="HO220" s="650">
        <v>6063.0145129154089</v>
      </c>
      <c r="HP220" s="564">
        <v>4000</v>
      </c>
      <c r="HQ220" s="565">
        <v>65.973445725385659</v>
      </c>
      <c r="HR220" s="649">
        <v>1.3173817123443283</v>
      </c>
      <c r="HS220" s="646">
        <v>6.0022993732454761</v>
      </c>
      <c r="HT220" s="646">
        <v>0</v>
      </c>
      <c r="HU220" s="646">
        <v>0</v>
      </c>
      <c r="HV220" s="646">
        <v>33.245838326412716</v>
      </c>
      <c r="HW220" s="646">
        <v>7.2039048840408931E-2</v>
      </c>
      <c r="HX220" s="646">
        <v>3300</v>
      </c>
      <c r="HY220" s="563" t="s">
        <v>68</v>
      </c>
      <c r="HZ220" s="563">
        <v>2</v>
      </c>
      <c r="IA220" s="563">
        <v>0</v>
      </c>
      <c r="IB220" s="563">
        <v>0</v>
      </c>
      <c r="IC220" s="563">
        <v>0</v>
      </c>
      <c r="ID220" s="650">
        <v>5455.3495158931901</v>
      </c>
      <c r="IE220" s="563">
        <v>0</v>
      </c>
      <c r="IF220" s="563">
        <v>0</v>
      </c>
      <c r="IG220" s="563">
        <v>0</v>
      </c>
      <c r="IH220" s="650">
        <v>5347.0761988498616</v>
      </c>
      <c r="II220" s="564">
        <v>4000</v>
      </c>
      <c r="IJ220" s="565">
        <v>65.973445725385659</v>
      </c>
      <c r="IK220" s="649">
        <v>1.3173817123443283</v>
      </c>
      <c r="IL220" s="646">
        <v>6.0022993732454761</v>
      </c>
      <c r="IM220" s="646">
        <v>0</v>
      </c>
      <c r="IN220" s="646">
        <v>0</v>
      </c>
      <c r="IO220" s="646">
        <v>33.245838326412716</v>
      </c>
      <c r="IP220" s="646">
        <v>7.2039048840408931E-2</v>
      </c>
      <c r="IQ220" s="646">
        <v>3600</v>
      </c>
      <c r="IR220" s="563" t="s">
        <v>68</v>
      </c>
      <c r="IS220" s="563">
        <v>2</v>
      </c>
      <c r="IT220" s="563">
        <v>0</v>
      </c>
      <c r="IU220" s="563">
        <v>0</v>
      </c>
      <c r="IV220" s="563">
        <v>0</v>
      </c>
      <c r="IW220" s="650">
        <v>5455.3495158931901</v>
      </c>
      <c r="IX220" s="563">
        <v>0</v>
      </c>
      <c r="IY220" s="563">
        <v>0</v>
      </c>
      <c r="IZ220" s="563">
        <v>0</v>
      </c>
      <c r="JA220" s="650">
        <v>5347.0761988498616</v>
      </c>
      <c r="JB220" s="564">
        <v>4000</v>
      </c>
      <c r="JC220" s="565">
        <v>65.973445725385659</v>
      </c>
      <c r="JD220" s="649">
        <v>1.3173817123443283</v>
      </c>
      <c r="JE220" s="646">
        <v>6.0022993732454761</v>
      </c>
      <c r="JF220" s="646">
        <v>0</v>
      </c>
      <c r="JG220" s="646">
        <v>0</v>
      </c>
      <c r="JH220" s="646">
        <v>33.245838326412716</v>
      </c>
      <c r="JI220" s="646">
        <v>7.2039048840408931E-2</v>
      </c>
      <c r="JJ220" s="646">
        <v>3300</v>
      </c>
      <c r="JK220" s="563" t="s">
        <v>67</v>
      </c>
      <c r="JL220" s="563">
        <v>2</v>
      </c>
      <c r="JM220" s="563">
        <v>0</v>
      </c>
      <c r="JN220" s="563">
        <v>0</v>
      </c>
      <c r="JO220" s="563">
        <v>0</v>
      </c>
      <c r="JP220" s="650">
        <v>7434.3882294878131</v>
      </c>
      <c r="JQ220" s="563">
        <v>0</v>
      </c>
      <c r="JR220" s="563">
        <v>0</v>
      </c>
      <c r="JS220" s="563">
        <v>0</v>
      </c>
      <c r="JT220" s="650">
        <v>7286.836570066278</v>
      </c>
      <c r="JU220" s="564">
        <v>4000</v>
      </c>
      <c r="JV220" s="565">
        <v>65.973445725385659</v>
      </c>
      <c r="JW220" s="649">
        <v>1.3173817123443283</v>
      </c>
      <c r="JX220" s="646">
        <v>6.0022993732454761</v>
      </c>
      <c r="JY220" s="646">
        <v>0</v>
      </c>
      <c r="JZ220" s="646">
        <v>0</v>
      </c>
      <c r="KA220" s="646">
        <v>33.245838326412716</v>
      </c>
      <c r="KB220" s="646">
        <v>7.2039048840408931E-2</v>
      </c>
      <c r="KC220" s="646">
        <v>3600</v>
      </c>
      <c r="KD220" s="563" t="s">
        <v>67</v>
      </c>
      <c r="KE220" s="563">
        <v>2</v>
      </c>
      <c r="KF220" s="563">
        <v>0</v>
      </c>
      <c r="KG220" s="563">
        <v>0</v>
      </c>
      <c r="KH220" s="563">
        <v>0</v>
      </c>
      <c r="KI220" s="650">
        <v>7434.3882294878131</v>
      </c>
      <c r="KJ220" s="563">
        <v>0</v>
      </c>
      <c r="KK220" s="563">
        <v>0</v>
      </c>
      <c r="KL220" s="563">
        <v>0</v>
      </c>
      <c r="KM220" s="650">
        <v>7286.836570066278</v>
      </c>
      <c r="KN220" s="564">
        <v>4000</v>
      </c>
      <c r="KO220" s="566">
        <v>65.973445725385659</v>
      </c>
    </row>
    <row r="221" spans="1:301" ht="15" customHeight="1">
      <c r="A221" s="782" t="s">
        <v>970</v>
      </c>
      <c r="B221" s="629" t="s">
        <v>382</v>
      </c>
      <c r="C221" s="629">
        <v>196.3</v>
      </c>
      <c r="D221" s="629">
        <v>315</v>
      </c>
      <c r="E221" s="629"/>
      <c r="F221" s="629"/>
      <c r="G221" s="629">
        <v>28</v>
      </c>
      <c r="H221" s="629">
        <v>100</v>
      </c>
      <c r="I221" s="629">
        <v>100</v>
      </c>
      <c r="J221" s="629">
        <v>131.47</v>
      </c>
      <c r="K221" s="629">
        <v>64.56</v>
      </c>
      <c r="L221" s="629">
        <v>14</v>
      </c>
      <c r="M221" s="629">
        <v>59.935473719032224</v>
      </c>
      <c r="N221" s="629">
        <v>2</v>
      </c>
      <c r="O221" s="623">
        <v>1.2235187843808555</v>
      </c>
      <c r="P221" s="629">
        <v>2</v>
      </c>
      <c r="Q221" s="623">
        <v>0.35759178379485823</v>
      </c>
      <c r="R221" s="629">
        <v>7</v>
      </c>
      <c r="S221" s="629">
        <v>265</v>
      </c>
      <c r="T221" s="645">
        <v>3.03074450205099</v>
      </c>
      <c r="U221" s="645">
        <v>39.75</v>
      </c>
      <c r="V221" s="645">
        <v>10</v>
      </c>
      <c r="W221" s="793">
        <v>7.3062590674443512E-2</v>
      </c>
      <c r="X221" s="646">
        <v>0</v>
      </c>
      <c r="Y221" s="646">
        <v>0</v>
      </c>
      <c r="Z221" s="646">
        <v>0</v>
      </c>
      <c r="AA221" s="646">
        <v>0</v>
      </c>
      <c r="AB221" s="647">
        <v>0.67629110355569422</v>
      </c>
      <c r="AC221" s="784">
        <v>4000</v>
      </c>
      <c r="AD221" s="631"/>
      <c r="AE221" s="631"/>
      <c r="AF221" s="631"/>
      <c r="AG221" s="631"/>
      <c r="AH221" s="629"/>
      <c r="AI221" s="648">
        <v>0.41901527875588424</v>
      </c>
      <c r="AJ221" s="649">
        <v>1.3173817123443283</v>
      </c>
      <c r="AK221" s="646">
        <v>6.0022993732454761</v>
      </c>
      <c r="AL221" s="646">
        <v>0</v>
      </c>
      <c r="AM221" s="646">
        <v>0</v>
      </c>
      <c r="AN221" s="646">
        <v>33.245838326412716</v>
      </c>
      <c r="AO221" s="646">
        <v>7.2039048840408931E-2</v>
      </c>
      <c r="AP221" s="801">
        <v>3300</v>
      </c>
      <c r="AQ221" s="563" t="s">
        <v>67</v>
      </c>
      <c r="AR221" s="563">
        <v>2</v>
      </c>
      <c r="AS221" s="563">
        <v>0</v>
      </c>
      <c r="AT221" s="563">
        <v>0</v>
      </c>
      <c r="AU221" s="563">
        <v>0</v>
      </c>
      <c r="AV221" s="650">
        <v>7434.3882294878131</v>
      </c>
      <c r="AW221" s="563">
        <v>0</v>
      </c>
      <c r="AX221" s="563">
        <v>0</v>
      </c>
      <c r="AY221" s="563">
        <v>0</v>
      </c>
      <c r="AZ221" s="650">
        <v>7286.836570066278</v>
      </c>
      <c r="BA221" s="564">
        <v>4000</v>
      </c>
      <c r="BB221" s="565">
        <v>65.973445725385659</v>
      </c>
      <c r="BC221" s="649">
        <v>1.3173817123443283</v>
      </c>
      <c r="BD221" s="646">
        <v>6.0022993732454761</v>
      </c>
      <c r="BE221" s="646">
        <v>0</v>
      </c>
      <c r="BF221" s="646">
        <v>0</v>
      </c>
      <c r="BG221" s="646">
        <v>33.245838326412716</v>
      </c>
      <c r="BH221" s="646">
        <v>7.2039048840408931E-2</v>
      </c>
      <c r="BI221" s="646">
        <v>3600</v>
      </c>
      <c r="BJ221" s="563" t="s">
        <v>67</v>
      </c>
      <c r="BK221" s="563">
        <v>2</v>
      </c>
      <c r="BL221" s="563">
        <v>0</v>
      </c>
      <c r="BM221" s="563">
        <v>0</v>
      </c>
      <c r="BN221" s="563">
        <v>0</v>
      </c>
      <c r="BO221" s="650">
        <v>7434.3882294878131</v>
      </c>
      <c r="BP221" s="563">
        <v>0</v>
      </c>
      <c r="BQ221" s="563">
        <v>0</v>
      </c>
      <c r="BR221" s="563">
        <v>0</v>
      </c>
      <c r="BS221" s="650">
        <v>7286.836570066278</v>
      </c>
      <c r="BT221" s="564">
        <v>4000</v>
      </c>
      <c r="BU221" s="565">
        <v>65.973445725385659</v>
      </c>
      <c r="BV221" s="649">
        <v>1.9760725685164924</v>
      </c>
      <c r="BW221" s="646">
        <v>6.8944717150336494</v>
      </c>
      <c r="BX221" s="646">
        <v>7.9197485416042074E-2</v>
      </c>
      <c r="BY221" s="646">
        <v>0.15428400019996685</v>
      </c>
      <c r="BZ221" s="646">
        <v>35.413894164893897</v>
      </c>
      <c r="CA221" s="646">
        <v>8.774933794112956E-2</v>
      </c>
      <c r="CB221" s="646">
        <v>3300</v>
      </c>
      <c r="CC221" s="563" t="s">
        <v>1584</v>
      </c>
      <c r="CD221" s="563">
        <v>3</v>
      </c>
      <c r="CE221" s="563">
        <v>1</v>
      </c>
      <c r="CF221" s="563">
        <v>3</v>
      </c>
      <c r="CG221" s="563">
        <v>11.227451050345543</v>
      </c>
      <c r="CH221" s="650">
        <v>11708.972922815759</v>
      </c>
      <c r="CI221" s="563">
        <v>1</v>
      </c>
      <c r="CJ221" s="563">
        <v>3</v>
      </c>
      <c r="CK221" s="563">
        <v>13.530966910513785</v>
      </c>
      <c r="CL221" s="650">
        <v>8448.9059775064652</v>
      </c>
      <c r="CM221" s="564">
        <v>4000</v>
      </c>
      <c r="CN221" s="565">
        <v>65.973445725385659</v>
      </c>
      <c r="CO221" s="649">
        <v>1.9760725685164924</v>
      </c>
      <c r="CP221" s="646">
        <v>6.8944717150336494</v>
      </c>
      <c r="CQ221" s="646">
        <v>7.9197485416042074E-2</v>
      </c>
      <c r="CR221" s="646">
        <v>0.15428400019996685</v>
      </c>
      <c r="CS221" s="646">
        <v>35.413894164893897</v>
      </c>
      <c r="CT221" s="646">
        <v>8.774933794112956E-2</v>
      </c>
      <c r="CU221" s="646">
        <v>3600</v>
      </c>
      <c r="CV221" s="563" t="s">
        <v>1584</v>
      </c>
      <c r="CW221" s="563">
        <v>3</v>
      </c>
      <c r="CX221" s="563">
        <v>1</v>
      </c>
      <c r="CY221" s="563">
        <v>3</v>
      </c>
      <c r="CZ221" s="563">
        <v>11.227451050345543</v>
      </c>
      <c r="DA221" s="650">
        <v>11708.972922815759</v>
      </c>
      <c r="DB221" s="563">
        <v>1</v>
      </c>
      <c r="DC221" s="563">
        <v>3</v>
      </c>
      <c r="DD221" s="563">
        <v>13.530966910513785</v>
      </c>
      <c r="DE221" s="650">
        <v>8448.9059775064652</v>
      </c>
      <c r="DF221" s="564">
        <v>4000</v>
      </c>
      <c r="DG221" s="565">
        <v>65.973445725385659</v>
      </c>
      <c r="DH221" s="649">
        <v>1.3173817123443283</v>
      </c>
      <c r="DI221" s="646">
        <v>6.4665216973894157</v>
      </c>
      <c r="DJ221" s="646">
        <v>5.2798323610694718E-2</v>
      </c>
      <c r="DK221" s="646">
        <v>0.41142400053324502</v>
      </c>
      <c r="DL221" s="646">
        <v>34.448595579100186</v>
      </c>
      <c r="DM221" s="646">
        <v>8.1975940464579788E-2</v>
      </c>
      <c r="DN221" s="646">
        <v>3300</v>
      </c>
      <c r="DO221" s="563" t="s">
        <v>1585</v>
      </c>
      <c r="DP221" s="563">
        <v>2</v>
      </c>
      <c r="DQ221" s="563">
        <v>1</v>
      </c>
      <c r="DR221" s="563">
        <v>2</v>
      </c>
      <c r="DS221" s="563">
        <v>11.227451050345543</v>
      </c>
      <c r="DT221" s="650">
        <v>12981.47940940503</v>
      </c>
      <c r="DU221" s="563">
        <v>1</v>
      </c>
      <c r="DV221" s="563">
        <v>8</v>
      </c>
      <c r="DW221" s="563">
        <v>13.530966910513785</v>
      </c>
      <c r="DX221" s="650">
        <v>10990.784474461263</v>
      </c>
      <c r="DY221" s="564">
        <v>4000</v>
      </c>
      <c r="DZ221" s="565">
        <v>65.973445725385659</v>
      </c>
      <c r="EA221" s="649">
        <v>1.3173817123443283</v>
      </c>
      <c r="EB221" s="646">
        <v>6.4665216973894157</v>
      </c>
      <c r="EC221" s="646">
        <v>5.2798323610694718E-2</v>
      </c>
      <c r="ED221" s="646">
        <v>0.41142400053324502</v>
      </c>
      <c r="EE221" s="646">
        <v>34.448595579100186</v>
      </c>
      <c r="EF221" s="646">
        <v>8.1975940464579788E-2</v>
      </c>
      <c r="EG221" s="646">
        <v>3600</v>
      </c>
      <c r="EH221" s="563" t="s">
        <v>1585</v>
      </c>
      <c r="EI221" s="563">
        <v>2</v>
      </c>
      <c r="EJ221" s="563">
        <v>1</v>
      </c>
      <c r="EK221" s="563">
        <v>2</v>
      </c>
      <c r="EL221" s="563">
        <v>11.227451050345543</v>
      </c>
      <c r="EM221" s="650">
        <v>12981.47940940503</v>
      </c>
      <c r="EN221" s="563">
        <v>1</v>
      </c>
      <c r="EO221" s="563">
        <v>8</v>
      </c>
      <c r="EP221" s="563">
        <v>13.530966910513785</v>
      </c>
      <c r="EQ221" s="650">
        <v>10990.784474461263</v>
      </c>
      <c r="ER221" s="564">
        <v>4000</v>
      </c>
      <c r="ES221" s="565">
        <v>65.973445725385659</v>
      </c>
      <c r="ET221" s="649">
        <v>1.3173817123443283</v>
      </c>
      <c r="EU221" s="646">
        <v>6.0022993732454761</v>
      </c>
      <c r="EV221" s="646">
        <v>0</v>
      </c>
      <c r="EW221" s="646">
        <v>0</v>
      </c>
      <c r="EX221" s="646">
        <v>33.245838326412716</v>
      </c>
      <c r="EY221" s="646">
        <v>7.2039048840408931E-2</v>
      </c>
      <c r="EZ221" s="646">
        <v>3300</v>
      </c>
      <c r="FA221" s="563" t="s">
        <v>1587</v>
      </c>
      <c r="FB221" s="563">
        <v>2</v>
      </c>
      <c r="FC221" s="563">
        <v>0</v>
      </c>
      <c r="FD221" s="563">
        <v>0</v>
      </c>
      <c r="FE221" s="563">
        <v>0</v>
      </c>
      <c r="FF221" s="650">
        <v>6185.7849145671362</v>
      </c>
      <c r="FG221" s="563">
        <v>0</v>
      </c>
      <c r="FH221" s="563">
        <v>0</v>
      </c>
      <c r="FI221" s="563">
        <v>0</v>
      </c>
      <c r="FJ221" s="650">
        <v>6063.0145129154089</v>
      </c>
      <c r="FK221" s="564">
        <v>4000</v>
      </c>
      <c r="FL221" s="565">
        <v>65.973445725385659</v>
      </c>
      <c r="FM221" s="649">
        <v>1.3173817123443283</v>
      </c>
      <c r="FN221" s="646">
        <v>6.0022993732454761</v>
      </c>
      <c r="FO221" s="646">
        <v>0</v>
      </c>
      <c r="FP221" s="646">
        <v>0</v>
      </c>
      <c r="FQ221" s="646">
        <v>33.245838326412716</v>
      </c>
      <c r="FR221" s="646">
        <v>7.2039048840408931E-2</v>
      </c>
      <c r="FS221" s="646">
        <v>3600</v>
      </c>
      <c r="FT221" s="563" t="s">
        <v>1587</v>
      </c>
      <c r="FU221" s="563">
        <v>2</v>
      </c>
      <c r="FV221" s="563">
        <v>0</v>
      </c>
      <c r="FW221" s="563">
        <v>0</v>
      </c>
      <c r="FX221" s="563">
        <v>0</v>
      </c>
      <c r="FY221" s="650">
        <v>6185.7849145671362</v>
      </c>
      <c r="FZ221" s="563">
        <v>0</v>
      </c>
      <c r="GA221" s="563">
        <v>0</v>
      </c>
      <c r="GB221" s="563">
        <v>0</v>
      </c>
      <c r="GC221" s="650">
        <v>6063.0145129154089</v>
      </c>
      <c r="GD221" s="564">
        <v>4000</v>
      </c>
      <c r="GE221" s="565">
        <v>65.973445725385659</v>
      </c>
      <c r="GF221" s="649">
        <v>1.3173817123443283</v>
      </c>
      <c r="GG221" s="646">
        <v>6.0022993732454761</v>
      </c>
      <c r="GH221" s="646">
        <v>0</v>
      </c>
      <c r="GI221" s="646">
        <v>0</v>
      </c>
      <c r="GJ221" s="646">
        <v>33.245838326412716</v>
      </c>
      <c r="GK221" s="646">
        <v>7.2039048840408931E-2</v>
      </c>
      <c r="GL221" s="646">
        <v>3300</v>
      </c>
      <c r="GM221" s="563" t="s">
        <v>1587</v>
      </c>
      <c r="GN221" s="563">
        <v>2</v>
      </c>
      <c r="GO221" s="563">
        <v>0</v>
      </c>
      <c r="GP221" s="563">
        <v>0</v>
      </c>
      <c r="GQ221" s="563">
        <v>0</v>
      </c>
      <c r="GR221" s="650">
        <v>6185.7849145671362</v>
      </c>
      <c r="GS221" s="563">
        <v>0</v>
      </c>
      <c r="GT221" s="563">
        <v>0</v>
      </c>
      <c r="GU221" s="563">
        <v>0</v>
      </c>
      <c r="GV221" s="650">
        <v>6063.0145129154089</v>
      </c>
      <c r="GW221" s="564">
        <v>4000</v>
      </c>
      <c r="GX221" s="565">
        <v>65.973445725385659</v>
      </c>
      <c r="GY221" s="649">
        <v>1.3173817123443283</v>
      </c>
      <c r="GZ221" s="646">
        <v>6.0022993732454761</v>
      </c>
      <c r="HA221" s="646">
        <v>0</v>
      </c>
      <c r="HB221" s="646">
        <v>0</v>
      </c>
      <c r="HC221" s="646">
        <v>33.245838326412716</v>
      </c>
      <c r="HD221" s="646">
        <v>7.2039048840408931E-2</v>
      </c>
      <c r="HE221" s="646">
        <v>3600</v>
      </c>
      <c r="HF221" s="563" t="s">
        <v>1587</v>
      </c>
      <c r="HG221" s="563">
        <v>2</v>
      </c>
      <c r="HH221" s="563">
        <v>0</v>
      </c>
      <c r="HI221" s="563">
        <v>0</v>
      </c>
      <c r="HJ221" s="563">
        <v>0</v>
      </c>
      <c r="HK221" s="650">
        <v>6185.7849145671362</v>
      </c>
      <c r="HL221" s="563">
        <v>0</v>
      </c>
      <c r="HM221" s="563">
        <v>0</v>
      </c>
      <c r="HN221" s="563">
        <v>0</v>
      </c>
      <c r="HO221" s="650">
        <v>6063.0145129154089</v>
      </c>
      <c r="HP221" s="564">
        <v>4000</v>
      </c>
      <c r="HQ221" s="565">
        <v>65.973445725385659</v>
      </c>
      <c r="HR221" s="649">
        <v>1.3173817123443283</v>
      </c>
      <c r="HS221" s="646">
        <v>6.0022993732454761</v>
      </c>
      <c r="HT221" s="646">
        <v>0</v>
      </c>
      <c r="HU221" s="646">
        <v>0</v>
      </c>
      <c r="HV221" s="646">
        <v>33.245838326412716</v>
      </c>
      <c r="HW221" s="646">
        <v>7.2039048840408931E-2</v>
      </c>
      <c r="HX221" s="646">
        <v>3300</v>
      </c>
      <c r="HY221" s="563" t="s">
        <v>68</v>
      </c>
      <c r="HZ221" s="563">
        <v>2</v>
      </c>
      <c r="IA221" s="563">
        <v>0</v>
      </c>
      <c r="IB221" s="563">
        <v>0</v>
      </c>
      <c r="IC221" s="563">
        <v>0</v>
      </c>
      <c r="ID221" s="650">
        <v>5455.3495158931901</v>
      </c>
      <c r="IE221" s="563">
        <v>0</v>
      </c>
      <c r="IF221" s="563">
        <v>0</v>
      </c>
      <c r="IG221" s="563">
        <v>0</v>
      </c>
      <c r="IH221" s="650">
        <v>5347.0761988498616</v>
      </c>
      <c r="II221" s="564">
        <v>4000</v>
      </c>
      <c r="IJ221" s="565">
        <v>65.973445725385659</v>
      </c>
      <c r="IK221" s="649">
        <v>1.3173817123443283</v>
      </c>
      <c r="IL221" s="646">
        <v>6.0022993732454761</v>
      </c>
      <c r="IM221" s="646">
        <v>0</v>
      </c>
      <c r="IN221" s="646">
        <v>0</v>
      </c>
      <c r="IO221" s="646">
        <v>33.245838326412716</v>
      </c>
      <c r="IP221" s="646">
        <v>7.2039048840408931E-2</v>
      </c>
      <c r="IQ221" s="646">
        <v>3600</v>
      </c>
      <c r="IR221" s="563" t="s">
        <v>68</v>
      </c>
      <c r="IS221" s="563">
        <v>2</v>
      </c>
      <c r="IT221" s="563">
        <v>0</v>
      </c>
      <c r="IU221" s="563">
        <v>0</v>
      </c>
      <c r="IV221" s="563">
        <v>0</v>
      </c>
      <c r="IW221" s="650">
        <v>5455.3495158931901</v>
      </c>
      <c r="IX221" s="563">
        <v>0</v>
      </c>
      <c r="IY221" s="563">
        <v>0</v>
      </c>
      <c r="IZ221" s="563">
        <v>0</v>
      </c>
      <c r="JA221" s="650">
        <v>5347.0761988498616</v>
      </c>
      <c r="JB221" s="564">
        <v>4000</v>
      </c>
      <c r="JC221" s="565">
        <v>65.973445725385659</v>
      </c>
      <c r="JD221" s="649">
        <v>1.3173817123443283</v>
      </c>
      <c r="JE221" s="646">
        <v>6.0022993732454761</v>
      </c>
      <c r="JF221" s="646">
        <v>0</v>
      </c>
      <c r="JG221" s="646">
        <v>0</v>
      </c>
      <c r="JH221" s="646">
        <v>33.245838326412716</v>
      </c>
      <c r="JI221" s="646">
        <v>7.2039048840408931E-2</v>
      </c>
      <c r="JJ221" s="646">
        <v>3300</v>
      </c>
      <c r="JK221" s="563" t="s">
        <v>67</v>
      </c>
      <c r="JL221" s="563">
        <v>2</v>
      </c>
      <c r="JM221" s="563">
        <v>0</v>
      </c>
      <c r="JN221" s="563">
        <v>0</v>
      </c>
      <c r="JO221" s="563">
        <v>0</v>
      </c>
      <c r="JP221" s="650">
        <v>7434.3882294878131</v>
      </c>
      <c r="JQ221" s="563">
        <v>0</v>
      </c>
      <c r="JR221" s="563">
        <v>0</v>
      </c>
      <c r="JS221" s="563">
        <v>0</v>
      </c>
      <c r="JT221" s="650">
        <v>7286.836570066278</v>
      </c>
      <c r="JU221" s="564">
        <v>4000</v>
      </c>
      <c r="JV221" s="565">
        <v>65.973445725385659</v>
      </c>
      <c r="JW221" s="649">
        <v>1.3173817123443283</v>
      </c>
      <c r="JX221" s="646">
        <v>6.0022993732454761</v>
      </c>
      <c r="JY221" s="646">
        <v>0</v>
      </c>
      <c r="JZ221" s="646">
        <v>0</v>
      </c>
      <c r="KA221" s="646">
        <v>33.245838326412716</v>
      </c>
      <c r="KB221" s="646">
        <v>7.2039048840408931E-2</v>
      </c>
      <c r="KC221" s="646">
        <v>3600</v>
      </c>
      <c r="KD221" s="563" t="s">
        <v>67</v>
      </c>
      <c r="KE221" s="563">
        <v>2</v>
      </c>
      <c r="KF221" s="563">
        <v>0</v>
      </c>
      <c r="KG221" s="563">
        <v>0</v>
      </c>
      <c r="KH221" s="563">
        <v>0</v>
      </c>
      <c r="KI221" s="650">
        <v>7434.3882294878131</v>
      </c>
      <c r="KJ221" s="563">
        <v>0</v>
      </c>
      <c r="KK221" s="563">
        <v>0</v>
      </c>
      <c r="KL221" s="563">
        <v>0</v>
      </c>
      <c r="KM221" s="650">
        <v>7286.836570066278</v>
      </c>
      <c r="KN221" s="564">
        <v>4000</v>
      </c>
      <c r="KO221" s="566">
        <v>65.973445725385659</v>
      </c>
    </row>
    <row r="222" spans="1:301" ht="15" customHeight="1">
      <c r="A222" s="782" t="s">
        <v>971</v>
      </c>
      <c r="B222" s="629" t="s">
        <v>382</v>
      </c>
      <c r="C222" s="629">
        <v>246.6</v>
      </c>
      <c r="D222" s="629">
        <v>365</v>
      </c>
      <c r="E222" s="629"/>
      <c r="F222" s="629"/>
      <c r="G222" s="629">
        <v>28</v>
      </c>
      <c r="H222" s="629">
        <v>100</v>
      </c>
      <c r="I222" s="629">
        <v>100</v>
      </c>
      <c r="J222" s="629">
        <v>131.4</v>
      </c>
      <c r="K222" s="629">
        <v>65.47</v>
      </c>
      <c r="L222" s="629">
        <v>16</v>
      </c>
      <c r="M222" s="629">
        <v>59.847374353983454</v>
      </c>
      <c r="N222" s="629">
        <v>2</v>
      </c>
      <c r="O222" s="623">
        <v>1.6427643240024132</v>
      </c>
      <c r="P222" s="629">
        <v>2</v>
      </c>
      <c r="Q222" s="623">
        <v>0.41924553962155792</v>
      </c>
      <c r="R222" s="629">
        <v>7</v>
      </c>
      <c r="S222" s="629">
        <v>315</v>
      </c>
      <c r="T222" s="645">
        <v>4.2823157453329941</v>
      </c>
      <c r="U222" s="645">
        <v>47.25</v>
      </c>
      <c r="V222" s="645">
        <v>10</v>
      </c>
      <c r="W222" s="793">
        <v>0.10323439743213468</v>
      </c>
      <c r="X222" s="646">
        <v>0</v>
      </c>
      <c r="Y222" s="646">
        <v>0</v>
      </c>
      <c r="Z222" s="646">
        <v>0</v>
      </c>
      <c r="AA222" s="646">
        <v>0</v>
      </c>
      <c r="AB222" s="647">
        <v>0.78677936416734717</v>
      </c>
      <c r="AC222" s="784">
        <v>4000</v>
      </c>
      <c r="AD222" s="631"/>
      <c r="AE222" s="631"/>
      <c r="AF222" s="631"/>
      <c r="AG222" s="631"/>
      <c r="AH222" s="629"/>
      <c r="AI222" s="648">
        <v>0.51452770413257976</v>
      </c>
      <c r="AJ222" s="649">
        <v>1.5033660437720646</v>
      </c>
      <c r="AK222" s="646">
        <v>7.9509260501611649</v>
      </c>
      <c r="AL222" s="646">
        <v>0</v>
      </c>
      <c r="AM222" s="646">
        <v>0</v>
      </c>
      <c r="AN222" s="646">
        <v>32.118052112824763</v>
      </c>
      <c r="AO222" s="646">
        <v>0.12911645726690749</v>
      </c>
      <c r="AP222" s="801">
        <v>3000</v>
      </c>
      <c r="AQ222" s="563" t="s">
        <v>67</v>
      </c>
      <c r="AR222" s="563">
        <v>2</v>
      </c>
      <c r="AS222" s="563">
        <v>0</v>
      </c>
      <c r="AT222" s="563">
        <v>0</v>
      </c>
      <c r="AU222" s="563">
        <v>0</v>
      </c>
      <c r="AV222" s="650">
        <v>6637.5743460890735</v>
      </c>
      <c r="AW222" s="563">
        <v>0</v>
      </c>
      <c r="AX222" s="563">
        <v>0</v>
      </c>
      <c r="AY222" s="563">
        <v>0</v>
      </c>
      <c r="AZ222" s="650">
        <v>6885.7280440269224</v>
      </c>
      <c r="BA222" s="564">
        <v>4000</v>
      </c>
      <c r="BB222" s="565">
        <v>76.445421237351638</v>
      </c>
      <c r="BC222" s="649">
        <v>1.5033660437720646</v>
      </c>
      <c r="BD222" s="646">
        <v>7.9509260501611649</v>
      </c>
      <c r="BE222" s="646">
        <v>0</v>
      </c>
      <c r="BF222" s="646">
        <v>0</v>
      </c>
      <c r="BG222" s="646">
        <v>32.118052112824763</v>
      </c>
      <c r="BH222" s="646">
        <v>0.12911645726690749</v>
      </c>
      <c r="BI222" s="646">
        <v>3600</v>
      </c>
      <c r="BJ222" s="563" t="s">
        <v>67</v>
      </c>
      <c r="BK222" s="563">
        <v>2</v>
      </c>
      <c r="BL222" s="563">
        <v>0</v>
      </c>
      <c r="BM222" s="563">
        <v>0</v>
      </c>
      <c r="BN222" s="563">
        <v>0</v>
      </c>
      <c r="BO222" s="650">
        <v>6637.5743460890735</v>
      </c>
      <c r="BP222" s="563">
        <v>0</v>
      </c>
      <c r="BQ222" s="563">
        <v>0</v>
      </c>
      <c r="BR222" s="563">
        <v>0</v>
      </c>
      <c r="BS222" s="650">
        <v>6885.7280440269224</v>
      </c>
      <c r="BT222" s="564">
        <v>4000</v>
      </c>
      <c r="BU222" s="565">
        <v>76.445421237351638</v>
      </c>
      <c r="BV222" s="649">
        <v>2.2550490656580968</v>
      </c>
      <c r="BW222" s="646">
        <v>8.9830165327958476</v>
      </c>
      <c r="BX222" s="646">
        <v>0.10005015175887237</v>
      </c>
      <c r="BY222" s="646">
        <v>0.1803573089897787</v>
      </c>
      <c r="BZ222" s="646">
        <v>34.172572235095856</v>
      </c>
      <c r="CA222" s="646">
        <v>0.15458971723993226</v>
      </c>
      <c r="CB222" s="646">
        <v>3000</v>
      </c>
      <c r="CC222" s="563" t="s">
        <v>1584</v>
      </c>
      <c r="CD222" s="563">
        <v>3</v>
      </c>
      <c r="CE222" s="563">
        <v>1</v>
      </c>
      <c r="CF222" s="563">
        <v>3</v>
      </c>
      <c r="CG222" s="563">
        <v>11.223044497810264</v>
      </c>
      <c r="CH222" s="650">
        <v>9552.8053914492339</v>
      </c>
      <c r="CI222" s="563">
        <v>1</v>
      </c>
      <c r="CJ222" s="563">
        <v>3</v>
      </c>
      <c r="CK222" s="563">
        <v>13.611447632218573</v>
      </c>
      <c r="CL222" s="650">
        <v>7319.5779782119444</v>
      </c>
      <c r="CM222" s="564">
        <v>4000</v>
      </c>
      <c r="CN222" s="565">
        <v>76.445421237351638</v>
      </c>
      <c r="CO222" s="649">
        <v>2.2550490656580968</v>
      </c>
      <c r="CP222" s="646">
        <v>8.9830165327958476</v>
      </c>
      <c r="CQ222" s="646">
        <v>0.10005015175887237</v>
      </c>
      <c r="CR222" s="646">
        <v>0.1803573089897787</v>
      </c>
      <c r="CS222" s="646">
        <v>34.172572235095856</v>
      </c>
      <c r="CT222" s="646">
        <v>0.15458971723993226</v>
      </c>
      <c r="CU222" s="646">
        <v>3600</v>
      </c>
      <c r="CV222" s="563" t="s">
        <v>1584</v>
      </c>
      <c r="CW222" s="563">
        <v>3</v>
      </c>
      <c r="CX222" s="563">
        <v>1</v>
      </c>
      <c r="CY222" s="563">
        <v>3</v>
      </c>
      <c r="CZ222" s="563">
        <v>11.223044497810264</v>
      </c>
      <c r="DA222" s="650">
        <v>9552.8053914492339</v>
      </c>
      <c r="DB222" s="563">
        <v>1</v>
      </c>
      <c r="DC222" s="563">
        <v>3</v>
      </c>
      <c r="DD222" s="563">
        <v>13.611447632218573</v>
      </c>
      <c r="DE222" s="650">
        <v>7319.5779782119444</v>
      </c>
      <c r="DF222" s="564">
        <v>4000</v>
      </c>
      <c r="DG222" s="565">
        <v>76.445421237351638</v>
      </c>
      <c r="DH222" s="649">
        <v>1.5033660437720646</v>
      </c>
      <c r="DI222" s="646">
        <v>8.1378643573269329</v>
      </c>
      <c r="DJ222" s="646">
        <v>6.6700101172581572E-2</v>
      </c>
      <c r="DK222" s="646">
        <v>0.1202382059931858</v>
      </c>
      <c r="DL222" s="646">
        <v>32.528825863783794</v>
      </c>
      <c r="DM222" s="646">
        <v>0.13394413160082647</v>
      </c>
      <c r="DN222" s="646">
        <v>3000</v>
      </c>
      <c r="DO222" s="563" t="s">
        <v>1585</v>
      </c>
      <c r="DP222" s="563">
        <v>2</v>
      </c>
      <c r="DQ222" s="563">
        <v>1</v>
      </c>
      <c r="DR222" s="563">
        <v>2</v>
      </c>
      <c r="DS222" s="563">
        <v>11.223044497810264</v>
      </c>
      <c r="DT222" s="650">
        <v>10590.984137431067</v>
      </c>
      <c r="DU222" s="563">
        <v>1</v>
      </c>
      <c r="DV222" s="563">
        <v>2</v>
      </c>
      <c r="DW222" s="563">
        <v>13.611447632218573</v>
      </c>
      <c r="DX222" s="650">
        <v>8115.0542781204776</v>
      </c>
      <c r="DY222" s="564">
        <v>4000</v>
      </c>
      <c r="DZ222" s="565">
        <v>76.445421237351638</v>
      </c>
      <c r="EA222" s="649">
        <v>1.5033660437720646</v>
      </c>
      <c r="EB222" s="646">
        <v>8.1378643573269329</v>
      </c>
      <c r="EC222" s="646">
        <v>6.6700101172581572E-2</v>
      </c>
      <c r="ED222" s="646">
        <v>0.1202382059931858</v>
      </c>
      <c r="EE222" s="646">
        <v>32.528825863783794</v>
      </c>
      <c r="EF222" s="646">
        <v>0.13394413160082647</v>
      </c>
      <c r="EG222" s="646">
        <v>3600</v>
      </c>
      <c r="EH222" s="563" t="s">
        <v>1585</v>
      </c>
      <c r="EI222" s="563">
        <v>2</v>
      </c>
      <c r="EJ222" s="563">
        <v>1</v>
      </c>
      <c r="EK222" s="563">
        <v>2</v>
      </c>
      <c r="EL222" s="563">
        <v>11.223044497810264</v>
      </c>
      <c r="EM222" s="650">
        <v>10590.984137431067</v>
      </c>
      <c r="EN222" s="563">
        <v>1</v>
      </c>
      <c r="EO222" s="563">
        <v>2</v>
      </c>
      <c r="EP222" s="563">
        <v>13.611447632218573</v>
      </c>
      <c r="EQ222" s="650">
        <v>8115.0542781204776</v>
      </c>
      <c r="ER222" s="564">
        <v>4000</v>
      </c>
      <c r="ES222" s="565">
        <v>76.445421237351638</v>
      </c>
      <c r="ET222" s="649">
        <v>1.5033660437720646</v>
      </c>
      <c r="EU222" s="646">
        <v>7.9509260501611649</v>
      </c>
      <c r="EV222" s="646">
        <v>0</v>
      </c>
      <c r="EW222" s="646">
        <v>0</v>
      </c>
      <c r="EX222" s="646">
        <v>32.118052112824763</v>
      </c>
      <c r="EY222" s="646">
        <v>0.12911645726690749</v>
      </c>
      <c r="EZ222" s="646">
        <v>3000</v>
      </c>
      <c r="FA222" s="563" t="s">
        <v>1587</v>
      </c>
      <c r="FB222" s="563">
        <v>2</v>
      </c>
      <c r="FC222" s="563">
        <v>0</v>
      </c>
      <c r="FD222" s="563">
        <v>0</v>
      </c>
      <c r="FE222" s="563">
        <v>0</v>
      </c>
      <c r="FF222" s="650">
        <v>5522.795688352734</v>
      </c>
      <c r="FG222" s="563">
        <v>0</v>
      </c>
      <c r="FH222" s="563">
        <v>0</v>
      </c>
      <c r="FI222" s="563">
        <v>0</v>
      </c>
      <c r="FJ222" s="650">
        <v>5729.2720457629448</v>
      </c>
      <c r="FK222" s="564">
        <v>4000</v>
      </c>
      <c r="FL222" s="565">
        <v>76.445421237351638</v>
      </c>
      <c r="FM222" s="649">
        <v>1.5033660437720646</v>
      </c>
      <c r="FN222" s="646">
        <v>7.9509260501611649</v>
      </c>
      <c r="FO222" s="646">
        <v>0</v>
      </c>
      <c r="FP222" s="646">
        <v>0</v>
      </c>
      <c r="FQ222" s="646">
        <v>32.118052112824763</v>
      </c>
      <c r="FR222" s="646">
        <v>0.12911645726690749</v>
      </c>
      <c r="FS222" s="646">
        <v>3600</v>
      </c>
      <c r="FT222" s="563" t="s">
        <v>1587</v>
      </c>
      <c r="FU222" s="563">
        <v>2</v>
      </c>
      <c r="FV222" s="563">
        <v>0</v>
      </c>
      <c r="FW222" s="563">
        <v>0</v>
      </c>
      <c r="FX222" s="563">
        <v>0</v>
      </c>
      <c r="FY222" s="650">
        <v>5522.795688352734</v>
      </c>
      <c r="FZ222" s="563">
        <v>0</v>
      </c>
      <c r="GA222" s="563">
        <v>0</v>
      </c>
      <c r="GB222" s="563">
        <v>0</v>
      </c>
      <c r="GC222" s="650">
        <v>5729.2720457629448</v>
      </c>
      <c r="GD222" s="564">
        <v>4000</v>
      </c>
      <c r="GE222" s="565">
        <v>76.445421237351638</v>
      </c>
      <c r="GF222" s="649">
        <v>1.5033660437720646</v>
      </c>
      <c r="GG222" s="646">
        <v>7.9509260501611649</v>
      </c>
      <c r="GH222" s="646">
        <v>0</v>
      </c>
      <c r="GI222" s="646">
        <v>0</v>
      </c>
      <c r="GJ222" s="646">
        <v>32.118052112824763</v>
      </c>
      <c r="GK222" s="646">
        <v>0.12911645726690749</v>
      </c>
      <c r="GL222" s="646">
        <v>3000</v>
      </c>
      <c r="GM222" s="563" t="s">
        <v>1587</v>
      </c>
      <c r="GN222" s="563">
        <v>2</v>
      </c>
      <c r="GO222" s="563">
        <v>0</v>
      </c>
      <c r="GP222" s="563">
        <v>0</v>
      </c>
      <c r="GQ222" s="563">
        <v>0</v>
      </c>
      <c r="GR222" s="650">
        <v>5522.795688352734</v>
      </c>
      <c r="GS222" s="563">
        <v>0</v>
      </c>
      <c r="GT222" s="563">
        <v>0</v>
      </c>
      <c r="GU222" s="563">
        <v>0</v>
      </c>
      <c r="GV222" s="650">
        <v>5729.2720457629448</v>
      </c>
      <c r="GW222" s="564">
        <v>4000</v>
      </c>
      <c r="GX222" s="565">
        <v>76.445421237351638</v>
      </c>
      <c r="GY222" s="649">
        <v>1.5033660437720646</v>
      </c>
      <c r="GZ222" s="646">
        <v>7.9509260501611649</v>
      </c>
      <c r="HA222" s="646">
        <v>0</v>
      </c>
      <c r="HB222" s="646">
        <v>0</v>
      </c>
      <c r="HC222" s="646">
        <v>32.118052112824763</v>
      </c>
      <c r="HD222" s="646">
        <v>0.12911645726690749</v>
      </c>
      <c r="HE222" s="646">
        <v>3600</v>
      </c>
      <c r="HF222" s="563" t="s">
        <v>1587</v>
      </c>
      <c r="HG222" s="563">
        <v>2</v>
      </c>
      <c r="HH222" s="563">
        <v>0</v>
      </c>
      <c r="HI222" s="563">
        <v>0</v>
      </c>
      <c r="HJ222" s="563">
        <v>0</v>
      </c>
      <c r="HK222" s="650">
        <v>5522.795688352734</v>
      </c>
      <c r="HL222" s="563">
        <v>0</v>
      </c>
      <c r="HM222" s="563">
        <v>0</v>
      </c>
      <c r="HN222" s="563">
        <v>0</v>
      </c>
      <c r="HO222" s="650">
        <v>5729.2720457629448</v>
      </c>
      <c r="HP222" s="564">
        <v>4000</v>
      </c>
      <c r="HQ222" s="565">
        <v>76.445421237351638</v>
      </c>
      <c r="HR222" s="649">
        <v>1.5033660437720646</v>
      </c>
      <c r="HS222" s="646">
        <v>7.9509260501611649</v>
      </c>
      <c r="HT222" s="646">
        <v>0</v>
      </c>
      <c r="HU222" s="646">
        <v>0</v>
      </c>
      <c r="HV222" s="646">
        <v>32.118052112824763</v>
      </c>
      <c r="HW222" s="646">
        <v>0.12911645726690749</v>
      </c>
      <c r="HX222" s="646">
        <v>3000</v>
      </c>
      <c r="HY222" s="563" t="s">
        <v>68</v>
      </c>
      <c r="HZ222" s="563">
        <v>2</v>
      </c>
      <c r="IA222" s="563">
        <v>0</v>
      </c>
      <c r="IB222" s="563">
        <v>0</v>
      </c>
      <c r="IC222" s="563">
        <v>0</v>
      </c>
      <c r="ID222" s="650">
        <v>4870.6479777337045</v>
      </c>
      <c r="IE222" s="563">
        <v>0</v>
      </c>
      <c r="IF222" s="563">
        <v>0</v>
      </c>
      <c r="IG222" s="563">
        <v>0</v>
      </c>
      <c r="IH222" s="650">
        <v>5052.7430088410074</v>
      </c>
      <c r="II222" s="564">
        <v>4000</v>
      </c>
      <c r="IJ222" s="565">
        <v>76.445421237351638</v>
      </c>
      <c r="IK222" s="649">
        <v>1.5033660437720646</v>
      </c>
      <c r="IL222" s="646">
        <v>7.9509260501611649</v>
      </c>
      <c r="IM222" s="646">
        <v>0</v>
      </c>
      <c r="IN222" s="646">
        <v>0</v>
      </c>
      <c r="IO222" s="646">
        <v>32.118052112824763</v>
      </c>
      <c r="IP222" s="646">
        <v>0.12911645726690749</v>
      </c>
      <c r="IQ222" s="646">
        <v>3600</v>
      </c>
      <c r="IR222" s="563" t="s">
        <v>68</v>
      </c>
      <c r="IS222" s="563">
        <v>2</v>
      </c>
      <c r="IT222" s="563">
        <v>0</v>
      </c>
      <c r="IU222" s="563">
        <v>0</v>
      </c>
      <c r="IV222" s="563">
        <v>0</v>
      </c>
      <c r="IW222" s="650">
        <v>4870.6479777337045</v>
      </c>
      <c r="IX222" s="563">
        <v>0</v>
      </c>
      <c r="IY222" s="563">
        <v>0</v>
      </c>
      <c r="IZ222" s="563">
        <v>0</v>
      </c>
      <c r="JA222" s="650">
        <v>5052.7430088410074</v>
      </c>
      <c r="JB222" s="564">
        <v>4000</v>
      </c>
      <c r="JC222" s="565">
        <v>76.445421237351638</v>
      </c>
      <c r="JD222" s="649">
        <v>1.5033660437720646</v>
      </c>
      <c r="JE222" s="646">
        <v>7.9509260501611649</v>
      </c>
      <c r="JF222" s="646">
        <v>0</v>
      </c>
      <c r="JG222" s="646">
        <v>0</v>
      </c>
      <c r="JH222" s="646">
        <v>32.118052112824763</v>
      </c>
      <c r="JI222" s="646">
        <v>0.12911645726690749</v>
      </c>
      <c r="JJ222" s="646">
        <v>3000</v>
      </c>
      <c r="JK222" s="563" t="s">
        <v>67</v>
      </c>
      <c r="JL222" s="563">
        <v>2</v>
      </c>
      <c r="JM222" s="563">
        <v>0</v>
      </c>
      <c r="JN222" s="563">
        <v>0</v>
      </c>
      <c r="JO222" s="563">
        <v>0</v>
      </c>
      <c r="JP222" s="650">
        <v>6637.5743460890735</v>
      </c>
      <c r="JQ222" s="563">
        <v>0</v>
      </c>
      <c r="JR222" s="563">
        <v>0</v>
      </c>
      <c r="JS222" s="563">
        <v>0</v>
      </c>
      <c r="JT222" s="650">
        <v>6885.7280440269224</v>
      </c>
      <c r="JU222" s="564">
        <v>4000</v>
      </c>
      <c r="JV222" s="565">
        <v>76.445421237351638</v>
      </c>
      <c r="JW222" s="649">
        <v>1.5033660437720646</v>
      </c>
      <c r="JX222" s="646">
        <v>7.9509260501611649</v>
      </c>
      <c r="JY222" s="646">
        <v>0</v>
      </c>
      <c r="JZ222" s="646">
        <v>0</v>
      </c>
      <c r="KA222" s="646">
        <v>32.118052112824763</v>
      </c>
      <c r="KB222" s="646">
        <v>0.12911645726690749</v>
      </c>
      <c r="KC222" s="646">
        <v>3600</v>
      </c>
      <c r="KD222" s="563" t="s">
        <v>67</v>
      </c>
      <c r="KE222" s="563">
        <v>2</v>
      </c>
      <c r="KF222" s="563">
        <v>0</v>
      </c>
      <c r="KG222" s="563">
        <v>0</v>
      </c>
      <c r="KH222" s="563">
        <v>0</v>
      </c>
      <c r="KI222" s="650">
        <v>6637.5743460890735</v>
      </c>
      <c r="KJ222" s="563">
        <v>0</v>
      </c>
      <c r="KK222" s="563">
        <v>0</v>
      </c>
      <c r="KL222" s="563">
        <v>0</v>
      </c>
      <c r="KM222" s="650">
        <v>6885.7280440269224</v>
      </c>
      <c r="KN222" s="564">
        <v>4000</v>
      </c>
      <c r="KO222" s="566">
        <v>76.445421237351638</v>
      </c>
    </row>
    <row r="223" spans="1:301" ht="15" customHeight="1">
      <c r="A223" s="782" t="s">
        <v>972</v>
      </c>
      <c r="B223" s="629" t="s">
        <v>382</v>
      </c>
      <c r="C223" s="629">
        <v>246.6</v>
      </c>
      <c r="D223" s="629">
        <v>365</v>
      </c>
      <c r="E223" s="629"/>
      <c r="F223" s="629"/>
      <c r="G223" s="629">
        <v>28</v>
      </c>
      <c r="H223" s="629">
        <v>100</v>
      </c>
      <c r="I223" s="629">
        <v>100</v>
      </c>
      <c r="J223" s="629">
        <v>131.4</v>
      </c>
      <c r="K223" s="629">
        <v>65.47</v>
      </c>
      <c r="L223" s="629">
        <v>16</v>
      </c>
      <c r="M223" s="629">
        <v>59.847374353983454</v>
      </c>
      <c r="N223" s="629">
        <v>2</v>
      </c>
      <c r="O223" s="623">
        <v>1.6427643240024132</v>
      </c>
      <c r="P223" s="629">
        <v>2</v>
      </c>
      <c r="Q223" s="623">
        <v>0.41924553962155792</v>
      </c>
      <c r="R223" s="629">
        <v>7</v>
      </c>
      <c r="S223" s="629">
        <v>315</v>
      </c>
      <c r="T223" s="645">
        <v>4.2823157453329941</v>
      </c>
      <c r="U223" s="645">
        <v>47.25</v>
      </c>
      <c r="V223" s="645">
        <v>10</v>
      </c>
      <c r="W223" s="793">
        <v>0.10323439743213468</v>
      </c>
      <c r="X223" s="646">
        <v>0</v>
      </c>
      <c r="Y223" s="646">
        <v>0</v>
      </c>
      <c r="Z223" s="646">
        <v>0</v>
      </c>
      <c r="AA223" s="646">
        <v>0</v>
      </c>
      <c r="AB223" s="647">
        <v>0.78677936416734717</v>
      </c>
      <c r="AC223" s="784">
        <v>4000</v>
      </c>
      <c r="AD223" s="631"/>
      <c r="AE223" s="631"/>
      <c r="AF223" s="631"/>
      <c r="AG223" s="631"/>
      <c r="AH223" s="629"/>
      <c r="AI223" s="648">
        <v>0.51452770413257976</v>
      </c>
      <c r="AJ223" s="649">
        <v>1.5033660437720646</v>
      </c>
      <c r="AK223" s="646">
        <v>7.9509260501611649</v>
      </c>
      <c r="AL223" s="646">
        <v>0</v>
      </c>
      <c r="AM223" s="646">
        <v>0</v>
      </c>
      <c r="AN223" s="646">
        <v>32.118052112824763</v>
      </c>
      <c r="AO223" s="646">
        <v>0.12911645726690749</v>
      </c>
      <c r="AP223" s="801">
        <v>3000</v>
      </c>
      <c r="AQ223" s="563" t="s">
        <v>67</v>
      </c>
      <c r="AR223" s="563">
        <v>2</v>
      </c>
      <c r="AS223" s="563">
        <v>0</v>
      </c>
      <c r="AT223" s="563">
        <v>0</v>
      </c>
      <c r="AU223" s="563">
        <v>0</v>
      </c>
      <c r="AV223" s="650">
        <v>6637.5743460890735</v>
      </c>
      <c r="AW223" s="563">
        <v>0</v>
      </c>
      <c r="AX223" s="563">
        <v>0</v>
      </c>
      <c r="AY223" s="563">
        <v>0</v>
      </c>
      <c r="AZ223" s="650">
        <v>6885.7280440269224</v>
      </c>
      <c r="BA223" s="564">
        <v>4000</v>
      </c>
      <c r="BB223" s="565">
        <v>76.445421237351638</v>
      </c>
      <c r="BC223" s="649">
        <v>1.5033660437720646</v>
      </c>
      <c r="BD223" s="646">
        <v>7.9509260501611649</v>
      </c>
      <c r="BE223" s="646">
        <v>0</v>
      </c>
      <c r="BF223" s="646">
        <v>0</v>
      </c>
      <c r="BG223" s="646">
        <v>32.118052112824763</v>
      </c>
      <c r="BH223" s="646">
        <v>0.12911645726690749</v>
      </c>
      <c r="BI223" s="646">
        <v>3600</v>
      </c>
      <c r="BJ223" s="563" t="s">
        <v>67</v>
      </c>
      <c r="BK223" s="563">
        <v>2</v>
      </c>
      <c r="BL223" s="563">
        <v>0</v>
      </c>
      <c r="BM223" s="563">
        <v>0</v>
      </c>
      <c r="BN223" s="563">
        <v>0</v>
      </c>
      <c r="BO223" s="650">
        <v>6637.5743460890735</v>
      </c>
      <c r="BP223" s="563">
        <v>0</v>
      </c>
      <c r="BQ223" s="563">
        <v>0</v>
      </c>
      <c r="BR223" s="563">
        <v>0</v>
      </c>
      <c r="BS223" s="650">
        <v>6885.7280440269224</v>
      </c>
      <c r="BT223" s="564">
        <v>4000</v>
      </c>
      <c r="BU223" s="565">
        <v>76.445421237351638</v>
      </c>
      <c r="BV223" s="649">
        <v>2.2550490656580968</v>
      </c>
      <c r="BW223" s="646">
        <v>8.9830165327958476</v>
      </c>
      <c r="BX223" s="646">
        <v>0.10005015175887237</v>
      </c>
      <c r="BY223" s="646">
        <v>0.1803573089897787</v>
      </c>
      <c r="BZ223" s="646">
        <v>34.172572235095856</v>
      </c>
      <c r="CA223" s="646">
        <v>0.15458971723993226</v>
      </c>
      <c r="CB223" s="646">
        <v>3000</v>
      </c>
      <c r="CC223" s="563" t="s">
        <v>1584</v>
      </c>
      <c r="CD223" s="563">
        <v>3</v>
      </c>
      <c r="CE223" s="563">
        <v>1</v>
      </c>
      <c r="CF223" s="563">
        <v>3</v>
      </c>
      <c r="CG223" s="563">
        <v>11.223044497810264</v>
      </c>
      <c r="CH223" s="650">
        <v>9552.8053914492339</v>
      </c>
      <c r="CI223" s="563">
        <v>1</v>
      </c>
      <c r="CJ223" s="563">
        <v>3</v>
      </c>
      <c r="CK223" s="563">
        <v>13.611447632218573</v>
      </c>
      <c r="CL223" s="650">
        <v>7319.5779782119444</v>
      </c>
      <c r="CM223" s="564">
        <v>4000</v>
      </c>
      <c r="CN223" s="565">
        <v>76.445421237351638</v>
      </c>
      <c r="CO223" s="649">
        <v>2.2550490656580968</v>
      </c>
      <c r="CP223" s="646">
        <v>8.9830165327958476</v>
      </c>
      <c r="CQ223" s="646">
        <v>0.10005015175887237</v>
      </c>
      <c r="CR223" s="646">
        <v>0.1803573089897787</v>
      </c>
      <c r="CS223" s="646">
        <v>34.172572235095856</v>
      </c>
      <c r="CT223" s="646">
        <v>0.15458971723993226</v>
      </c>
      <c r="CU223" s="646">
        <v>3600</v>
      </c>
      <c r="CV223" s="563" t="s">
        <v>1584</v>
      </c>
      <c r="CW223" s="563">
        <v>3</v>
      </c>
      <c r="CX223" s="563">
        <v>1</v>
      </c>
      <c r="CY223" s="563">
        <v>3</v>
      </c>
      <c r="CZ223" s="563">
        <v>11.223044497810264</v>
      </c>
      <c r="DA223" s="650">
        <v>9552.8053914492339</v>
      </c>
      <c r="DB223" s="563">
        <v>1</v>
      </c>
      <c r="DC223" s="563">
        <v>3</v>
      </c>
      <c r="DD223" s="563">
        <v>13.611447632218573</v>
      </c>
      <c r="DE223" s="650">
        <v>7319.5779782119444</v>
      </c>
      <c r="DF223" s="564">
        <v>4000</v>
      </c>
      <c r="DG223" s="565">
        <v>76.445421237351638</v>
      </c>
      <c r="DH223" s="649">
        <v>1.5033660437720646</v>
      </c>
      <c r="DI223" s="646">
        <v>8.1378643573269329</v>
      </c>
      <c r="DJ223" s="646">
        <v>6.6700101172581572E-2</v>
      </c>
      <c r="DK223" s="646">
        <v>0.1202382059931858</v>
      </c>
      <c r="DL223" s="646">
        <v>32.528825863783794</v>
      </c>
      <c r="DM223" s="646">
        <v>0.13394413160082647</v>
      </c>
      <c r="DN223" s="646">
        <v>3000</v>
      </c>
      <c r="DO223" s="563" t="s">
        <v>1585</v>
      </c>
      <c r="DP223" s="563">
        <v>2</v>
      </c>
      <c r="DQ223" s="563">
        <v>1</v>
      </c>
      <c r="DR223" s="563">
        <v>2</v>
      </c>
      <c r="DS223" s="563">
        <v>11.223044497810264</v>
      </c>
      <c r="DT223" s="650">
        <v>10590.984137431067</v>
      </c>
      <c r="DU223" s="563">
        <v>1</v>
      </c>
      <c r="DV223" s="563">
        <v>2</v>
      </c>
      <c r="DW223" s="563">
        <v>13.611447632218573</v>
      </c>
      <c r="DX223" s="650">
        <v>8115.0542781204776</v>
      </c>
      <c r="DY223" s="564">
        <v>4000</v>
      </c>
      <c r="DZ223" s="565">
        <v>76.445421237351638</v>
      </c>
      <c r="EA223" s="649">
        <v>1.5033660437720646</v>
      </c>
      <c r="EB223" s="646">
        <v>8.1378643573269329</v>
      </c>
      <c r="EC223" s="646">
        <v>6.6700101172581572E-2</v>
      </c>
      <c r="ED223" s="646">
        <v>0.1202382059931858</v>
      </c>
      <c r="EE223" s="646">
        <v>32.528825863783794</v>
      </c>
      <c r="EF223" s="646">
        <v>0.13394413160082647</v>
      </c>
      <c r="EG223" s="646">
        <v>3600</v>
      </c>
      <c r="EH223" s="563" t="s">
        <v>1585</v>
      </c>
      <c r="EI223" s="563">
        <v>2</v>
      </c>
      <c r="EJ223" s="563">
        <v>1</v>
      </c>
      <c r="EK223" s="563">
        <v>2</v>
      </c>
      <c r="EL223" s="563">
        <v>11.223044497810264</v>
      </c>
      <c r="EM223" s="650">
        <v>10590.984137431067</v>
      </c>
      <c r="EN223" s="563">
        <v>1</v>
      </c>
      <c r="EO223" s="563">
        <v>2</v>
      </c>
      <c r="EP223" s="563">
        <v>13.611447632218573</v>
      </c>
      <c r="EQ223" s="650">
        <v>8115.0542781204776</v>
      </c>
      <c r="ER223" s="564">
        <v>4000</v>
      </c>
      <c r="ES223" s="565">
        <v>76.445421237351638</v>
      </c>
      <c r="ET223" s="649">
        <v>1.5033660437720646</v>
      </c>
      <c r="EU223" s="646">
        <v>7.9509260501611649</v>
      </c>
      <c r="EV223" s="646">
        <v>0</v>
      </c>
      <c r="EW223" s="646">
        <v>0</v>
      </c>
      <c r="EX223" s="646">
        <v>32.118052112824763</v>
      </c>
      <c r="EY223" s="646">
        <v>0.12911645726690749</v>
      </c>
      <c r="EZ223" s="646">
        <v>3000</v>
      </c>
      <c r="FA223" s="563" t="s">
        <v>1587</v>
      </c>
      <c r="FB223" s="563">
        <v>2</v>
      </c>
      <c r="FC223" s="563">
        <v>0</v>
      </c>
      <c r="FD223" s="563">
        <v>0</v>
      </c>
      <c r="FE223" s="563">
        <v>0</v>
      </c>
      <c r="FF223" s="650">
        <v>5522.795688352734</v>
      </c>
      <c r="FG223" s="563">
        <v>0</v>
      </c>
      <c r="FH223" s="563">
        <v>0</v>
      </c>
      <c r="FI223" s="563">
        <v>0</v>
      </c>
      <c r="FJ223" s="650">
        <v>5729.2720457629448</v>
      </c>
      <c r="FK223" s="564">
        <v>4000</v>
      </c>
      <c r="FL223" s="565">
        <v>76.445421237351638</v>
      </c>
      <c r="FM223" s="649">
        <v>1.5033660437720646</v>
      </c>
      <c r="FN223" s="646">
        <v>7.9509260501611649</v>
      </c>
      <c r="FO223" s="646">
        <v>0</v>
      </c>
      <c r="FP223" s="646">
        <v>0</v>
      </c>
      <c r="FQ223" s="646">
        <v>32.118052112824763</v>
      </c>
      <c r="FR223" s="646">
        <v>0.12911645726690749</v>
      </c>
      <c r="FS223" s="646">
        <v>3600</v>
      </c>
      <c r="FT223" s="563" t="s">
        <v>1587</v>
      </c>
      <c r="FU223" s="563">
        <v>2</v>
      </c>
      <c r="FV223" s="563">
        <v>0</v>
      </c>
      <c r="FW223" s="563">
        <v>0</v>
      </c>
      <c r="FX223" s="563">
        <v>0</v>
      </c>
      <c r="FY223" s="650">
        <v>5522.795688352734</v>
      </c>
      <c r="FZ223" s="563">
        <v>0</v>
      </c>
      <c r="GA223" s="563">
        <v>0</v>
      </c>
      <c r="GB223" s="563">
        <v>0</v>
      </c>
      <c r="GC223" s="650">
        <v>5729.2720457629448</v>
      </c>
      <c r="GD223" s="564">
        <v>4000</v>
      </c>
      <c r="GE223" s="565">
        <v>76.445421237351638</v>
      </c>
      <c r="GF223" s="649">
        <v>1.5033660437720646</v>
      </c>
      <c r="GG223" s="646">
        <v>7.9509260501611649</v>
      </c>
      <c r="GH223" s="646">
        <v>0</v>
      </c>
      <c r="GI223" s="646">
        <v>0</v>
      </c>
      <c r="GJ223" s="646">
        <v>32.118052112824763</v>
      </c>
      <c r="GK223" s="646">
        <v>0.12911645726690749</v>
      </c>
      <c r="GL223" s="646">
        <v>3000</v>
      </c>
      <c r="GM223" s="563" t="s">
        <v>1587</v>
      </c>
      <c r="GN223" s="563">
        <v>2</v>
      </c>
      <c r="GO223" s="563">
        <v>0</v>
      </c>
      <c r="GP223" s="563">
        <v>0</v>
      </c>
      <c r="GQ223" s="563">
        <v>0</v>
      </c>
      <c r="GR223" s="650">
        <v>5522.795688352734</v>
      </c>
      <c r="GS223" s="563">
        <v>0</v>
      </c>
      <c r="GT223" s="563">
        <v>0</v>
      </c>
      <c r="GU223" s="563">
        <v>0</v>
      </c>
      <c r="GV223" s="650">
        <v>5729.2720457629448</v>
      </c>
      <c r="GW223" s="564">
        <v>4000</v>
      </c>
      <c r="GX223" s="565">
        <v>76.445421237351638</v>
      </c>
      <c r="GY223" s="649">
        <v>1.5033660437720646</v>
      </c>
      <c r="GZ223" s="646">
        <v>7.9509260501611649</v>
      </c>
      <c r="HA223" s="646">
        <v>0</v>
      </c>
      <c r="HB223" s="646">
        <v>0</v>
      </c>
      <c r="HC223" s="646">
        <v>32.118052112824763</v>
      </c>
      <c r="HD223" s="646">
        <v>0.12911645726690749</v>
      </c>
      <c r="HE223" s="646">
        <v>3600</v>
      </c>
      <c r="HF223" s="563" t="s">
        <v>1587</v>
      </c>
      <c r="HG223" s="563">
        <v>2</v>
      </c>
      <c r="HH223" s="563">
        <v>0</v>
      </c>
      <c r="HI223" s="563">
        <v>0</v>
      </c>
      <c r="HJ223" s="563">
        <v>0</v>
      </c>
      <c r="HK223" s="650">
        <v>5522.795688352734</v>
      </c>
      <c r="HL223" s="563">
        <v>0</v>
      </c>
      <c r="HM223" s="563">
        <v>0</v>
      </c>
      <c r="HN223" s="563">
        <v>0</v>
      </c>
      <c r="HO223" s="650">
        <v>5729.2720457629448</v>
      </c>
      <c r="HP223" s="564">
        <v>4000</v>
      </c>
      <c r="HQ223" s="565">
        <v>76.445421237351638</v>
      </c>
      <c r="HR223" s="649">
        <v>1.5033660437720646</v>
      </c>
      <c r="HS223" s="646">
        <v>7.9509260501611649</v>
      </c>
      <c r="HT223" s="646">
        <v>0</v>
      </c>
      <c r="HU223" s="646">
        <v>0</v>
      </c>
      <c r="HV223" s="646">
        <v>32.118052112824763</v>
      </c>
      <c r="HW223" s="646">
        <v>0.12911645726690749</v>
      </c>
      <c r="HX223" s="646">
        <v>3000</v>
      </c>
      <c r="HY223" s="563" t="s">
        <v>68</v>
      </c>
      <c r="HZ223" s="563">
        <v>2</v>
      </c>
      <c r="IA223" s="563">
        <v>0</v>
      </c>
      <c r="IB223" s="563">
        <v>0</v>
      </c>
      <c r="IC223" s="563">
        <v>0</v>
      </c>
      <c r="ID223" s="650">
        <v>4870.6479777337045</v>
      </c>
      <c r="IE223" s="563">
        <v>0</v>
      </c>
      <c r="IF223" s="563">
        <v>0</v>
      </c>
      <c r="IG223" s="563">
        <v>0</v>
      </c>
      <c r="IH223" s="650">
        <v>5052.7430088410074</v>
      </c>
      <c r="II223" s="564">
        <v>4000</v>
      </c>
      <c r="IJ223" s="565">
        <v>76.445421237351638</v>
      </c>
      <c r="IK223" s="649">
        <v>1.5033660437720646</v>
      </c>
      <c r="IL223" s="646">
        <v>7.9509260501611649</v>
      </c>
      <c r="IM223" s="646">
        <v>0</v>
      </c>
      <c r="IN223" s="646">
        <v>0</v>
      </c>
      <c r="IO223" s="646">
        <v>32.118052112824763</v>
      </c>
      <c r="IP223" s="646">
        <v>0.12911645726690749</v>
      </c>
      <c r="IQ223" s="646">
        <v>3600</v>
      </c>
      <c r="IR223" s="563" t="s">
        <v>68</v>
      </c>
      <c r="IS223" s="563">
        <v>2</v>
      </c>
      <c r="IT223" s="563">
        <v>0</v>
      </c>
      <c r="IU223" s="563">
        <v>0</v>
      </c>
      <c r="IV223" s="563">
        <v>0</v>
      </c>
      <c r="IW223" s="650">
        <v>4870.6479777337045</v>
      </c>
      <c r="IX223" s="563">
        <v>0</v>
      </c>
      <c r="IY223" s="563">
        <v>0</v>
      </c>
      <c r="IZ223" s="563">
        <v>0</v>
      </c>
      <c r="JA223" s="650">
        <v>5052.7430088410074</v>
      </c>
      <c r="JB223" s="564">
        <v>4000</v>
      </c>
      <c r="JC223" s="565">
        <v>76.445421237351638</v>
      </c>
      <c r="JD223" s="649">
        <v>1.5033660437720646</v>
      </c>
      <c r="JE223" s="646">
        <v>7.9509260501611649</v>
      </c>
      <c r="JF223" s="646">
        <v>0</v>
      </c>
      <c r="JG223" s="646">
        <v>0</v>
      </c>
      <c r="JH223" s="646">
        <v>32.118052112824763</v>
      </c>
      <c r="JI223" s="646">
        <v>0.12911645726690749</v>
      </c>
      <c r="JJ223" s="646">
        <v>3000</v>
      </c>
      <c r="JK223" s="563" t="s">
        <v>67</v>
      </c>
      <c r="JL223" s="563">
        <v>2</v>
      </c>
      <c r="JM223" s="563">
        <v>0</v>
      </c>
      <c r="JN223" s="563">
        <v>0</v>
      </c>
      <c r="JO223" s="563">
        <v>0</v>
      </c>
      <c r="JP223" s="650">
        <v>6637.5743460890735</v>
      </c>
      <c r="JQ223" s="563">
        <v>0</v>
      </c>
      <c r="JR223" s="563">
        <v>0</v>
      </c>
      <c r="JS223" s="563">
        <v>0</v>
      </c>
      <c r="JT223" s="650">
        <v>6885.7280440269224</v>
      </c>
      <c r="JU223" s="564">
        <v>4000</v>
      </c>
      <c r="JV223" s="565">
        <v>76.445421237351638</v>
      </c>
      <c r="JW223" s="649">
        <v>1.5033660437720646</v>
      </c>
      <c r="JX223" s="646">
        <v>7.9509260501611649</v>
      </c>
      <c r="JY223" s="646">
        <v>0</v>
      </c>
      <c r="JZ223" s="646">
        <v>0</v>
      </c>
      <c r="KA223" s="646">
        <v>32.118052112824763</v>
      </c>
      <c r="KB223" s="646">
        <v>0.12911645726690749</v>
      </c>
      <c r="KC223" s="646">
        <v>3600</v>
      </c>
      <c r="KD223" s="563" t="s">
        <v>67</v>
      </c>
      <c r="KE223" s="563">
        <v>2</v>
      </c>
      <c r="KF223" s="563">
        <v>0</v>
      </c>
      <c r="KG223" s="563">
        <v>0</v>
      </c>
      <c r="KH223" s="563">
        <v>0</v>
      </c>
      <c r="KI223" s="650">
        <v>6637.5743460890735</v>
      </c>
      <c r="KJ223" s="563">
        <v>0</v>
      </c>
      <c r="KK223" s="563">
        <v>0</v>
      </c>
      <c r="KL223" s="563">
        <v>0</v>
      </c>
      <c r="KM223" s="650">
        <v>6885.7280440269224</v>
      </c>
      <c r="KN223" s="564">
        <v>4000</v>
      </c>
      <c r="KO223" s="566">
        <v>76.445421237351638</v>
      </c>
    </row>
    <row r="224" spans="1:301" ht="15" customHeight="1">
      <c r="A224" s="782" t="s">
        <v>973</v>
      </c>
      <c r="B224" s="629" t="s">
        <v>382</v>
      </c>
      <c r="C224" s="629">
        <v>306.86</v>
      </c>
      <c r="D224" s="629">
        <v>425</v>
      </c>
      <c r="E224" s="629"/>
      <c r="F224" s="629"/>
      <c r="G224" s="629">
        <v>28</v>
      </c>
      <c r="H224" s="629">
        <v>130</v>
      </c>
      <c r="I224" s="629">
        <v>130</v>
      </c>
      <c r="J224" s="629">
        <v>131.25</v>
      </c>
      <c r="K224" s="629">
        <v>66.25</v>
      </c>
      <c r="L224" s="629">
        <v>16</v>
      </c>
      <c r="M224" s="629">
        <v>59.76558108990303</v>
      </c>
      <c r="N224" s="629">
        <v>2</v>
      </c>
      <c r="O224" s="623">
        <v>2.2272419292395265</v>
      </c>
      <c r="P224" s="629">
        <v>2</v>
      </c>
      <c r="Q224" s="623">
        <v>1.003723144858671</v>
      </c>
      <c r="R224" s="629">
        <v>9</v>
      </c>
      <c r="S224" s="629">
        <v>315</v>
      </c>
      <c r="T224" s="645">
        <v>5.5058345297138498</v>
      </c>
      <c r="U224" s="645">
        <v>47.25</v>
      </c>
      <c r="V224" s="645">
        <v>10</v>
      </c>
      <c r="W224" s="793">
        <v>0.10323439743213468</v>
      </c>
      <c r="X224" s="646">
        <v>0</v>
      </c>
      <c r="Y224" s="646">
        <v>0</v>
      </c>
      <c r="Z224" s="646">
        <v>0</v>
      </c>
      <c r="AA224" s="646">
        <v>0</v>
      </c>
      <c r="AB224" s="647">
        <v>0.90929071283213914</v>
      </c>
      <c r="AC224" s="784">
        <v>4000</v>
      </c>
      <c r="AD224" s="631"/>
      <c r="AE224" s="631"/>
      <c r="AF224" s="631"/>
      <c r="AG224" s="631"/>
      <c r="AH224" s="629"/>
      <c r="AI224" s="648">
        <v>0.66816400224920391</v>
      </c>
      <c r="AJ224" s="649">
        <v>1.9517048160718737</v>
      </c>
      <c r="AK224" s="646">
        <v>10.791738817316055</v>
      </c>
      <c r="AL224" s="646">
        <v>0</v>
      </c>
      <c r="AM224" s="646">
        <v>0</v>
      </c>
      <c r="AN224" s="646">
        <v>41.021972626987889</v>
      </c>
      <c r="AO224" s="646">
        <v>0.22072613826110132</v>
      </c>
      <c r="AP224" s="801">
        <v>2000</v>
      </c>
      <c r="AQ224" s="563" t="s">
        <v>67</v>
      </c>
      <c r="AR224" s="563">
        <v>2</v>
      </c>
      <c r="AS224" s="563">
        <v>0</v>
      </c>
      <c r="AT224" s="563">
        <v>0</v>
      </c>
      <c r="AU224" s="563">
        <v>0</v>
      </c>
      <c r="AV224" s="650">
        <v>4488.003327473245</v>
      </c>
      <c r="AW224" s="563">
        <v>0</v>
      </c>
      <c r="AX224" s="563">
        <v>0</v>
      </c>
      <c r="AY224" s="563">
        <v>0</v>
      </c>
      <c r="AZ224" s="650">
        <v>4879.4343899908663</v>
      </c>
      <c r="BA224" s="564">
        <v>4000</v>
      </c>
      <c r="BB224" s="565">
        <v>89.011791851710797</v>
      </c>
      <c r="BC224" s="649">
        <v>1.9517048160718737</v>
      </c>
      <c r="BD224" s="646">
        <v>10.791738817316055</v>
      </c>
      <c r="BE224" s="646">
        <v>0</v>
      </c>
      <c r="BF224" s="646">
        <v>0</v>
      </c>
      <c r="BG224" s="646">
        <v>41.021972626987889</v>
      </c>
      <c r="BH224" s="646">
        <v>0.22072613826110132</v>
      </c>
      <c r="BI224" s="646">
        <v>2500</v>
      </c>
      <c r="BJ224" s="563" t="s">
        <v>67</v>
      </c>
      <c r="BK224" s="563">
        <v>2</v>
      </c>
      <c r="BL224" s="563">
        <v>0</v>
      </c>
      <c r="BM224" s="563">
        <v>0</v>
      </c>
      <c r="BN224" s="563">
        <v>0</v>
      </c>
      <c r="BO224" s="650">
        <v>4488.003327473245</v>
      </c>
      <c r="BP224" s="563">
        <v>0</v>
      </c>
      <c r="BQ224" s="563">
        <v>0</v>
      </c>
      <c r="BR224" s="563">
        <v>0</v>
      </c>
      <c r="BS224" s="650">
        <v>4879.4343899908663</v>
      </c>
      <c r="BT224" s="564">
        <v>4000</v>
      </c>
      <c r="BU224" s="565">
        <v>89.011791851710797</v>
      </c>
      <c r="BV224" s="649">
        <v>2.9275572241078107</v>
      </c>
      <c r="BW224" s="646">
        <v>11.892773995771329</v>
      </c>
      <c r="BX224" s="646">
        <v>0.1251827704193354</v>
      </c>
      <c r="BY224" s="646">
        <v>0</v>
      </c>
      <c r="BZ224" s="646">
        <v>43.241862760024723</v>
      </c>
      <c r="CA224" s="646">
        <v>0.25741576887875178</v>
      </c>
      <c r="CB224" s="646">
        <v>2000</v>
      </c>
      <c r="CC224" s="563" t="s">
        <v>1584</v>
      </c>
      <c r="CD224" s="563">
        <v>3</v>
      </c>
      <c r="CE224" s="563">
        <v>1</v>
      </c>
      <c r="CF224" s="563">
        <v>3</v>
      </c>
      <c r="CG224" s="563">
        <v>11.233535745125476</v>
      </c>
      <c r="CH224" s="650">
        <v>7596.5546185042331</v>
      </c>
      <c r="CI224" s="563">
        <v>0</v>
      </c>
      <c r="CJ224" s="563">
        <v>0</v>
      </c>
      <c r="CK224" s="563">
        <v>0</v>
      </c>
      <c r="CL224" s="650">
        <v>4057.5495143687099</v>
      </c>
      <c r="CM224" s="564">
        <v>4000</v>
      </c>
      <c r="CN224" s="565">
        <v>89.011791851710797</v>
      </c>
      <c r="CO224" s="649">
        <v>2.9275572241078107</v>
      </c>
      <c r="CP224" s="646">
        <v>11.892773995771329</v>
      </c>
      <c r="CQ224" s="646">
        <v>0.1251827704193354</v>
      </c>
      <c r="CR224" s="646">
        <v>0</v>
      </c>
      <c r="CS224" s="646">
        <v>43.241862760024723</v>
      </c>
      <c r="CT224" s="646">
        <v>0.25741576887875178</v>
      </c>
      <c r="CU224" s="646">
        <v>2500</v>
      </c>
      <c r="CV224" s="563" t="s">
        <v>1584</v>
      </c>
      <c r="CW224" s="563">
        <v>3</v>
      </c>
      <c r="CX224" s="563">
        <v>1</v>
      </c>
      <c r="CY224" s="563">
        <v>3</v>
      </c>
      <c r="CZ224" s="563">
        <v>11.233535745125476</v>
      </c>
      <c r="DA224" s="650">
        <v>7596.5546185042331</v>
      </c>
      <c r="DB224" s="563">
        <v>0</v>
      </c>
      <c r="DC224" s="563">
        <v>0</v>
      </c>
      <c r="DD224" s="563">
        <v>0</v>
      </c>
      <c r="DE224" s="650">
        <v>4057.5495143687099</v>
      </c>
      <c r="DF224" s="564">
        <v>4000</v>
      </c>
      <c r="DG224" s="565">
        <v>89.011791851710797</v>
      </c>
      <c r="DH224" s="649">
        <v>1.9517048160718737</v>
      </c>
      <c r="DI224" s="646">
        <v>10.791738817316055</v>
      </c>
      <c r="DJ224" s="646">
        <v>0</v>
      </c>
      <c r="DK224" s="646">
        <v>0</v>
      </c>
      <c r="DL224" s="646">
        <v>41.021972626987889</v>
      </c>
      <c r="DM224" s="646">
        <v>0.22072613826110132</v>
      </c>
      <c r="DN224" s="646">
        <v>2000</v>
      </c>
      <c r="DO224" s="563" t="s">
        <v>1585</v>
      </c>
      <c r="DP224" s="563">
        <v>2</v>
      </c>
      <c r="DQ224" s="563">
        <v>0</v>
      </c>
      <c r="DR224" s="563">
        <v>0</v>
      </c>
      <c r="DS224" s="563">
        <v>0</v>
      </c>
      <c r="DT224" s="650">
        <v>3023.4827831243988</v>
      </c>
      <c r="DU224" s="563">
        <v>0</v>
      </c>
      <c r="DV224" s="563">
        <v>0</v>
      </c>
      <c r="DW224" s="563">
        <v>0</v>
      </c>
      <c r="DX224" s="650">
        <v>3287.1824713704896</v>
      </c>
      <c r="DY224" s="564">
        <v>3023.4827831243988</v>
      </c>
      <c r="DZ224" s="565">
        <v>67.281405039675064</v>
      </c>
      <c r="EA224" s="649">
        <v>1.9517048160718737</v>
      </c>
      <c r="EB224" s="646">
        <v>11.157262204361146</v>
      </c>
      <c r="EC224" s="646">
        <v>8.3455180279556937E-2</v>
      </c>
      <c r="ED224" s="646">
        <v>0.28206820676553263</v>
      </c>
      <c r="EE224" s="646">
        <v>41.807517469397112</v>
      </c>
      <c r="EF224" s="646">
        <v>0.23478362912209355</v>
      </c>
      <c r="EG224" s="646">
        <v>2500</v>
      </c>
      <c r="EH224" s="563" t="s">
        <v>1585</v>
      </c>
      <c r="EI224" s="563">
        <v>2</v>
      </c>
      <c r="EJ224" s="563">
        <v>1</v>
      </c>
      <c r="EK224" s="563">
        <v>2</v>
      </c>
      <c r="EL224" s="563">
        <v>11.233535745125476</v>
      </c>
      <c r="EM224" s="650">
        <v>8422.1321556202456</v>
      </c>
      <c r="EN224" s="563">
        <v>1</v>
      </c>
      <c r="EO224" s="563">
        <v>4</v>
      </c>
      <c r="EP224" s="563">
        <v>13.676030606958099</v>
      </c>
      <c r="EQ224" s="650">
        <v>7605.3054372829829</v>
      </c>
      <c r="ER224" s="564">
        <v>4000</v>
      </c>
      <c r="ES224" s="565">
        <v>89.011791851710797</v>
      </c>
      <c r="ET224" s="649">
        <v>1.9517048160718737</v>
      </c>
      <c r="EU224" s="646">
        <v>10.791738817316055</v>
      </c>
      <c r="EV224" s="646">
        <v>0</v>
      </c>
      <c r="EW224" s="646">
        <v>0</v>
      </c>
      <c r="EX224" s="646">
        <v>41.021972626987889</v>
      </c>
      <c r="EY224" s="646">
        <v>0.22072613826110132</v>
      </c>
      <c r="EZ224" s="646">
        <v>2000</v>
      </c>
      <c r="FA224" s="563" t="s">
        <v>1586</v>
      </c>
      <c r="FB224" s="563">
        <v>2</v>
      </c>
      <c r="FC224" s="563">
        <v>0</v>
      </c>
      <c r="FD224" s="563">
        <v>0</v>
      </c>
      <c r="FE224" s="563">
        <v>0</v>
      </c>
      <c r="FF224" s="650">
        <v>3173.4975868484098</v>
      </c>
      <c r="FG224" s="563">
        <v>0</v>
      </c>
      <c r="FH224" s="563">
        <v>0</v>
      </c>
      <c r="FI224" s="563">
        <v>0</v>
      </c>
      <c r="FJ224" s="650">
        <v>3450.2811455220481</v>
      </c>
      <c r="FK224" s="564">
        <v>3173.4975868484098</v>
      </c>
      <c r="FL224" s="565">
        <v>70.619676660614289</v>
      </c>
      <c r="FM224" s="649">
        <v>1.9517048160718737</v>
      </c>
      <c r="FN224" s="646">
        <v>10.791738817316055</v>
      </c>
      <c r="FO224" s="646">
        <v>0</v>
      </c>
      <c r="FP224" s="646">
        <v>0</v>
      </c>
      <c r="FQ224" s="646">
        <v>41.021972626987889</v>
      </c>
      <c r="FR224" s="646">
        <v>0.22072613826110132</v>
      </c>
      <c r="FS224" s="646">
        <v>2500</v>
      </c>
      <c r="FT224" s="563" t="s">
        <v>1587</v>
      </c>
      <c r="FU224" s="563">
        <v>2</v>
      </c>
      <c r="FV224" s="563">
        <v>0</v>
      </c>
      <c r="FW224" s="563">
        <v>0</v>
      </c>
      <c r="FX224" s="563">
        <v>0</v>
      </c>
      <c r="FY224" s="650">
        <v>3734.2444896133361</v>
      </c>
      <c r="FZ224" s="563">
        <v>0</v>
      </c>
      <c r="GA224" s="563">
        <v>0</v>
      </c>
      <c r="GB224" s="563">
        <v>0</v>
      </c>
      <c r="GC224" s="650">
        <v>4059.9348203940963</v>
      </c>
      <c r="GD224" s="564">
        <v>3734.2444896133361</v>
      </c>
      <c r="GE224" s="565">
        <v>83.097948308215081</v>
      </c>
      <c r="GF224" s="649">
        <v>1.9517048160718737</v>
      </c>
      <c r="GG224" s="646">
        <v>10.791738817316055</v>
      </c>
      <c r="GH224" s="646">
        <v>0</v>
      </c>
      <c r="GI224" s="646">
        <v>0</v>
      </c>
      <c r="GJ224" s="646">
        <v>41.021972626987889</v>
      </c>
      <c r="GK224" s="646">
        <v>0.22072613826110132</v>
      </c>
      <c r="GL224" s="646">
        <v>2000</v>
      </c>
      <c r="GM224" s="563" t="s">
        <v>1587</v>
      </c>
      <c r="GN224" s="563">
        <v>2</v>
      </c>
      <c r="GO224" s="563">
        <v>0</v>
      </c>
      <c r="GP224" s="563">
        <v>0</v>
      </c>
      <c r="GQ224" s="563">
        <v>0</v>
      </c>
      <c r="GR224" s="650">
        <v>3734.2444896133361</v>
      </c>
      <c r="GS224" s="563">
        <v>0</v>
      </c>
      <c r="GT224" s="563">
        <v>0</v>
      </c>
      <c r="GU224" s="563">
        <v>0</v>
      </c>
      <c r="GV224" s="650">
        <v>4059.9348203940963</v>
      </c>
      <c r="GW224" s="564">
        <v>3734.2444896133361</v>
      </c>
      <c r="GX224" s="565">
        <v>83.097948308215081</v>
      </c>
      <c r="GY224" s="649">
        <v>1.9517048160718737</v>
      </c>
      <c r="GZ224" s="646">
        <v>10.791738817316055</v>
      </c>
      <c r="HA224" s="646">
        <v>0</v>
      </c>
      <c r="HB224" s="646">
        <v>0</v>
      </c>
      <c r="HC224" s="646">
        <v>41.021972626987889</v>
      </c>
      <c r="HD224" s="646">
        <v>0.22072613826110132</v>
      </c>
      <c r="HE224" s="646">
        <v>2500</v>
      </c>
      <c r="HF224" s="563" t="s">
        <v>1587</v>
      </c>
      <c r="HG224" s="563">
        <v>2</v>
      </c>
      <c r="HH224" s="563">
        <v>0</v>
      </c>
      <c r="HI224" s="563">
        <v>0</v>
      </c>
      <c r="HJ224" s="563">
        <v>0</v>
      </c>
      <c r="HK224" s="650">
        <v>3734.2444896133361</v>
      </c>
      <c r="HL224" s="563">
        <v>0</v>
      </c>
      <c r="HM224" s="563">
        <v>0</v>
      </c>
      <c r="HN224" s="563">
        <v>0</v>
      </c>
      <c r="HO224" s="650">
        <v>4059.9348203940963</v>
      </c>
      <c r="HP224" s="564">
        <v>3734.2444896133361</v>
      </c>
      <c r="HQ224" s="565">
        <v>83.097948308215081</v>
      </c>
      <c r="HR224" s="649">
        <v>1.9517048160718737</v>
      </c>
      <c r="HS224" s="646">
        <v>10.791738817316055</v>
      </c>
      <c r="HT224" s="646">
        <v>0</v>
      </c>
      <c r="HU224" s="646">
        <v>0</v>
      </c>
      <c r="HV224" s="646">
        <v>41.021972626987889</v>
      </c>
      <c r="HW224" s="646">
        <v>0.22072613826110132</v>
      </c>
      <c r="HX224" s="646">
        <v>2000</v>
      </c>
      <c r="HY224" s="563" t="s">
        <v>68</v>
      </c>
      <c r="HZ224" s="563">
        <v>2</v>
      </c>
      <c r="IA224" s="563">
        <v>0</v>
      </c>
      <c r="IB224" s="563">
        <v>0</v>
      </c>
      <c r="IC224" s="563">
        <v>0</v>
      </c>
      <c r="ID224" s="650">
        <v>3293.2940847478521</v>
      </c>
      <c r="IE224" s="563">
        <v>0</v>
      </c>
      <c r="IF224" s="563">
        <v>0</v>
      </c>
      <c r="IG224" s="563">
        <v>0</v>
      </c>
      <c r="IH224" s="650">
        <v>3580.5259579696594</v>
      </c>
      <c r="II224" s="564">
        <v>3293.2940847478521</v>
      </c>
      <c r="IJ224" s="565">
        <v>73.285501894511569</v>
      </c>
      <c r="IK224" s="649">
        <v>1.9517048160718737</v>
      </c>
      <c r="IL224" s="646">
        <v>10.791738817316055</v>
      </c>
      <c r="IM224" s="646">
        <v>0</v>
      </c>
      <c r="IN224" s="646">
        <v>0</v>
      </c>
      <c r="IO224" s="646">
        <v>41.021972626987889</v>
      </c>
      <c r="IP224" s="646">
        <v>0.22072613826110132</v>
      </c>
      <c r="IQ224" s="646">
        <v>2500</v>
      </c>
      <c r="IR224" s="563" t="s">
        <v>68</v>
      </c>
      <c r="IS224" s="563">
        <v>2</v>
      </c>
      <c r="IT224" s="563">
        <v>0</v>
      </c>
      <c r="IU224" s="563">
        <v>0</v>
      </c>
      <c r="IV224" s="563">
        <v>0</v>
      </c>
      <c r="IW224" s="650">
        <v>3293.2940847478521</v>
      </c>
      <c r="IX224" s="563">
        <v>0</v>
      </c>
      <c r="IY224" s="563">
        <v>0</v>
      </c>
      <c r="IZ224" s="563">
        <v>0</v>
      </c>
      <c r="JA224" s="650">
        <v>3580.5259579696594</v>
      </c>
      <c r="JB224" s="564">
        <v>3293.2940847478521</v>
      </c>
      <c r="JC224" s="565">
        <v>73.285501894511569</v>
      </c>
      <c r="JD224" s="649">
        <v>1.9517048160718737</v>
      </c>
      <c r="JE224" s="646">
        <v>10.791738817316055</v>
      </c>
      <c r="JF224" s="646">
        <v>0</v>
      </c>
      <c r="JG224" s="646">
        <v>0</v>
      </c>
      <c r="JH224" s="646">
        <v>41.021972626987889</v>
      </c>
      <c r="JI224" s="646">
        <v>0.22072613826110132</v>
      </c>
      <c r="JJ224" s="646">
        <v>2000</v>
      </c>
      <c r="JK224" s="563" t="s">
        <v>67</v>
      </c>
      <c r="JL224" s="563">
        <v>2</v>
      </c>
      <c r="JM224" s="563">
        <v>0</v>
      </c>
      <c r="JN224" s="563">
        <v>0</v>
      </c>
      <c r="JO224" s="563">
        <v>0</v>
      </c>
      <c r="JP224" s="650">
        <v>4488.003327473245</v>
      </c>
      <c r="JQ224" s="563">
        <v>0</v>
      </c>
      <c r="JR224" s="563">
        <v>0</v>
      </c>
      <c r="JS224" s="563">
        <v>0</v>
      </c>
      <c r="JT224" s="650">
        <v>4879.4343899908663</v>
      </c>
      <c r="JU224" s="564">
        <v>4000</v>
      </c>
      <c r="JV224" s="565">
        <v>89.011791851710797</v>
      </c>
      <c r="JW224" s="649">
        <v>1.9517048160718737</v>
      </c>
      <c r="JX224" s="646">
        <v>10.791738817316055</v>
      </c>
      <c r="JY224" s="646">
        <v>0</v>
      </c>
      <c r="JZ224" s="646">
        <v>0</v>
      </c>
      <c r="KA224" s="646">
        <v>41.021972626987889</v>
      </c>
      <c r="KB224" s="646">
        <v>0.22072613826110132</v>
      </c>
      <c r="KC224" s="646">
        <v>2500</v>
      </c>
      <c r="KD224" s="563" t="s">
        <v>67</v>
      </c>
      <c r="KE224" s="563">
        <v>2</v>
      </c>
      <c r="KF224" s="563">
        <v>0</v>
      </c>
      <c r="KG224" s="563">
        <v>0</v>
      </c>
      <c r="KH224" s="563">
        <v>0</v>
      </c>
      <c r="KI224" s="650">
        <v>4488.003327473245</v>
      </c>
      <c r="KJ224" s="563">
        <v>0</v>
      </c>
      <c r="KK224" s="563">
        <v>0</v>
      </c>
      <c r="KL224" s="563">
        <v>0</v>
      </c>
      <c r="KM224" s="650">
        <v>4879.4343899908663</v>
      </c>
      <c r="KN224" s="564">
        <v>4000</v>
      </c>
      <c r="KO224" s="566">
        <v>89.011791851710797</v>
      </c>
    </row>
    <row r="225" spans="1:301" ht="15" customHeight="1">
      <c r="A225" s="782" t="s">
        <v>974</v>
      </c>
      <c r="B225" s="629" t="s">
        <v>382</v>
      </c>
      <c r="C225" s="629">
        <v>306.86</v>
      </c>
      <c r="D225" s="629">
        <v>425</v>
      </c>
      <c r="E225" s="629"/>
      <c r="F225" s="629"/>
      <c r="G225" s="629">
        <v>28</v>
      </c>
      <c r="H225" s="629">
        <v>130</v>
      </c>
      <c r="I225" s="629">
        <v>130</v>
      </c>
      <c r="J225" s="629">
        <v>131.25</v>
      </c>
      <c r="K225" s="629">
        <v>66.25</v>
      </c>
      <c r="L225" s="629">
        <v>16</v>
      </c>
      <c r="M225" s="629">
        <v>59.76558108990303</v>
      </c>
      <c r="N225" s="629">
        <v>2</v>
      </c>
      <c r="O225" s="623">
        <v>2.2272419292395265</v>
      </c>
      <c r="P225" s="629">
        <v>2</v>
      </c>
      <c r="Q225" s="623">
        <v>1.003723144858671</v>
      </c>
      <c r="R225" s="629">
        <v>9</v>
      </c>
      <c r="S225" s="629">
        <v>315</v>
      </c>
      <c r="T225" s="645">
        <v>5.5058345297138498</v>
      </c>
      <c r="U225" s="645">
        <v>47.25</v>
      </c>
      <c r="V225" s="645">
        <v>10</v>
      </c>
      <c r="W225" s="793">
        <v>0.10323439743213468</v>
      </c>
      <c r="X225" s="646">
        <v>0</v>
      </c>
      <c r="Y225" s="646">
        <v>0</v>
      </c>
      <c r="Z225" s="646">
        <v>0</v>
      </c>
      <c r="AA225" s="646">
        <v>0</v>
      </c>
      <c r="AB225" s="647">
        <v>0.90929071283213914</v>
      </c>
      <c r="AC225" s="784">
        <v>4000</v>
      </c>
      <c r="AD225" s="631"/>
      <c r="AE225" s="631"/>
      <c r="AF225" s="631"/>
      <c r="AG225" s="631"/>
      <c r="AH225" s="629"/>
      <c r="AI225" s="648">
        <v>0.66816400224920391</v>
      </c>
      <c r="AJ225" s="649">
        <v>1.9517048160718737</v>
      </c>
      <c r="AK225" s="646">
        <v>10.791738817316055</v>
      </c>
      <c r="AL225" s="646">
        <v>0</v>
      </c>
      <c r="AM225" s="646">
        <v>0</v>
      </c>
      <c r="AN225" s="646">
        <v>41.021972626987889</v>
      </c>
      <c r="AO225" s="646">
        <v>0.22072613826110132</v>
      </c>
      <c r="AP225" s="801">
        <v>2000</v>
      </c>
      <c r="AQ225" s="563" t="s">
        <v>67</v>
      </c>
      <c r="AR225" s="563">
        <v>2</v>
      </c>
      <c r="AS225" s="563">
        <v>0</v>
      </c>
      <c r="AT225" s="563">
        <v>0</v>
      </c>
      <c r="AU225" s="563">
        <v>0</v>
      </c>
      <c r="AV225" s="650">
        <v>4488.003327473245</v>
      </c>
      <c r="AW225" s="563">
        <v>0</v>
      </c>
      <c r="AX225" s="563">
        <v>0</v>
      </c>
      <c r="AY225" s="563">
        <v>0</v>
      </c>
      <c r="AZ225" s="650">
        <v>4879.4343899908663</v>
      </c>
      <c r="BA225" s="564">
        <v>4000</v>
      </c>
      <c r="BB225" s="565">
        <v>89.011791851710797</v>
      </c>
      <c r="BC225" s="649">
        <v>1.9517048160718737</v>
      </c>
      <c r="BD225" s="646">
        <v>10.791738817316055</v>
      </c>
      <c r="BE225" s="646">
        <v>0</v>
      </c>
      <c r="BF225" s="646">
        <v>0</v>
      </c>
      <c r="BG225" s="646">
        <v>41.021972626987889</v>
      </c>
      <c r="BH225" s="646">
        <v>0.22072613826110132</v>
      </c>
      <c r="BI225" s="646">
        <v>2500</v>
      </c>
      <c r="BJ225" s="563" t="s">
        <v>67</v>
      </c>
      <c r="BK225" s="563">
        <v>2</v>
      </c>
      <c r="BL225" s="563">
        <v>0</v>
      </c>
      <c r="BM225" s="563">
        <v>0</v>
      </c>
      <c r="BN225" s="563">
        <v>0</v>
      </c>
      <c r="BO225" s="650">
        <v>4488.003327473245</v>
      </c>
      <c r="BP225" s="563">
        <v>0</v>
      </c>
      <c r="BQ225" s="563">
        <v>0</v>
      </c>
      <c r="BR225" s="563">
        <v>0</v>
      </c>
      <c r="BS225" s="650">
        <v>4879.4343899908663</v>
      </c>
      <c r="BT225" s="564">
        <v>4000</v>
      </c>
      <c r="BU225" s="565">
        <v>89.011791851710797</v>
      </c>
      <c r="BV225" s="649">
        <v>2.9275572241078107</v>
      </c>
      <c r="BW225" s="646">
        <v>11.892773995771329</v>
      </c>
      <c r="BX225" s="646">
        <v>0.1251827704193354</v>
      </c>
      <c r="BY225" s="646">
        <v>0</v>
      </c>
      <c r="BZ225" s="646">
        <v>43.241862760024723</v>
      </c>
      <c r="CA225" s="646">
        <v>0.25741576887875178</v>
      </c>
      <c r="CB225" s="646">
        <v>2000</v>
      </c>
      <c r="CC225" s="563" t="s">
        <v>1584</v>
      </c>
      <c r="CD225" s="563">
        <v>3</v>
      </c>
      <c r="CE225" s="563">
        <v>1</v>
      </c>
      <c r="CF225" s="563">
        <v>3</v>
      </c>
      <c r="CG225" s="563">
        <v>11.233535745125476</v>
      </c>
      <c r="CH225" s="650">
        <v>7596.5546185042331</v>
      </c>
      <c r="CI225" s="563">
        <v>0</v>
      </c>
      <c r="CJ225" s="563">
        <v>0</v>
      </c>
      <c r="CK225" s="563">
        <v>0</v>
      </c>
      <c r="CL225" s="650">
        <v>4057.5495143687099</v>
      </c>
      <c r="CM225" s="564">
        <v>4000</v>
      </c>
      <c r="CN225" s="565">
        <v>89.011791851710797</v>
      </c>
      <c r="CO225" s="649">
        <v>2.9275572241078107</v>
      </c>
      <c r="CP225" s="646">
        <v>11.892773995771329</v>
      </c>
      <c r="CQ225" s="646">
        <v>0.1251827704193354</v>
      </c>
      <c r="CR225" s="646">
        <v>0</v>
      </c>
      <c r="CS225" s="646">
        <v>43.241862760024723</v>
      </c>
      <c r="CT225" s="646">
        <v>0.25741576887875178</v>
      </c>
      <c r="CU225" s="646">
        <v>2500</v>
      </c>
      <c r="CV225" s="563" t="s">
        <v>1584</v>
      </c>
      <c r="CW225" s="563">
        <v>3</v>
      </c>
      <c r="CX225" s="563">
        <v>1</v>
      </c>
      <c r="CY225" s="563">
        <v>3</v>
      </c>
      <c r="CZ225" s="563">
        <v>11.233535745125476</v>
      </c>
      <c r="DA225" s="650">
        <v>7596.5546185042331</v>
      </c>
      <c r="DB225" s="563">
        <v>0</v>
      </c>
      <c r="DC225" s="563">
        <v>0</v>
      </c>
      <c r="DD225" s="563">
        <v>0</v>
      </c>
      <c r="DE225" s="650">
        <v>4057.5495143687099</v>
      </c>
      <c r="DF225" s="564">
        <v>4000</v>
      </c>
      <c r="DG225" s="565">
        <v>89.011791851710797</v>
      </c>
      <c r="DH225" s="649">
        <v>1.9517048160718737</v>
      </c>
      <c r="DI225" s="646">
        <v>10.791738817316055</v>
      </c>
      <c r="DJ225" s="646">
        <v>0</v>
      </c>
      <c r="DK225" s="646">
        <v>0</v>
      </c>
      <c r="DL225" s="646">
        <v>41.021972626987889</v>
      </c>
      <c r="DM225" s="646">
        <v>0.22072613826110132</v>
      </c>
      <c r="DN225" s="646">
        <v>2000</v>
      </c>
      <c r="DO225" s="563" t="s">
        <v>1585</v>
      </c>
      <c r="DP225" s="563">
        <v>2</v>
      </c>
      <c r="DQ225" s="563">
        <v>0</v>
      </c>
      <c r="DR225" s="563">
        <v>0</v>
      </c>
      <c r="DS225" s="563">
        <v>0</v>
      </c>
      <c r="DT225" s="650">
        <v>3023.4827831243988</v>
      </c>
      <c r="DU225" s="563">
        <v>0</v>
      </c>
      <c r="DV225" s="563">
        <v>0</v>
      </c>
      <c r="DW225" s="563">
        <v>0</v>
      </c>
      <c r="DX225" s="650">
        <v>3287.1824713704896</v>
      </c>
      <c r="DY225" s="564">
        <v>3023.4827831243988</v>
      </c>
      <c r="DZ225" s="565">
        <v>67.281405039675064</v>
      </c>
      <c r="EA225" s="649">
        <v>1.9517048160718737</v>
      </c>
      <c r="EB225" s="646">
        <v>11.157262204361146</v>
      </c>
      <c r="EC225" s="646">
        <v>8.3455180279556937E-2</v>
      </c>
      <c r="ED225" s="646">
        <v>0.28206820676553263</v>
      </c>
      <c r="EE225" s="646">
        <v>41.807517469397112</v>
      </c>
      <c r="EF225" s="646">
        <v>0.23478362912209355</v>
      </c>
      <c r="EG225" s="646">
        <v>2500</v>
      </c>
      <c r="EH225" s="563" t="s">
        <v>1585</v>
      </c>
      <c r="EI225" s="563">
        <v>2</v>
      </c>
      <c r="EJ225" s="563">
        <v>1</v>
      </c>
      <c r="EK225" s="563">
        <v>2</v>
      </c>
      <c r="EL225" s="563">
        <v>11.233535745125476</v>
      </c>
      <c r="EM225" s="650">
        <v>8422.1321556202456</v>
      </c>
      <c r="EN225" s="563">
        <v>1</v>
      </c>
      <c r="EO225" s="563">
        <v>4</v>
      </c>
      <c r="EP225" s="563">
        <v>13.676030606958099</v>
      </c>
      <c r="EQ225" s="650">
        <v>7605.3054372829829</v>
      </c>
      <c r="ER225" s="564">
        <v>4000</v>
      </c>
      <c r="ES225" s="565">
        <v>89.011791851710797</v>
      </c>
      <c r="ET225" s="649">
        <v>1.9517048160718737</v>
      </c>
      <c r="EU225" s="646">
        <v>10.791738817316055</v>
      </c>
      <c r="EV225" s="646">
        <v>0</v>
      </c>
      <c r="EW225" s="646">
        <v>0</v>
      </c>
      <c r="EX225" s="646">
        <v>41.021972626987889</v>
      </c>
      <c r="EY225" s="646">
        <v>0.22072613826110132</v>
      </c>
      <c r="EZ225" s="646">
        <v>2000</v>
      </c>
      <c r="FA225" s="563" t="s">
        <v>1586</v>
      </c>
      <c r="FB225" s="563">
        <v>2</v>
      </c>
      <c r="FC225" s="563">
        <v>0</v>
      </c>
      <c r="FD225" s="563">
        <v>0</v>
      </c>
      <c r="FE225" s="563">
        <v>0</v>
      </c>
      <c r="FF225" s="650">
        <v>3173.4975868484098</v>
      </c>
      <c r="FG225" s="563">
        <v>0</v>
      </c>
      <c r="FH225" s="563">
        <v>0</v>
      </c>
      <c r="FI225" s="563">
        <v>0</v>
      </c>
      <c r="FJ225" s="650">
        <v>3450.2811455220481</v>
      </c>
      <c r="FK225" s="564">
        <v>3173.4975868484098</v>
      </c>
      <c r="FL225" s="565">
        <v>70.619676660614289</v>
      </c>
      <c r="FM225" s="649">
        <v>1.9517048160718737</v>
      </c>
      <c r="FN225" s="646">
        <v>10.791738817316055</v>
      </c>
      <c r="FO225" s="646">
        <v>0</v>
      </c>
      <c r="FP225" s="646">
        <v>0</v>
      </c>
      <c r="FQ225" s="646">
        <v>41.021972626987889</v>
      </c>
      <c r="FR225" s="646">
        <v>0.22072613826110132</v>
      </c>
      <c r="FS225" s="646">
        <v>2500</v>
      </c>
      <c r="FT225" s="563" t="s">
        <v>1587</v>
      </c>
      <c r="FU225" s="563">
        <v>2</v>
      </c>
      <c r="FV225" s="563">
        <v>0</v>
      </c>
      <c r="FW225" s="563">
        <v>0</v>
      </c>
      <c r="FX225" s="563">
        <v>0</v>
      </c>
      <c r="FY225" s="650">
        <v>3734.2444896133361</v>
      </c>
      <c r="FZ225" s="563">
        <v>0</v>
      </c>
      <c r="GA225" s="563">
        <v>0</v>
      </c>
      <c r="GB225" s="563">
        <v>0</v>
      </c>
      <c r="GC225" s="650">
        <v>4059.9348203940963</v>
      </c>
      <c r="GD225" s="564">
        <v>3734.2444896133361</v>
      </c>
      <c r="GE225" s="565">
        <v>83.097948308215081</v>
      </c>
      <c r="GF225" s="649">
        <v>1.9517048160718737</v>
      </c>
      <c r="GG225" s="646">
        <v>10.791738817316055</v>
      </c>
      <c r="GH225" s="646">
        <v>0</v>
      </c>
      <c r="GI225" s="646">
        <v>0</v>
      </c>
      <c r="GJ225" s="646">
        <v>41.021972626987889</v>
      </c>
      <c r="GK225" s="646">
        <v>0.22072613826110132</v>
      </c>
      <c r="GL225" s="646">
        <v>2000</v>
      </c>
      <c r="GM225" s="563" t="s">
        <v>1587</v>
      </c>
      <c r="GN225" s="563">
        <v>2</v>
      </c>
      <c r="GO225" s="563">
        <v>0</v>
      </c>
      <c r="GP225" s="563">
        <v>0</v>
      </c>
      <c r="GQ225" s="563">
        <v>0</v>
      </c>
      <c r="GR225" s="650">
        <v>3734.2444896133361</v>
      </c>
      <c r="GS225" s="563">
        <v>0</v>
      </c>
      <c r="GT225" s="563">
        <v>0</v>
      </c>
      <c r="GU225" s="563">
        <v>0</v>
      </c>
      <c r="GV225" s="650">
        <v>4059.9348203940963</v>
      </c>
      <c r="GW225" s="564">
        <v>3734.2444896133361</v>
      </c>
      <c r="GX225" s="565">
        <v>83.097948308215081</v>
      </c>
      <c r="GY225" s="649">
        <v>1.9517048160718737</v>
      </c>
      <c r="GZ225" s="646">
        <v>10.791738817316055</v>
      </c>
      <c r="HA225" s="646">
        <v>0</v>
      </c>
      <c r="HB225" s="646">
        <v>0</v>
      </c>
      <c r="HC225" s="646">
        <v>41.021972626987889</v>
      </c>
      <c r="HD225" s="646">
        <v>0.22072613826110132</v>
      </c>
      <c r="HE225" s="646">
        <v>2500</v>
      </c>
      <c r="HF225" s="563" t="s">
        <v>1587</v>
      </c>
      <c r="HG225" s="563">
        <v>2</v>
      </c>
      <c r="HH225" s="563">
        <v>0</v>
      </c>
      <c r="HI225" s="563">
        <v>0</v>
      </c>
      <c r="HJ225" s="563">
        <v>0</v>
      </c>
      <c r="HK225" s="650">
        <v>3734.2444896133361</v>
      </c>
      <c r="HL225" s="563">
        <v>0</v>
      </c>
      <c r="HM225" s="563">
        <v>0</v>
      </c>
      <c r="HN225" s="563">
        <v>0</v>
      </c>
      <c r="HO225" s="650">
        <v>4059.9348203940963</v>
      </c>
      <c r="HP225" s="564">
        <v>3734.2444896133361</v>
      </c>
      <c r="HQ225" s="565">
        <v>83.097948308215081</v>
      </c>
      <c r="HR225" s="649">
        <v>1.9517048160718737</v>
      </c>
      <c r="HS225" s="646">
        <v>10.791738817316055</v>
      </c>
      <c r="HT225" s="646">
        <v>0</v>
      </c>
      <c r="HU225" s="646">
        <v>0</v>
      </c>
      <c r="HV225" s="646">
        <v>41.021972626987889</v>
      </c>
      <c r="HW225" s="646">
        <v>0.22072613826110132</v>
      </c>
      <c r="HX225" s="646">
        <v>2000</v>
      </c>
      <c r="HY225" s="563" t="s">
        <v>68</v>
      </c>
      <c r="HZ225" s="563">
        <v>2</v>
      </c>
      <c r="IA225" s="563">
        <v>0</v>
      </c>
      <c r="IB225" s="563">
        <v>0</v>
      </c>
      <c r="IC225" s="563">
        <v>0</v>
      </c>
      <c r="ID225" s="650">
        <v>3293.2940847478521</v>
      </c>
      <c r="IE225" s="563">
        <v>0</v>
      </c>
      <c r="IF225" s="563">
        <v>0</v>
      </c>
      <c r="IG225" s="563">
        <v>0</v>
      </c>
      <c r="IH225" s="650">
        <v>3580.5259579696594</v>
      </c>
      <c r="II225" s="564">
        <v>3293.2940847478521</v>
      </c>
      <c r="IJ225" s="565">
        <v>73.285501894511569</v>
      </c>
      <c r="IK225" s="649">
        <v>1.9517048160718737</v>
      </c>
      <c r="IL225" s="646">
        <v>10.791738817316055</v>
      </c>
      <c r="IM225" s="646">
        <v>0</v>
      </c>
      <c r="IN225" s="646">
        <v>0</v>
      </c>
      <c r="IO225" s="646">
        <v>41.021972626987889</v>
      </c>
      <c r="IP225" s="646">
        <v>0.22072613826110132</v>
      </c>
      <c r="IQ225" s="646">
        <v>2500</v>
      </c>
      <c r="IR225" s="563" t="s">
        <v>68</v>
      </c>
      <c r="IS225" s="563">
        <v>2</v>
      </c>
      <c r="IT225" s="563">
        <v>0</v>
      </c>
      <c r="IU225" s="563">
        <v>0</v>
      </c>
      <c r="IV225" s="563">
        <v>0</v>
      </c>
      <c r="IW225" s="650">
        <v>3293.2940847478521</v>
      </c>
      <c r="IX225" s="563">
        <v>0</v>
      </c>
      <c r="IY225" s="563">
        <v>0</v>
      </c>
      <c r="IZ225" s="563">
        <v>0</v>
      </c>
      <c r="JA225" s="650">
        <v>3580.5259579696594</v>
      </c>
      <c r="JB225" s="564">
        <v>3293.2940847478521</v>
      </c>
      <c r="JC225" s="565">
        <v>73.285501894511569</v>
      </c>
      <c r="JD225" s="649">
        <v>1.9517048160718737</v>
      </c>
      <c r="JE225" s="646">
        <v>10.791738817316055</v>
      </c>
      <c r="JF225" s="646">
        <v>0</v>
      </c>
      <c r="JG225" s="646">
        <v>0</v>
      </c>
      <c r="JH225" s="646">
        <v>41.021972626987889</v>
      </c>
      <c r="JI225" s="646">
        <v>0.22072613826110132</v>
      </c>
      <c r="JJ225" s="646">
        <v>2000</v>
      </c>
      <c r="JK225" s="563" t="s">
        <v>67</v>
      </c>
      <c r="JL225" s="563">
        <v>2</v>
      </c>
      <c r="JM225" s="563">
        <v>0</v>
      </c>
      <c r="JN225" s="563">
        <v>0</v>
      </c>
      <c r="JO225" s="563">
        <v>0</v>
      </c>
      <c r="JP225" s="650">
        <v>4488.003327473245</v>
      </c>
      <c r="JQ225" s="563">
        <v>0</v>
      </c>
      <c r="JR225" s="563">
        <v>0</v>
      </c>
      <c r="JS225" s="563">
        <v>0</v>
      </c>
      <c r="JT225" s="650">
        <v>4879.4343899908663</v>
      </c>
      <c r="JU225" s="564">
        <v>4000</v>
      </c>
      <c r="JV225" s="565">
        <v>89.011791851710797</v>
      </c>
      <c r="JW225" s="649">
        <v>1.9517048160718737</v>
      </c>
      <c r="JX225" s="646">
        <v>10.791738817316055</v>
      </c>
      <c r="JY225" s="646">
        <v>0</v>
      </c>
      <c r="JZ225" s="646">
        <v>0</v>
      </c>
      <c r="KA225" s="646">
        <v>41.021972626987889</v>
      </c>
      <c r="KB225" s="646">
        <v>0.22072613826110132</v>
      </c>
      <c r="KC225" s="646">
        <v>2500</v>
      </c>
      <c r="KD225" s="563" t="s">
        <v>67</v>
      </c>
      <c r="KE225" s="563">
        <v>2</v>
      </c>
      <c r="KF225" s="563">
        <v>0</v>
      </c>
      <c r="KG225" s="563">
        <v>0</v>
      </c>
      <c r="KH225" s="563">
        <v>0</v>
      </c>
      <c r="KI225" s="650">
        <v>4488.003327473245</v>
      </c>
      <c r="KJ225" s="563">
        <v>0</v>
      </c>
      <c r="KK225" s="563">
        <v>0</v>
      </c>
      <c r="KL225" s="563">
        <v>0</v>
      </c>
      <c r="KM225" s="650">
        <v>4879.4343899908663</v>
      </c>
      <c r="KN225" s="564">
        <v>4000</v>
      </c>
      <c r="KO225" s="566">
        <v>89.011791851710797</v>
      </c>
    </row>
    <row r="226" spans="1:301" ht="15" customHeight="1">
      <c r="A226" s="782" t="s">
        <v>975</v>
      </c>
      <c r="B226" s="629" t="s">
        <v>382</v>
      </c>
      <c r="C226" s="629">
        <v>257.60000000000002</v>
      </c>
      <c r="D226" s="629">
        <v>370</v>
      </c>
      <c r="E226" s="629"/>
      <c r="F226" s="629"/>
      <c r="G226" s="629">
        <v>28</v>
      </c>
      <c r="H226" s="629">
        <v>130</v>
      </c>
      <c r="I226" s="629">
        <v>130</v>
      </c>
      <c r="J226" s="629">
        <v>141.4</v>
      </c>
      <c r="K226" s="629">
        <v>72.489999999999995</v>
      </c>
      <c r="L226" s="629">
        <v>16</v>
      </c>
      <c r="M226" s="629">
        <v>58.750661618799995</v>
      </c>
      <c r="N226" s="629">
        <v>2</v>
      </c>
      <c r="O226" s="623">
        <v>1.6880798345350376</v>
      </c>
      <c r="P226" s="629">
        <v>2</v>
      </c>
      <c r="Q226" s="623">
        <v>0.4645610501541822</v>
      </c>
      <c r="R226" s="629">
        <v>9</v>
      </c>
      <c r="S226" s="629">
        <v>315</v>
      </c>
      <c r="T226" s="645">
        <v>5.5058345297138498</v>
      </c>
      <c r="U226" s="645">
        <v>47.25</v>
      </c>
      <c r="V226" s="645">
        <v>10</v>
      </c>
      <c r="W226" s="793">
        <v>0.10323439743213468</v>
      </c>
      <c r="X226" s="646">
        <v>0</v>
      </c>
      <c r="Y226" s="646">
        <v>0</v>
      </c>
      <c r="Z226" s="646">
        <v>0</v>
      </c>
      <c r="AA226" s="646">
        <v>0</v>
      </c>
      <c r="AB226" s="647">
        <v>0.7597932063887527</v>
      </c>
      <c r="AC226" s="784">
        <v>4000</v>
      </c>
      <c r="AD226" s="631"/>
      <c r="AE226" s="631"/>
      <c r="AF226" s="631"/>
      <c r="AG226" s="631"/>
      <c r="AH226" s="629"/>
      <c r="AI226" s="648">
        <v>0.57025226094831338</v>
      </c>
      <c r="AJ226" s="649">
        <v>1.9185616058235329</v>
      </c>
      <c r="AK226" s="646">
        <v>9.6802714176587372</v>
      </c>
      <c r="AL226" s="646">
        <v>0</v>
      </c>
      <c r="AM226" s="646">
        <v>0</v>
      </c>
      <c r="AN226" s="646">
        <v>38.213171442105988</v>
      </c>
      <c r="AO226" s="646">
        <v>0.15963394661850674</v>
      </c>
      <c r="AP226" s="801">
        <v>2000</v>
      </c>
      <c r="AQ226" s="563" t="s">
        <v>67</v>
      </c>
      <c r="AR226" s="563">
        <v>2</v>
      </c>
      <c r="AS226" s="563">
        <v>0</v>
      </c>
      <c r="AT226" s="563">
        <v>0</v>
      </c>
      <c r="AU226" s="563">
        <v>0</v>
      </c>
      <c r="AV226" s="650">
        <v>4499.2158474781381</v>
      </c>
      <c r="AW226" s="563">
        <v>0</v>
      </c>
      <c r="AX226" s="563">
        <v>0</v>
      </c>
      <c r="AY226" s="563">
        <v>0</v>
      </c>
      <c r="AZ226" s="650">
        <v>6050.4546305995336</v>
      </c>
      <c r="BA226" s="564">
        <v>4000</v>
      </c>
      <c r="BB226" s="565">
        <v>77.492618788548228</v>
      </c>
      <c r="BC226" s="649">
        <v>1.9185616058235329</v>
      </c>
      <c r="BD226" s="646">
        <v>9.6802714176587372</v>
      </c>
      <c r="BE226" s="646">
        <v>0</v>
      </c>
      <c r="BF226" s="646">
        <v>0</v>
      </c>
      <c r="BG226" s="646">
        <v>38.213171442105988</v>
      </c>
      <c r="BH226" s="646">
        <v>0.15963394661850674</v>
      </c>
      <c r="BI226" s="646">
        <v>2500</v>
      </c>
      <c r="BJ226" s="563" t="s">
        <v>67</v>
      </c>
      <c r="BK226" s="563">
        <v>2</v>
      </c>
      <c r="BL226" s="563">
        <v>0</v>
      </c>
      <c r="BM226" s="563">
        <v>0</v>
      </c>
      <c r="BN226" s="563">
        <v>0</v>
      </c>
      <c r="BO226" s="650">
        <v>4499.2158474781381</v>
      </c>
      <c r="BP226" s="563">
        <v>0</v>
      </c>
      <c r="BQ226" s="563">
        <v>0</v>
      </c>
      <c r="BR226" s="563">
        <v>0</v>
      </c>
      <c r="BS226" s="650">
        <v>6050.4546305995336</v>
      </c>
      <c r="BT226" s="564">
        <v>4000</v>
      </c>
      <c r="BU226" s="565">
        <v>77.492618788548228</v>
      </c>
      <c r="BV226" s="649">
        <v>2.8778424087352992</v>
      </c>
      <c r="BW226" s="646">
        <v>10.811084684814951</v>
      </c>
      <c r="BX226" s="646">
        <v>0.17153246424444682</v>
      </c>
      <c r="BY226" s="646">
        <v>0</v>
      </c>
      <c r="BZ226" s="646">
        <v>41.015008815635355</v>
      </c>
      <c r="CA226" s="646">
        <v>0.18706188310123692</v>
      </c>
      <c r="CB226" s="646">
        <v>2000</v>
      </c>
      <c r="CC226" s="563" t="s">
        <v>1584</v>
      </c>
      <c r="CD226" s="563">
        <v>3</v>
      </c>
      <c r="CE226" s="563">
        <v>1</v>
      </c>
      <c r="CF226" s="563">
        <v>6</v>
      </c>
      <c r="CG226" s="563">
        <v>9.1633347692866369</v>
      </c>
      <c r="CH226" s="650">
        <v>9784.8247340098642</v>
      </c>
      <c r="CI226" s="563">
        <v>0</v>
      </c>
      <c r="CJ226" s="563">
        <v>0</v>
      </c>
      <c r="CK226" s="563">
        <v>0</v>
      </c>
      <c r="CL226" s="650">
        <v>5031.324798312332</v>
      </c>
      <c r="CM226" s="564">
        <v>4000</v>
      </c>
      <c r="CN226" s="565">
        <v>77.492618788548228</v>
      </c>
      <c r="CO226" s="649">
        <v>2.8778424087352992</v>
      </c>
      <c r="CP226" s="646">
        <v>10.811084684814951</v>
      </c>
      <c r="CQ226" s="646">
        <v>0.17153246424444682</v>
      </c>
      <c r="CR226" s="646">
        <v>0</v>
      </c>
      <c r="CS226" s="646">
        <v>41.015008815635355</v>
      </c>
      <c r="CT226" s="646">
        <v>0.18706188310123692</v>
      </c>
      <c r="CU226" s="646">
        <v>2500</v>
      </c>
      <c r="CV226" s="563" t="s">
        <v>1584</v>
      </c>
      <c r="CW226" s="563">
        <v>3</v>
      </c>
      <c r="CX226" s="563">
        <v>1</v>
      </c>
      <c r="CY226" s="563">
        <v>6</v>
      </c>
      <c r="CZ226" s="563">
        <v>9.1633347692866369</v>
      </c>
      <c r="DA226" s="650">
        <v>9784.8247340098642</v>
      </c>
      <c r="DB226" s="563">
        <v>0</v>
      </c>
      <c r="DC226" s="563">
        <v>0</v>
      </c>
      <c r="DD226" s="563">
        <v>0</v>
      </c>
      <c r="DE226" s="650">
        <v>5031.324798312332</v>
      </c>
      <c r="DF226" s="564">
        <v>4000</v>
      </c>
      <c r="DG226" s="565">
        <v>77.492618788548228</v>
      </c>
      <c r="DH226" s="649">
        <v>1.9185616058235329</v>
      </c>
      <c r="DI226" s="646">
        <v>9.6802714176587372</v>
      </c>
      <c r="DJ226" s="646">
        <v>0</v>
      </c>
      <c r="DK226" s="646">
        <v>0</v>
      </c>
      <c r="DL226" s="646">
        <v>38.213171442105988</v>
      </c>
      <c r="DM226" s="646">
        <v>0.15963394661850674</v>
      </c>
      <c r="DN226" s="646">
        <v>2000</v>
      </c>
      <c r="DO226" s="563" t="s">
        <v>1585</v>
      </c>
      <c r="DP226" s="563">
        <v>2</v>
      </c>
      <c r="DQ226" s="563">
        <v>0</v>
      </c>
      <c r="DR226" s="563">
        <v>0</v>
      </c>
      <c r="DS226" s="563">
        <v>0</v>
      </c>
      <c r="DT226" s="650">
        <v>3031.0364453471316</v>
      </c>
      <c r="DU226" s="563">
        <v>0</v>
      </c>
      <c r="DV226" s="563">
        <v>0</v>
      </c>
      <c r="DW226" s="563">
        <v>0</v>
      </c>
      <c r="DX226" s="650">
        <v>4076.0766137827763</v>
      </c>
      <c r="DY226" s="564">
        <v>3031.0364453471316</v>
      </c>
      <c r="DZ226" s="565">
        <v>58.720737948370385</v>
      </c>
      <c r="EA226" s="649">
        <v>1.9185616058235329</v>
      </c>
      <c r="EB226" s="646">
        <v>9.7374489057402194</v>
      </c>
      <c r="EC226" s="646">
        <v>5.7177488081482278E-2</v>
      </c>
      <c r="ED226" s="646">
        <v>0</v>
      </c>
      <c r="EE226" s="646">
        <v>38.370461465954719</v>
      </c>
      <c r="EF226" s="646">
        <v>0.16065237264563151</v>
      </c>
      <c r="EG226" s="646">
        <v>2500</v>
      </c>
      <c r="EH226" s="563" t="s">
        <v>1585</v>
      </c>
      <c r="EI226" s="563">
        <v>2</v>
      </c>
      <c r="EJ226" s="563">
        <v>1</v>
      </c>
      <c r="EK226" s="563">
        <v>2</v>
      </c>
      <c r="EL226" s="563">
        <v>9.1633347692866369</v>
      </c>
      <c r="EM226" s="650">
        <v>9070.815104450021</v>
      </c>
      <c r="EN226" s="563">
        <v>0</v>
      </c>
      <c r="EO226" s="563">
        <v>0</v>
      </c>
      <c r="EP226" s="563">
        <v>0</v>
      </c>
      <c r="EQ226" s="650">
        <v>4076.0766137827763</v>
      </c>
      <c r="ER226" s="564">
        <v>4000</v>
      </c>
      <c r="ES226" s="565">
        <v>77.492618788548228</v>
      </c>
      <c r="ET226" s="649">
        <v>1.9185616058235329</v>
      </c>
      <c r="EU226" s="646">
        <v>9.6802714176587372</v>
      </c>
      <c r="EV226" s="646">
        <v>0</v>
      </c>
      <c r="EW226" s="646">
        <v>0</v>
      </c>
      <c r="EX226" s="646">
        <v>38.213171442105988</v>
      </c>
      <c r="EY226" s="646">
        <v>0.15963394661850674</v>
      </c>
      <c r="EZ226" s="646">
        <v>2000</v>
      </c>
      <c r="FA226" s="563" t="s">
        <v>1586</v>
      </c>
      <c r="FB226" s="563">
        <v>2</v>
      </c>
      <c r="FC226" s="563">
        <v>0</v>
      </c>
      <c r="FD226" s="563">
        <v>0</v>
      </c>
      <c r="FE226" s="563">
        <v>0</v>
      </c>
      <c r="FF226" s="650">
        <v>3181.4260357780699</v>
      </c>
      <c r="FG226" s="563">
        <v>0</v>
      </c>
      <c r="FH226" s="563">
        <v>0</v>
      </c>
      <c r="FI226" s="563">
        <v>0</v>
      </c>
      <c r="FJ226" s="650">
        <v>4278.3174985642581</v>
      </c>
      <c r="FK226" s="564">
        <v>3181.4260357780699</v>
      </c>
      <c r="FL226" s="565">
        <v>61.634258748628035</v>
      </c>
      <c r="FM226" s="649">
        <v>1.9185616058235329</v>
      </c>
      <c r="FN226" s="646">
        <v>9.6802714176587372</v>
      </c>
      <c r="FO226" s="646">
        <v>0</v>
      </c>
      <c r="FP226" s="646">
        <v>0</v>
      </c>
      <c r="FQ226" s="646">
        <v>38.213171442105988</v>
      </c>
      <c r="FR226" s="646">
        <v>0.15963394661850674</v>
      </c>
      <c r="FS226" s="646">
        <v>2500</v>
      </c>
      <c r="FT226" s="563" t="s">
        <v>1587</v>
      </c>
      <c r="FU226" s="563">
        <v>2</v>
      </c>
      <c r="FV226" s="563">
        <v>0</v>
      </c>
      <c r="FW226" s="563">
        <v>0</v>
      </c>
      <c r="FX226" s="563">
        <v>0</v>
      </c>
      <c r="FY226" s="650">
        <v>3743.5738701836763</v>
      </c>
      <c r="FZ226" s="563">
        <v>0</v>
      </c>
      <c r="GA226" s="563">
        <v>0</v>
      </c>
      <c r="GB226" s="563">
        <v>0</v>
      </c>
      <c r="GC226" s="650">
        <v>5034.282556268111</v>
      </c>
      <c r="GD226" s="564">
        <v>3743.5738701836763</v>
      </c>
      <c r="GE226" s="565">
        <v>72.524835707228434</v>
      </c>
      <c r="GF226" s="649">
        <v>1.9185616058235329</v>
      </c>
      <c r="GG226" s="646">
        <v>9.6802714176587372</v>
      </c>
      <c r="GH226" s="646">
        <v>0</v>
      </c>
      <c r="GI226" s="646">
        <v>0</v>
      </c>
      <c r="GJ226" s="646">
        <v>38.213171442105988</v>
      </c>
      <c r="GK226" s="646">
        <v>0.15963394661850674</v>
      </c>
      <c r="GL226" s="646">
        <v>2000</v>
      </c>
      <c r="GM226" s="563" t="s">
        <v>1587</v>
      </c>
      <c r="GN226" s="563">
        <v>2</v>
      </c>
      <c r="GO226" s="563">
        <v>0</v>
      </c>
      <c r="GP226" s="563">
        <v>0</v>
      </c>
      <c r="GQ226" s="563">
        <v>0</v>
      </c>
      <c r="GR226" s="650">
        <v>3743.5738701836763</v>
      </c>
      <c r="GS226" s="563">
        <v>0</v>
      </c>
      <c r="GT226" s="563">
        <v>0</v>
      </c>
      <c r="GU226" s="563">
        <v>0</v>
      </c>
      <c r="GV226" s="650">
        <v>5034.282556268111</v>
      </c>
      <c r="GW226" s="564">
        <v>3743.5738701836763</v>
      </c>
      <c r="GX226" s="565">
        <v>72.524835707228434</v>
      </c>
      <c r="GY226" s="649">
        <v>1.9185616058235329</v>
      </c>
      <c r="GZ226" s="646">
        <v>9.6802714176587372</v>
      </c>
      <c r="HA226" s="646">
        <v>0</v>
      </c>
      <c r="HB226" s="646">
        <v>0</v>
      </c>
      <c r="HC226" s="646">
        <v>38.213171442105988</v>
      </c>
      <c r="HD226" s="646">
        <v>0.15963394661850674</v>
      </c>
      <c r="HE226" s="646">
        <v>2500</v>
      </c>
      <c r="HF226" s="563" t="s">
        <v>1587</v>
      </c>
      <c r="HG226" s="563">
        <v>2</v>
      </c>
      <c r="HH226" s="563">
        <v>0</v>
      </c>
      <c r="HI226" s="563">
        <v>0</v>
      </c>
      <c r="HJ226" s="563">
        <v>0</v>
      </c>
      <c r="HK226" s="650">
        <v>3743.5738701836763</v>
      </c>
      <c r="HL226" s="563">
        <v>0</v>
      </c>
      <c r="HM226" s="563">
        <v>0</v>
      </c>
      <c r="HN226" s="563">
        <v>0</v>
      </c>
      <c r="HO226" s="650">
        <v>5034.282556268111</v>
      </c>
      <c r="HP226" s="564">
        <v>3743.5738701836763</v>
      </c>
      <c r="HQ226" s="565">
        <v>72.524835707228434</v>
      </c>
      <c r="HR226" s="649">
        <v>1.9185616058235329</v>
      </c>
      <c r="HS226" s="646">
        <v>9.6802714176587372</v>
      </c>
      <c r="HT226" s="646">
        <v>0</v>
      </c>
      <c r="HU226" s="646">
        <v>0</v>
      </c>
      <c r="HV226" s="646">
        <v>38.213171442105988</v>
      </c>
      <c r="HW226" s="646">
        <v>0.15963394661850674</v>
      </c>
      <c r="HX226" s="646">
        <v>2000</v>
      </c>
      <c r="HY226" s="563" t="s">
        <v>68</v>
      </c>
      <c r="HZ226" s="563">
        <v>2</v>
      </c>
      <c r="IA226" s="563">
        <v>0</v>
      </c>
      <c r="IB226" s="563">
        <v>0</v>
      </c>
      <c r="IC226" s="563">
        <v>0</v>
      </c>
      <c r="ID226" s="650">
        <v>3301.5218250396624</v>
      </c>
      <c r="IE226" s="563">
        <v>0</v>
      </c>
      <c r="IF226" s="563">
        <v>0</v>
      </c>
      <c r="IG226" s="563">
        <v>0</v>
      </c>
      <c r="IH226" s="650">
        <v>4439.8198911779828</v>
      </c>
      <c r="II226" s="564">
        <v>3301.5218250396624</v>
      </c>
      <c r="IJ226" s="565">
        <v>63.96089305246764</v>
      </c>
      <c r="IK226" s="649">
        <v>1.9185616058235329</v>
      </c>
      <c r="IL226" s="646">
        <v>9.6802714176587372</v>
      </c>
      <c r="IM226" s="646">
        <v>0</v>
      </c>
      <c r="IN226" s="646">
        <v>0</v>
      </c>
      <c r="IO226" s="646">
        <v>38.213171442105988</v>
      </c>
      <c r="IP226" s="646">
        <v>0.15963394661850674</v>
      </c>
      <c r="IQ226" s="646">
        <v>2500</v>
      </c>
      <c r="IR226" s="563" t="s">
        <v>68</v>
      </c>
      <c r="IS226" s="563">
        <v>2</v>
      </c>
      <c r="IT226" s="563">
        <v>0</v>
      </c>
      <c r="IU226" s="563">
        <v>0</v>
      </c>
      <c r="IV226" s="563">
        <v>0</v>
      </c>
      <c r="IW226" s="650">
        <v>3301.5218250396624</v>
      </c>
      <c r="IX226" s="563">
        <v>0</v>
      </c>
      <c r="IY226" s="563">
        <v>0</v>
      </c>
      <c r="IZ226" s="563">
        <v>0</v>
      </c>
      <c r="JA226" s="650">
        <v>4439.8198911779828</v>
      </c>
      <c r="JB226" s="564">
        <v>3301.5218250396624</v>
      </c>
      <c r="JC226" s="565">
        <v>63.96089305246764</v>
      </c>
      <c r="JD226" s="649">
        <v>1.9185616058235329</v>
      </c>
      <c r="JE226" s="646">
        <v>9.6802714176587372</v>
      </c>
      <c r="JF226" s="646">
        <v>0</v>
      </c>
      <c r="JG226" s="646">
        <v>0</v>
      </c>
      <c r="JH226" s="646">
        <v>38.213171442105988</v>
      </c>
      <c r="JI226" s="646">
        <v>0.15963394661850674</v>
      </c>
      <c r="JJ226" s="646">
        <v>2000</v>
      </c>
      <c r="JK226" s="563" t="s">
        <v>67</v>
      </c>
      <c r="JL226" s="563">
        <v>2</v>
      </c>
      <c r="JM226" s="563">
        <v>0</v>
      </c>
      <c r="JN226" s="563">
        <v>0</v>
      </c>
      <c r="JO226" s="563">
        <v>0</v>
      </c>
      <c r="JP226" s="650">
        <v>4499.2158474781381</v>
      </c>
      <c r="JQ226" s="563">
        <v>0</v>
      </c>
      <c r="JR226" s="563">
        <v>0</v>
      </c>
      <c r="JS226" s="563">
        <v>0</v>
      </c>
      <c r="JT226" s="650">
        <v>6050.4546305995336</v>
      </c>
      <c r="JU226" s="564">
        <v>4000</v>
      </c>
      <c r="JV226" s="565">
        <v>77.492618788548228</v>
      </c>
      <c r="JW226" s="649">
        <v>1.9185616058235329</v>
      </c>
      <c r="JX226" s="646">
        <v>9.6802714176587372</v>
      </c>
      <c r="JY226" s="646">
        <v>0</v>
      </c>
      <c r="JZ226" s="646">
        <v>0</v>
      </c>
      <c r="KA226" s="646">
        <v>38.213171442105988</v>
      </c>
      <c r="KB226" s="646">
        <v>0.15963394661850674</v>
      </c>
      <c r="KC226" s="646">
        <v>2500</v>
      </c>
      <c r="KD226" s="563" t="s">
        <v>67</v>
      </c>
      <c r="KE226" s="563">
        <v>2</v>
      </c>
      <c r="KF226" s="563">
        <v>0</v>
      </c>
      <c r="KG226" s="563">
        <v>0</v>
      </c>
      <c r="KH226" s="563">
        <v>0</v>
      </c>
      <c r="KI226" s="650">
        <v>4499.2158474781381</v>
      </c>
      <c r="KJ226" s="563">
        <v>0</v>
      </c>
      <c r="KK226" s="563">
        <v>0</v>
      </c>
      <c r="KL226" s="563">
        <v>0</v>
      </c>
      <c r="KM226" s="650">
        <v>6050.4546305995336</v>
      </c>
      <c r="KN226" s="564">
        <v>4000</v>
      </c>
      <c r="KO226" s="566">
        <v>77.492618788548228</v>
      </c>
    </row>
    <row r="227" spans="1:301" ht="15" customHeight="1">
      <c r="A227" s="782" t="s">
        <v>976</v>
      </c>
      <c r="B227" s="629" t="s">
        <v>382</v>
      </c>
      <c r="C227" s="629">
        <v>281.78300000000002</v>
      </c>
      <c r="D227" s="629">
        <v>400</v>
      </c>
      <c r="E227" s="629"/>
      <c r="F227" s="629"/>
      <c r="G227" s="629">
        <v>28</v>
      </c>
      <c r="H227" s="629">
        <v>130</v>
      </c>
      <c r="I227" s="629">
        <v>130</v>
      </c>
      <c r="J227" s="629">
        <v>131.30000000000001</v>
      </c>
      <c r="K227" s="629">
        <v>65.959999999999994</v>
      </c>
      <c r="L227" s="629">
        <v>16</v>
      </c>
      <c r="M227" s="629">
        <v>59.785393272205312</v>
      </c>
      <c r="N227" s="629">
        <v>2</v>
      </c>
      <c r="O227" s="623">
        <v>1.9729201864543902</v>
      </c>
      <c r="P227" s="629">
        <v>2</v>
      </c>
      <c r="Q227" s="623">
        <v>0.74940140207353478</v>
      </c>
      <c r="R227" s="629">
        <v>9</v>
      </c>
      <c r="S227" s="629">
        <v>315</v>
      </c>
      <c r="T227" s="645">
        <v>5.5058345297138498</v>
      </c>
      <c r="U227" s="645">
        <v>47.25</v>
      </c>
      <c r="V227" s="645">
        <v>10</v>
      </c>
      <c r="W227" s="793">
        <v>0.10323439743213468</v>
      </c>
      <c r="X227" s="646">
        <v>0</v>
      </c>
      <c r="Y227" s="646">
        <v>0</v>
      </c>
      <c r="Z227" s="646">
        <v>0</v>
      </c>
      <c r="AA227" s="646">
        <v>0</v>
      </c>
      <c r="AB227" s="647">
        <v>0.8829939432139251</v>
      </c>
      <c r="AC227" s="784">
        <v>4000</v>
      </c>
      <c r="AD227" s="631"/>
      <c r="AE227" s="631"/>
      <c r="AF227" s="631"/>
      <c r="AG227" s="631"/>
      <c r="AH227" s="629"/>
      <c r="AI227" s="648">
        <v>0.62663822614831932</v>
      </c>
      <c r="AJ227" s="649">
        <v>1.9523518026971369</v>
      </c>
      <c r="AK227" s="646">
        <v>10.283742318371045</v>
      </c>
      <c r="AL227" s="646">
        <v>0</v>
      </c>
      <c r="AM227" s="646">
        <v>0</v>
      </c>
      <c r="AN227" s="646">
        <v>39.812775107747392</v>
      </c>
      <c r="AO227" s="646">
        <v>0.19045543752339572</v>
      </c>
      <c r="AP227" s="801">
        <v>2100</v>
      </c>
      <c r="AQ227" s="563" t="s">
        <v>67</v>
      </c>
      <c r="AR227" s="563">
        <v>2</v>
      </c>
      <c r="AS227" s="563">
        <v>0</v>
      </c>
      <c r="AT227" s="563">
        <v>0</v>
      </c>
      <c r="AU227" s="563">
        <v>0</v>
      </c>
      <c r="AV227" s="650">
        <v>4681.1227209863864</v>
      </c>
      <c r="AW227" s="563">
        <v>0</v>
      </c>
      <c r="AX227" s="563">
        <v>0</v>
      </c>
      <c r="AY227" s="563">
        <v>0</v>
      </c>
      <c r="AZ227" s="650">
        <v>5000.9569757817335</v>
      </c>
      <c r="BA227" s="564">
        <v>4000</v>
      </c>
      <c r="BB227" s="565">
        <v>83.775804095727821</v>
      </c>
      <c r="BC227" s="649">
        <v>1.9523518026971369</v>
      </c>
      <c r="BD227" s="646">
        <v>10.283742318371045</v>
      </c>
      <c r="BE227" s="646">
        <v>0</v>
      </c>
      <c r="BF227" s="646">
        <v>0</v>
      </c>
      <c r="BG227" s="646">
        <v>39.812775107747392</v>
      </c>
      <c r="BH227" s="646">
        <v>0.19045543752339572</v>
      </c>
      <c r="BI227" s="646">
        <v>2625</v>
      </c>
      <c r="BJ227" s="563" t="s">
        <v>67</v>
      </c>
      <c r="BK227" s="563">
        <v>2</v>
      </c>
      <c r="BL227" s="563">
        <v>0</v>
      </c>
      <c r="BM227" s="563">
        <v>0</v>
      </c>
      <c r="BN227" s="563">
        <v>0</v>
      </c>
      <c r="BO227" s="650">
        <v>4681.1227209863864</v>
      </c>
      <c r="BP227" s="563">
        <v>0</v>
      </c>
      <c r="BQ227" s="563">
        <v>0</v>
      </c>
      <c r="BR227" s="563">
        <v>0</v>
      </c>
      <c r="BS227" s="650">
        <v>5000.9569757817335</v>
      </c>
      <c r="BT227" s="564">
        <v>4000</v>
      </c>
      <c r="BU227" s="565">
        <v>83.775804095727821</v>
      </c>
      <c r="BV227" s="649">
        <v>2.9285277040457052</v>
      </c>
      <c r="BW227" s="646">
        <v>11.840825498928199</v>
      </c>
      <c r="BX227" s="646">
        <v>0.38237694610640993</v>
      </c>
      <c r="BY227" s="646">
        <v>0.19853033310217685</v>
      </c>
      <c r="BZ227" s="646">
        <v>43.124926295870807</v>
      </c>
      <c r="CA227" s="646">
        <v>0.23530480290117969</v>
      </c>
      <c r="CB227" s="646">
        <v>2100</v>
      </c>
      <c r="CC227" s="563" t="s">
        <v>1584</v>
      </c>
      <c r="CD227" s="563">
        <v>3</v>
      </c>
      <c r="CE227" s="563">
        <v>1</v>
      </c>
      <c r="CF227" s="563">
        <v>10</v>
      </c>
      <c r="CG227" s="563">
        <v>11.228655418202488</v>
      </c>
      <c r="CH227" s="650">
        <v>10222.393500845215</v>
      </c>
      <c r="CI227" s="563">
        <v>1</v>
      </c>
      <c r="CJ227" s="563">
        <v>3</v>
      </c>
      <c r="CK227" s="563">
        <v>13.649921185743894</v>
      </c>
      <c r="CL227" s="650">
        <v>6470.8795857366258</v>
      </c>
      <c r="CM227" s="564">
        <v>4000</v>
      </c>
      <c r="CN227" s="565">
        <v>83.775804095727821</v>
      </c>
      <c r="CO227" s="649">
        <v>2.9285277040457052</v>
      </c>
      <c r="CP227" s="646">
        <v>11.840825498928199</v>
      </c>
      <c r="CQ227" s="646">
        <v>0.38237694610640993</v>
      </c>
      <c r="CR227" s="646">
        <v>0.19853033310217685</v>
      </c>
      <c r="CS227" s="646">
        <v>43.124926295870807</v>
      </c>
      <c r="CT227" s="646">
        <v>0.23530480290117969</v>
      </c>
      <c r="CU227" s="646">
        <v>2625</v>
      </c>
      <c r="CV227" s="563" t="s">
        <v>1584</v>
      </c>
      <c r="CW227" s="563">
        <v>3</v>
      </c>
      <c r="CX227" s="563">
        <v>1</v>
      </c>
      <c r="CY227" s="563">
        <v>10</v>
      </c>
      <c r="CZ227" s="563">
        <v>11.228655418202488</v>
      </c>
      <c r="DA227" s="650">
        <v>10222.393500845215</v>
      </c>
      <c r="DB227" s="563">
        <v>1</v>
      </c>
      <c r="DC227" s="563">
        <v>3</v>
      </c>
      <c r="DD227" s="563">
        <v>13.649921185743894</v>
      </c>
      <c r="DE227" s="650">
        <v>6470.8795857366258</v>
      </c>
      <c r="DF227" s="564">
        <v>4000</v>
      </c>
      <c r="DG227" s="565">
        <v>83.775804095727821</v>
      </c>
      <c r="DH227" s="649">
        <v>1.9523518026971369</v>
      </c>
      <c r="DI227" s="646">
        <v>10.283742318371045</v>
      </c>
      <c r="DJ227" s="646">
        <v>0</v>
      </c>
      <c r="DK227" s="646">
        <v>0</v>
      </c>
      <c r="DL227" s="646">
        <v>39.812775107747392</v>
      </c>
      <c r="DM227" s="646">
        <v>0.19045543752339572</v>
      </c>
      <c r="DN227" s="646">
        <v>2100</v>
      </c>
      <c r="DO227" s="563" t="s">
        <v>1585</v>
      </c>
      <c r="DP227" s="563">
        <v>2</v>
      </c>
      <c r="DQ227" s="563">
        <v>0</v>
      </c>
      <c r="DR227" s="563">
        <v>0</v>
      </c>
      <c r="DS227" s="563">
        <v>0</v>
      </c>
      <c r="DT227" s="650">
        <v>3153.5836584513208</v>
      </c>
      <c r="DU227" s="563">
        <v>0</v>
      </c>
      <c r="DV227" s="563">
        <v>0</v>
      </c>
      <c r="DW227" s="563">
        <v>0</v>
      </c>
      <c r="DX227" s="650">
        <v>3369.049934268809</v>
      </c>
      <c r="DY227" s="564">
        <v>3153.5836584513208</v>
      </c>
      <c r="DZ227" s="565">
        <v>66.04850169247662</v>
      </c>
      <c r="EA227" s="649">
        <v>1.9523518026971369</v>
      </c>
      <c r="EB227" s="646">
        <v>10.624924818395229</v>
      </c>
      <c r="EC227" s="646">
        <v>7.6475389221281984E-2</v>
      </c>
      <c r="ED227" s="646">
        <v>0.26470711080290249</v>
      </c>
      <c r="EE227" s="646">
        <v>40.621575217328605</v>
      </c>
      <c r="EF227" s="646">
        <v>0.20198961094012102</v>
      </c>
      <c r="EG227" s="646">
        <v>2625</v>
      </c>
      <c r="EH227" s="563" t="s">
        <v>1585</v>
      </c>
      <c r="EI227" s="563">
        <v>2</v>
      </c>
      <c r="EJ227" s="563">
        <v>1</v>
      </c>
      <c r="EK227" s="563">
        <v>2</v>
      </c>
      <c r="EL227" s="563">
        <v>11.228655418202488</v>
      </c>
      <c r="EM227" s="650">
        <v>8967.4653927335894</v>
      </c>
      <c r="EN227" s="563">
        <v>1</v>
      </c>
      <c r="EO227" s="563">
        <v>4</v>
      </c>
      <c r="EP227" s="563">
        <v>13.649921185743894</v>
      </c>
      <c r="EQ227" s="650">
        <v>8019.0025780565838</v>
      </c>
      <c r="ER227" s="564">
        <v>4000</v>
      </c>
      <c r="ES227" s="565">
        <v>83.775804095727821</v>
      </c>
      <c r="ET227" s="649">
        <v>1.9523518026971369</v>
      </c>
      <c r="EU227" s="646">
        <v>10.283742318371045</v>
      </c>
      <c r="EV227" s="646">
        <v>0</v>
      </c>
      <c r="EW227" s="646">
        <v>0</v>
      </c>
      <c r="EX227" s="646">
        <v>39.812775107747392</v>
      </c>
      <c r="EY227" s="646">
        <v>0.19045543752339572</v>
      </c>
      <c r="EZ227" s="646">
        <v>2100</v>
      </c>
      <c r="FA227" s="563" t="s">
        <v>1586</v>
      </c>
      <c r="FB227" s="563">
        <v>2</v>
      </c>
      <c r="FC227" s="563">
        <v>0</v>
      </c>
      <c r="FD227" s="563">
        <v>0</v>
      </c>
      <c r="FE227" s="563">
        <v>0</v>
      </c>
      <c r="FF227" s="650">
        <v>3310.0536195803688</v>
      </c>
      <c r="FG227" s="563">
        <v>0</v>
      </c>
      <c r="FH227" s="563">
        <v>0</v>
      </c>
      <c r="FI227" s="563">
        <v>0</v>
      </c>
      <c r="FJ227" s="650">
        <v>3536.2105900022116</v>
      </c>
      <c r="FK227" s="564">
        <v>3310.0536195803688</v>
      </c>
      <c r="FL227" s="565">
        <v>69.325600895079944</v>
      </c>
      <c r="FM227" s="649">
        <v>1.9523518026971369</v>
      </c>
      <c r="FN227" s="646">
        <v>10.283742318371045</v>
      </c>
      <c r="FO227" s="646">
        <v>0</v>
      </c>
      <c r="FP227" s="646">
        <v>0</v>
      </c>
      <c r="FQ227" s="646">
        <v>39.812775107747392</v>
      </c>
      <c r="FR227" s="646">
        <v>0.19045543752339572</v>
      </c>
      <c r="FS227" s="646">
        <v>2625</v>
      </c>
      <c r="FT227" s="563" t="s">
        <v>1587</v>
      </c>
      <c r="FU227" s="563">
        <v>2</v>
      </c>
      <c r="FV227" s="563">
        <v>0</v>
      </c>
      <c r="FW227" s="563">
        <v>0</v>
      </c>
      <c r="FX227" s="563">
        <v>0</v>
      </c>
      <c r="FY227" s="650">
        <v>3894.9295378282891</v>
      </c>
      <c r="FZ227" s="563">
        <v>0</v>
      </c>
      <c r="GA227" s="563">
        <v>0</v>
      </c>
      <c r="GB227" s="563">
        <v>0</v>
      </c>
      <c r="GC227" s="650">
        <v>4161.0477236700854</v>
      </c>
      <c r="GD227" s="564">
        <v>3894.9295378282891</v>
      </c>
      <c r="GE227" s="565">
        <v>81.575213481941603</v>
      </c>
      <c r="GF227" s="649">
        <v>1.9523518026971369</v>
      </c>
      <c r="GG227" s="646">
        <v>10.283742318371045</v>
      </c>
      <c r="GH227" s="646">
        <v>0</v>
      </c>
      <c r="GI227" s="646">
        <v>0</v>
      </c>
      <c r="GJ227" s="646">
        <v>39.812775107747392</v>
      </c>
      <c r="GK227" s="646">
        <v>0.19045543752339572</v>
      </c>
      <c r="GL227" s="646">
        <v>2100</v>
      </c>
      <c r="GM227" s="563" t="s">
        <v>1587</v>
      </c>
      <c r="GN227" s="563">
        <v>2</v>
      </c>
      <c r="GO227" s="563">
        <v>0</v>
      </c>
      <c r="GP227" s="563">
        <v>0</v>
      </c>
      <c r="GQ227" s="563">
        <v>0</v>
      </c>
      <c r="GR227" s="650">
        <v>3894.9295378282891</v>
      </c>
      <c r="GS227" s="563">
        <v>0</v>
      </c>
      <c r="GT227" s="563">
        <v>0</v>
      </c>
      <c r="GU227" s="563">
        <v>0</v>
      </c>
      <c r="GV227" s="650">
        <v>4161.0477236700854</v>
      </c>
      <c r="GW227" s="564">
        <v>3894.9295378282891</v>
      </c>
      <c r="GX227" s="565">
        <v>81.575213481941603</v>
      </c>
      <c r="GY227" s="649">
        <v>1.9523518026971369</v>
      </c>
      <c r="GZ227" s="646">
        <v>10.283742318371045</v>
      </c>
      <c r="HA227" s="646">
        <v>0</v>
      </c>
      <c r="HB227" s="646">
        <v>0</v>
      </c>
      <c r="HC227" s="646">
        <v>39.812775107747392</v>
      </c>
      <c r="HD227" s="646">
        <v>0.19045543752339572</v>
      </c>
      <c r="HE227" s="646">
        <v>2625</v>
      </c>
      <c r="HF227" s="563" t="s">
        <v>1587</v>
      </c>
      <c r="HG227" s="563">
        <v>2</v>
      </c>
      <c r="HH227" s="563">
        <v>0</v>
      </c>
      <c r="HI227" s="563">
        <v>0</v>
      </c>
      <c r="HJ227" s="563">
        <v>0</v>
      </c>
      <c r="HK227" s="650">
        <v>3894.9295378282891</v>
      </c>
      <c r="HL227" s="563">
        <v>0</v>
      </c>
      <c r="HM227" s="563">
        <v>0</v>
      </c>
      <c r="HN227" s="563">
        <v>0</v>
      </c>
      <c r="HO227" s="650">
        <v>4161.0477236700854</v>
      </c>
      <c r="HP227" s="564">
        <v>3894.9295378282891</v>
      </c>
      <c r="HQ227" s="565">
        <v>81.575213481941603</v>
      </c>
      <c r="HR227" s="649">
        <v>1.9523518026971369</v>
      </c>
      <c r="HS227" s="646">
        <v>10.283742318371045</v>
      </c>
      <c r="HT227" s="646">
        <v>0</v>
      </c>
      <c r="HU227" s="646">
        <v>0</v>
      </c>
      <c r="HV227" s="646">
        <v>39.812775107747392</v>
      </c>
      <c r="HW227" s="646">
        <v>0.19045543752339572</v>
      </c>
      <c r="HX227" s="646">
        <v>2100</v>
      </c>
      <c r="HY227" s="563" t="s">
        <v>68</v>
      </c>
      <c r="HZ227" s="563">
        <v>2</v>
      </c>
      <c r="IA227" s="563">
        <v>0</v>
      </c>
      <c r="IB227" s="563">
        <v>0</v>
      </c>
      <c r="IC227" s="563">
        <v>0</v>
      </c>
      <c r="ID227" s="650">
        <v>3435.0049770757741</v>
      </c>
      <c r="IE227" s="563">
        <v>0</v>
      </c>
      <c r="IF227" s="563">
        <v>0</v>
      </c>
      <c r="IG227" s="563">
        <v>0</v>
      </c>
      <c r="IH227" s="650">
        <v>3669.699156772444</v>
      </c>
      <c r="II227" s="564">
        <v>3435.0049770757741</v>
      </c>
      <c r="IJ227" s="565">
        <v>71.942576006837513</v>
      </c>
      <c r="IK227" s="649">
        <v>1.9523518026971369</v>
      </c>
      <c r="IL227" s="646">
        <v>10.283742318371045</v>
      </c>
      <c r="IM227" s="646">
        <v>0</v>
      </c>
      <c r="IN227" s="646">
        <v>0</v>
      </c>
      <c r="IO227" s="646">
        <v>39.812775107747392</v>
      </c>
      <c r="IP227" s="646">
        <v>0.19045543752339572</v>
      </c>
      <c r="IQ227" s="646">
        <v>2625</v>
      </c>
      <c r="IR227" s="563" t="s">
        <v>68</v>
      </c>
      <c r="IS227" s="563">
        <v>2</v>
      </c>
      <c r="IT227" s="563">
        <v>0</v>
      </c>
      <c r="IU227" s="563">
        <v>0</v>
      </c>
      <c r="IV227" s="563">
        <v>0</v>
      </c>
      <c r="IW227" s="650">
        <v>3435.0049770757741</v>
      </c>
      <c r="IX227" s="563">
        <v>0</v>
      </c>
      <c r="IY227" s="563">
        <v>0</v>
      </c>
      <c r="IZ227" s="563">
        <v>0</v>
      </c>
      <c r="JA227" s="650">
        <v>3669.699156772444</v>
      </c>
      <c r="JB227" s="564">
        <v>3435.0049770757741</v>
      </c>
      <c r="JC227" s="565">
        <v>71.942576006837513</v>
      </c>
      <c r="JD227" s="649">
        <v>1.9523518026971369</v>
      </c>
      <c r="JE227" s="646">
        <v>10.283742318371045</v>
      </c>
      <c r="JF227" s="646">
        <v>0</v>
      </c>
      <c r="JG227" s="646">
        <v>0</v>
      </c>
      <c r="JH227" s="646">
        <v>39.812775107747392</v>
      </c>
      <c r="JI227" s="646">
        <v>0.19045543752339572</v>
      </c>
      <c r="JJ227" s="646">
        <v>2100</v>
      </c>
      <c r="JK227" s="563" t="s">
        <v>67</v>
      </c>
      <c r="JL227" s="563">
        <v>2</v>
      </c>
      <c r="JM227" s="563">
        <v>0</v>
      </c>
      <c r="JN227" s="563">
        <v>0</v>
      </c>
      <c r="JO227" s="563">
        <v>0</v>
      </c>
      <c r="JP227" s="650">
        <v>4681.1227209863864</v>
      </c>
      <c r="JQ227" s="563">
        <v>0</v>
      </c>
      <c r="JR227" s="563">
        <v>0</v>
      </c>
      <c r="JS227" s="563">
        <v>0</v>
      </c>
      <c r="JT227" s="650">
        <v>5000.9569757817335</v>
      </c>
      <c r="JU227" s="564">
        <v>4000</v>
      </c>
      <c r="JV227" s="565">
        <v>83.775804095727821</v>
      </c>
      <c r="JW227" s="649">
        <v>1.9523518026971369</v>
      </c>
      <c r="JX227" s="646">
        <v>10.283742318371045</v>
      </c>
      <c r="JY227" s="646">
        <v>0</v>
      </c>
      <c r="JZ227" s="646">
        <v>0</v>
      </c>
      <c r="KA227" s="646">
        <v>39.812775107747392</v>
      </c>
      <c r="KB227" s="646">
        <v>0.19045543752339572</v>
      </c>
      <c r="KC227" s="646">
        <v>2625</v>
      </c>
      <c r="KD227" s="563" t="s">
        <v>67</v>
      </c>
      <c r="KE227" s="563">
        <v>2</v>
      </c>
      <c r="KF227" s="563">
        <v>0</v>
      </c>
      <c r="KG227" s="563">
        <v>0</v>
      </c>
      <c r="KH227" s="563">
        <v>0</v>
      </c>
      <c r="KI227" s="650">
        <v>4681.1227209863864</v>
      </c>
      <c r="KJ227" s="563">
        <v>0</v>
      </c>
      <c r="KK227" s="563">
        <v>0</v>
      </c>
      <c r="KL227" s="563">
        <v>0</v>
      </c>
      <c r="KM227" s="650">
        <v>5000.9569757817335</v>
      </c>
      <c r="KN227" s="564">
        <v>4000</v>
      </c>
      <c r="KO227" s="566">
        <v>83.775804095727821</v>
      </c>
    </row>
    <row r="228" spans="1:301" ht="15" customHeight="1">
      <c r="A228" s="782" t="s">
        <v>977</v>
      </c>
      <c r="B228" s="629" t="s">
        <v>382</v>
      </c>
      <c r="C228" s="629">
        <v>346.98</v>
      </c>
      <c r="D228" s="629">
        <v>465</v>
      </c>
      <c r="E228" s="629"/>
      <c r="F228" s="629"/>
      <c r="G228" s="629">
        <v>28</v>
      </c>
      <c r="H228" s="629">
        <v>130</v>
      </c>
      <c r="I228" s="629">
        <v>130</v>
      </c>
      <c r="J228" s="629">
        <v>131.16999999999999</v>
      </c>
      <c r="K228" s="629">
        <v>66.64</v>
      </c>
      <c r="L228" s="629">
        <v>18</v>
      </c>
      <c r="M228" s="629">
        <v>59.729963417751563</v>
      </c>
      <c r="N228" s="629">
        <v>2</v>
      </c>
      <c r="O228" s="623">
        <v>2.6662166707256283</v>
      </c>
      <c r="P228" s="629">
        <v>2</v>
      </c>
      <c r="Q228" s="623">
        <v>1.0234523467232148</v>
      </c>
      <c r="R228" s="629">
        <v>11</v>
      </c>
      <c r="S228" s="629">
        <v>365</v>
      </c>
      <c r="T228" s="645">
        <v>9.0352037820132729</v>
      </c>
      <c r="U228" s="645">
        <v>54.75</v>
      </c>
      <c r="V228" s="645">
        <v>10</v>
      </c>
      <c r="W228" s="793">
        <v>0.13860823983770362</v>
      </c>
      <c r="X228" s="646">
        <v>0</v>
      </c>
      <c r="Y228" s="646">
        <v>0</v>
      </c>
      <c r="Z228" s="646">
        <v>0</v>
      </c>
      <c r="AA228" s="646">
        <v>0</v>
      </c>
      <c r="AB228" s="647">
        <v>1.0549598241040063</v>
      </c>
      <c r="AC228" s="784">
        <v>4000</v>
      </c>
      <c r="AD228" s="631"/>
      <c r="AE228" s="631"/>
      <c r="AF228" s="631"/>
      <c r="AG228" s="631"/>
      <c r="AH228" s="629"/>
      <c r="AI228" s="648">
        <v>0.76971088742918115</v>
      </c>
      <c r="AJ228" s="649">
        <v>2.1943593960413574</v>
      </c>
      <c r="AK228" s="646">
        <v>15.057840435341177</v>
      </c>
      <c r="AL228" s="646">
        <v>0</v>
      </c>
      <c r="AM228" s="646">
        <v>0</v>
      </c>
      <c r="AN228" s="646">
        <v>35.904992127229612</v>
      </c>
      <c r="AO228" s="646">
        <v>0.35956608376813848</v>
      </c>
      <c r="AP228" s="801">
        <v>1900</v>
      </c>
      <c r="AQ228" s="563" t="s">
        <v>67</v>
      </c>
      <c r="AR228" s="563">
        <v>2</v>
      </c>
      <c r="AS228" s="563">
        <v>0</v>
      </c>
      <c r="AT228" s="563">
        <v>0</v>
      </c>
      <c r="AU228" s="563">
        <v>0</v>
      </c>
      <c r="AV228" s="650">
        <v>4223.9357544061659</v>
      </c>
      <c r="AW228" s="563">
        <v>0</v>
      </c>
      <c r="AX228" s="563">
        <v>0</v>
      </c>
      <c r="AY228" s="563">
        <v>0</v>
      </c>
      <c r="AZ228" s="650">
        <v>4701.4084956563556</v>
      </c>
      <c r="BA228" s="564">
        <v>4000</v>
      </c>
      <c r="BB228" s="565">
        <v>97.389372261283583</v>
      </c>
      <c r="BC228" s="649">
        <v>2.1943593960413574</v>
      </c>
      <c r="BD228" s="646">
        <v>15.057840435341177</v>
      </c>
      <c r="BE228" s="646">
        <v>0</v>
      </c>
      <c r="BF228" s="646">
        <v>0</v>
      </c>
      <c r="BG228" s="646">
        <v>35.904992127229612</v>
      </c>
      <c r="BH228" s="646">
        <v>0.35956608376813848</v>
      </c>
      <c r="BI228" s="646">
        <v>2375</v>
      </c>
      <c r="BJ228" s="563" t="s">
        <v>67</v>
      </c>
      <c r="BK228" s="563">
        <v>2</v>
      </c>
      <c r="BL228" s="563">
        <v>0</v>
      </c>
      <c r="BM228" s="563">
        <v>0</v>
      </c>
      <c r="BN228" s="563">
        <v>0</v>
      </c>
      <c r="BO228" s="650">
        <v>4223.9357544061659</v>
      </c>
      <c r="BP228" s="563">
        <v>0</v>
      </c>
      <c r="BQ228" s="563">
        <v>0</v>
      </c>
      <c r="BR228" s="563">
        <v>0</v>
      </c>
      <c r="BS228" s="650">
        <v>4701.4084956563556</v>
      </c>
      <c r="BT228" s="564">
        <v>4000</v>
      </c>
      <c r="BU228" s="565">
        <v>97.389372261283583</v>
      </c>
      <c r="BV228" s="649">
        <v>3.2915390940620362</v>
      </c>
      <c r="BW228" s="646">
        <v>16.296962377107199</v>
      </c>
      <c r="BX228" s="646">
        <v>0.14194224374534323</v>
      </c>
      <c r="BY228" s="646">
        <v>0</v>
      </c>
      <c r="BZ228" s="646">
        <v>38.117199642763211</v>
      </c>
      <c r="CA228" s="646">
        <v>0.41029074015594569</v>
      </c>
      <c r="CB228" s="646">
        <v>1900</v>
      </c>
      <c r="CC228" s="563" t="s">
        <v>1584</v>
      </c>
      <c r="CD228" s="563">
        <v>3</v>
      </c>
      <c r="CE228" s="563">
        <v>1</v>
      </c>
      <c r="CF228" s="563">
        <v>3</v>
      </c>
      <c r="CG228" s="563">
        <v>11.240577257225461</v>
      </c>
      <c r="CH228" s="650">
        <v>6729.0622868837063</v>
      </c>
      <c r="CI228" s="563">
        <v>0</v>
      </c>
      <c r="CJ228" s="563">
        <v>0</v>
      </c>
      <c r="CK228" s="563">
        <v>0</v>
      </c>
      <c r="CL228" s="650">
        <v>3909.5100443465722</v>
      </c>
      <c r="CM228" s="564">
        <v>3909.5100443465722</v>
      </c>
      <c r="CN228" s="565">
        <v>95.186182267023909</v>
      </c>
      <c r="CO228" s="649">
        <v>3.2915390940620362</v>
      </c>
      <c r="CP228" s="646">
        <v>16.296962377107199</v>
      </c>
      <c r="CQ228" s="646">
        <v>0.14194224374534323</v>
      </c>
      <c r="CR228" s="646">
        <v>0</v>
      </c>
      <c r="CS228" s="646">
        <v>38.117199642763211</v>
      </c>
      <c r="CT228" s="646">
        <v>0.41029074015594569</v>
      </c>
      <c r="CU228" s="646">
        <v>2375</v>
      </c>
      <c r="CV228" s="563" t="s">
        <v>1584</v>
      </c>
      <c r="CW228" s="563">
        <v>3</v>
      </c>
      <c r="CX228" s="563">
        <v>1</v>
      </c>
      <c r="CY228" s="563">
        <v>3</v>
      </c>
      <c r="CZ228" s="563">
        <v>11.240577257225461</v>
      </c>
      <c r="DA228" s="650">
        <v>6729.0622868837063</v>
      </c>
      <c r="DB228" s="563">
        <v>0</v>
      </c>
      <c r="DC228" s="563">
        <v>0</v>
      </c>
      <c r="DD228" s="563">
        <v>0</v>
      </c>
      <c r="DE228" s="650">
        <v>3909.5100443465722</v>
      </c>
      <c r="DF228" s="564">
        <v>3909.5100443465722</v>
      </c>
      <c r="DG228" s="565">
        <v>95.186182267023909</v>
      </c>
      <c r="DH228" s="649">
        <v>2.1943593960413574</v>
      </c>
      <c r="DI228" s="646">
        <v>15.057840435341177</v>
      </c>
      <c r="DJ228" s="646">
        <v>0</v>
      </c>
      <c r="DK228" s="646">
        <v>0</v>
      </c>
      <c r="DL228" s="646">
        <v>35.904992127229612</v>
      </c>
      <c r="DM228" s="646">
        <v>0.35956608376813848</v>
      </c>
      <c r="DN228" s="646">
        <v>1900</v>
      </c>
      <c r="DO228" s="563" t="s">
        <v>1585</v>
      </c>
      <c r="DP228" s="563">
        <v>2</v>
      </c>
      <c r="DQ228" s="563">
        <v>0</v>
      </c>
      <c r="DR228" s="563">
        <v>0</v>
      </c>
      <c r="DS228" s="563">
        <v>0</v>
      </c>
      <c r="DT228" s="650">
        <v>2845.5854638727978</v>
      </c>
      <c r="DU228" s="563">
        <v>0</v>
      </c>
      <c r="DV228" s="563">
        <v>0</v>
      </c>
      <c r="DW228" s="563">
        <v>0</v>
      </c>
      <c r="DX228" s="650">
        <v>3167.2498003816409</v>
      </c>
      <c r="DY228" s="564">
        <v>2845.5854638727978</v>
      </c>
      <c r="DZ228" s="565">
        <v>69.282445510601306</v>
      </c>
      <c r="EA228" s="649">
        <v>2.1943593960413574</v>
      </c>
      <c r="EB228" s="646">
        <v>15.462241272479339</v>
      </c>
      <c r="EC228" s="646">
        <v>9.4628162496895471E-2</v>
      </c>
      <c r="ED228" s="646">
        <v>0.30977267464126629</v>
      </c>
      <c r="EE228" s="646">
        <v>36.665945557779921</v>
      </c>
      <c r="EF228" s="646">
        <v>0.37839173147294247</v>
      </c>
      <c r="EG228" s="646">
        <v>2375</v>
      </c>
      <c r="EH228" s="563" t="s">
        <v>1585</v>
      </c>
      <c r="EI228" s="563">
        <v>2</v>
      </c>
      <c r="EJ228" s="563">
        <v>1</v>
      </c>
      <c r="EK228" s="563">
        <v>2</v>
      </c>
      <c r="EL228" s="563">
        <v>11.240577257225461</v>
      </c>
      <c r="EM228" s="650">
        <v>7460.3625866766606</v>
      </c>
      <c r="EN228" s="563">
        <v>1</v>
      </c>
      <c r="EO228" s="563">
        <v>4</v>
      </c>
      <c r="EP228" s="563">
        <v>13.708499419934098</v>
      </c>
      <c r="EQ228" s="650">
        <v>6930.3665090606919</v>
      </c>
      <c r="ER228" s="564">
        <v>4000</v>
      </c>
      <c r="ES228" s="565">
        <v>97.389372261283583</v>
      </c>
      <c r="ET228" s="649">
        <v>2.1943593960413574</v>
      </c>
      <c r="EU228" s="646">
        <v>15.057840435341177</v>
      </c>
      <c r="EV228" s="646">
        <v>0</v>
      </c>
      <c r="EW228" s="646">
        <v>0</v>
      </c>
      <c r="EX228" s="646">
        <v>35.904992127229612</v>
      </c>
      <c r="EY228" s="646">
        <v>0.35956608376813848</v>
      </c>
      <c r="EZ228" s="646">
        <v>1900</v>
      </c>
      <c r="FA228" s="563" t="s">
        <v>1586</v>
      </c>
      <c r="FB228" s="563">
        <v>2</v>
      </c>
      <c r="FC228" s="563">
        <v>0</v>
      </c>
      <c r="FD228" s="563">
        <v>0</v>
      </c>
      <c r="FE228" s="563">
        <v>0</v>
      </c>
      <c r="FF228" s="650">
        <v>2986.773615240952</v>
      </c>
      <c r="FG228" s="563">
        <v>0</v>
      </c>
      <c r="FH228" s="563">
        <v>0</v>
      </c>
      <c r="FI228" s="563">
        <v>0</v>
      </c>
      <c r="FJ228" s="650">
        <v>3324.3978284111467</v>
      </c>
      <c r="FK228" s="564">
        <v>2986.773615240952</v>
      </c>
      <c r="FL228" s="565">
        <v>72.720001868720217</v>
      </c>
      <c r="FM228" s="649">
        <v>2.1943593960413574</v>
      </c>
      <c r="FN228" s="646">
        <v>15.057840435341177</v>
      </c>
      <c r="FO228" s="646">
        <v>0</v>
      </c>
      <c r="FP228" s="646">
        <v>0</v>
      </c>
      <c r="FQ228" s="646">
        <v>35.904992127229612</v>
      </c>
      <c r="FR228" s="646">
        <v>0.35956608376813848</v>
      </c>
      <c r="FS228" s="646">
        <v>2375</v>
      </c>
      <c r="FT228" s="563" t="s">
        <v>1587</v>
      </c>
      <c r="FU228" s="563">
        <v>2</v>
      </c>
      <c r="FV228" s="563">
        <v>0</v>
      </c>
      <c r="FW228" s="563">
        <v>0</v>
      </c>
      <c r="FX228" s="563">
        <v>0</v>
      </c>
      <c r="FY228" s="650">
        <v>3514.5269877177925</v>
      </c>
      <c r="FZ228" s="563">
        <v>0</v>
      </c>
      <c r="GA228" s="563">
        <v>0</v>
      </c>
      <c r="GB228" s="563">
        <v>0</v>
      </c>
      <c r="GC228" s="650">
        <v>3911.8083226133099</v>
      </c>
      <c r="GD228" s="564">
        <v>3514.5269877177925</v>
      </c>
      <c r="GE228" s="565">
        <v>85.569394282293928</v>
      </c>
      <c r="GF228" s="649">
        <v>2.1943593960413574</v>
      </c>
      <c r="GG228" s="646">
        <v>15.057840435341177</v>
      </c>
      <c r="GH228" s="646">
        <v>0</v>
      </c>
      <c r="GI228" s="646">
        <v>0</v>
      </c>
      <c r="GJ228" s="646">
        <v>35.904992127229612</v>
      </c>
      <c r="GK228" s="646">
        <v>0.35956608376813848</v>
      </c>
      <c r="GL228" s="646">
        <v>1900</v>
      </c>
      <c r="GM228" s="563" t="s">
        <v>1587</v>
      </c>
      <c r="GN228" s="563">
        <v>2</v>
      </c>
      <c r="GO228" s="563">
        <v>0</v>
      </c>
      <c r="GP228" s="563">
        <v>0</v>
      </c>
      <c r="GQ228" s="563">
        <v>0</v>
      </c>
      <c r="GR228" s="650">
        <v>3514.5269877177925</v>
      </c>
      <c r="GS228" s="563">
        <v>0</v>
      </c>
      <c r="GT228" s="563">
        <v>0</v>
      </c>
      <c r="GU228" s="563">
        <v>0</v>
      </c>
      <c r="GV228" s="650">
        <v>3911.8083226133099</v>
      </c>
      <c r="GW228" s="564">
        <v>3514.5269877177925</v>
      </c>
      <c r="GX228" s="565">
        <v>85.569394282293928</v>
      </c>
      <c r="GY228" s="649">
        <v>2.1943593960413574</v>
      </c>
      <c r="GZ228" s="646">
        <v>15.057840435341177</v>
      </c>
      <c r="HA228" s="646">
        <v>0</v>
      </c>
      <c r="HB228" s="646">
        <v>0</v>
      </c>
      <c r="HC228" s="646">
        <v>35.904992127229612</v>
      </c>
      <c r="HD228" s="646">
        <v>0.35956608376813848</v>
      </c>
      <c r="HE228" s="646">
        <v>2375</v>
      </c>
      <c r="HF228" s="563" t="s">
        <v>1587</v>
      </c>
      <c r="HG228" s="563">
        <v>2</v>
      </c>
      <c r="HH228" s="563">
        <v>0</v>
      </c>
      <c r="HI228" s="563">
        <v>0</v>
      </c>
      <c r="HJ228" s="563">
        <v>0</v>
      </c>
      <c r="HK228" s="650">
        <v>3514.5269877177925</v>
      </c>
      <c r="HL228" s="563">
        <v>0</v>
      </c>
      <c r="HM228" s="563">
        <v>0</v>
      </c>
      <c r="HN228" s="563">
        <v>0</v>
      </c>
      <c r="HO228" s="650">
        <v>3911.8083226133099</v>
      </c>
      <c r="HP228" s="564">
        <v>3514.5269877177925</v>
      </c>
      <c r="HQ228" s="565">
        <v>85.569394282293928</v>
      </c>
      <c r="HR228" s="649">
        <v>2.1943593960413574</v>
      </c>
      <c r="HS228" s="646">
        <v>15.057840435341177</v>
      </c>
      <c r="HT228" s="646">
        <v>0</v>
      </c>
      <c r="HU228" s="646">
        <v>0</v>
      </c>
      <c r="HV228" s="646">
        <v>35.904992127229612</v>
      </c>
      <c r="HW228" s="646">
        <v>0.35956608376813848</v>
      </c>
      <c r="HX228" s="646">
        <v>1900</v>
      </c>
      <c r="HY228" s="563" t="s">
        <v>68</v>
      </c>
      <c r="HZ228" s="563">
        <v>2</v>
      </c>
      <c r="IA228" s="563">
        <v>0</v>
      </c>
      <c r="IB228" s="563">
        <v>0</v>
      </c>
      <c r="IC228" s="563">
        <v>0</v>
      </c>
      <c r="ID228" s="650">
        <v>3099.5214618462674</v>
      </c>
      <c r="IE228" s="563">
        <v>0</v>
      </c>
      <c r="IF228" s="563">
        <v>0</v>
      </c>
      <c r="IG228" s="563">
        <v>0</v>
      </c>
      <c r="IH228" s="650">
        <v>3449.890666067176</v>
      </c>
      <c r="II228" s="564">
        <v>3099.5214618462674</v>
      </c>
      <c r="IJ228" s="565">
        <v>75.465112369895991</v>
      </c>
      <c r="IK228" s="649">
        <v>2.1943593960413574</v>
      </c>
      <c r="IL228" s="646">
        <v>15.057840435341177</v>
      </c>
      <c r="IM228" s="646">
        <v>0</v>
      </c>
      <c r="IN228" s="646">
        <v>0</v>
      </c>
      <c r="IO228" s="646">
        <v>35.904992127229612</v>
      </c>
      <c r="IP228" s="646">
        <v>0.35956608376813848</v>
      </c>
      <c r="IQ228" s="646">
        <v>2375</v>
      </c>
      <c r="IR228" s="563" t="s">
        <v>68</v>
      </c>
      <c r="IS228" s="563">
        <v>2</v>
      </c>
      <c r="IT228" s="563">
        <v>0</v>
      </c>
      <c r="IU228" s="563">
        <v>0</v>
      </c>
      <c r="IV228" s="563">
        <v>0</v>
      </c>
      <c r="IW228" s="650">
        <v>3099.5214618462674</v>
      </c>
      <c r="IX228" s="563">
        <v>0</v>
      </c>
      <c r="IY228" s="563">
        <v>0</v>
      </c>
      <c r="IZ228" s="563">
        <v>0</v>
      </c>
      <c r="JA228" s="650">
        <v>3449.890666067176</v>
      </c>
      <c r="JB228" s="564">
        <v>3099.5214618462674</v>
      </c>
      <c r="JC228" s="565">
        <v>75.465112369895991</v>
      </c>
      <c r="JD228" s="649">
        <v>2.1943593960413574</v>
      </c>
      <c r="JE228" s="646">
        <v>15.057840435341177</v>
      </c>
      <c r="JF228" s="646">
        <v>0</v>
      </c>
      <c r="JG228" s="646">
        <v>0</v>
      </c>
      <c r="JH228" s="646">
        <v>35.904992127229612</v>
      </c>
      <c r="JI228" s="646">
        <v>0.35956608376813848</v>
      </c>
      <c r="JJ228" s="646">
        <v>1900</v>
      </c>
      <c r="JK228" s="563" t="s">
        <v>67</v>
      </c>
      <c r="JL228" s="563">
        <v>2</v>
      </c>
      <c r="JM228" s="563">
        <v>0</v>
      </c>
      <c r="JN228" s="563">
        <v>0</v>
      </c>
      <c r="JO228" s="563">
        <v>0</v>
      </c>
      <c r="JP228" s="650">
        <v>4223.9357544061659</v>
      </c>
      <c r="JQ228" s="563">
        <v>0</v>
      </c>
      <c r="JR228" s="563">
        <v>0</v>
      </c>
      <c r="JS228" s="563">
        <v>0</v>
      </c>
      <c r="JT228" s="650">
        <v>4701.4084956563556</v>
      </c>
      <c r="JU228" s="564">
        <v>4000</v>
      </c>
      <c r="JV228" s="565">
        <v>97.389372261283583</v>
      </c>
      <c r="JW228" s="649">
        <v>2.1943593960413574</v>
      </c>
      <c r="JX228" s="646">
        <v>15.057840435341177</v>
      </c>
      <c r="JY228" s="646">
        <v>0</v>
      </c>
      <c r="JZ228" s="646">
        <v>0</v>
      </c>
      <c r="KA228" s="646">
        <v>35.904992127229612</v>
      </c>
      <c r="KB228" s="646">
        <v>0.35956608376813848</v>
      </c>
      <c r="KC228" s="646">
        <v>2375</v>
      </c>
      <c r="KD228" s="563" t="s">
        <v>67</v>
      </c>
      <c r="KE228" s="563">
        <v>2</v>
      </c>
      <c r="KF228" s="563">
        <v>0</v>
      </c>
      <c r="KG228" s="563">
        <v>0</v>
      </c>
      <c r="KH228" s="563">
        <v>0</v>
      </c>
      <c r="KI228" s="650">
        <v>4223.9357544061659</v>
      </c>
      <c r="KJ228" s="563">
        <v>0</v>
      </c>
      <c r="KK228" s="563">
        <v>0</v>
      </c>
      <c r="KL228" s="563">
        <v>0</v>
      </c>
      <c r="KM228" s="650">
        <v>4701.4084956563556</v>
      </c>
      <c r="KN228" s="564">
        <v>4000</v>
      </c>
      <c r="KO228" s="566">
        <v>97.389372261283583</v>
      </c>
    </row>
    <row r="229" spans="1:301" ht="15" customHeight="1">
      <c r="A229" s="782" t="s">
        <v>978</v>
      </c>
      <c r="B229" s="629" t="s">
        <v>382</v>
      </c>
      <c r="C229" s="629">
        <v>346.98</v>
      </c>
      <c r="D229" s="629">
        <v>465</v>
      </c>
      <c r="E229" s="629"/>
      <c r="F229" s="629"/>
      <c r="G229" s="629">
        <v>28</v>
      </c>
      <c r="H229" s="629">
        <v>130</v>
      </c>
      <c r="I229" s="629">
        <v>130</v>
      </c>
      <c r="J229" s="629">
        <v>131.16999999999999</v>
      </c>
      <c r="K229" s="629">
        <v>66.64</v>
      </c>
      <c r="L229" s="629">
        <v>18</v>
      </c>
      <c r="M229" s="629">
        <v>59.729963417751563</v>
      </c>
      <c r="N229" s="629">
        <v>2</v>
      </c>
      <c r="O229" s="623">
        <v>2.6662166707256283</v>
      </c>
      <c r="P229" s="629">
        <v>2</v>
      </c>
      <c r="Q229" s="623">
        <v>1.0234523467232148</v>
      </c>
      <c r="R229" s="629">
        <v>11</v>
      </c>
      <c r="S229" s="629">
        <v>365</v>
      </c>
      <c r="T229" s="645">
        <v>9.0352037820132729</v>
      </c>
      <c r="U229" s="645">
        <v>54.75</v>
      </c>
      <c r="V229" s="645">
        <v>10</v>
      </c>
      <c r="W229" s="793">
        <v>0.13860823983770362</v>
      </c>
      <c r="X229" s="646">
        <v>0</v>
      </c>
      <c r="Y229" s="646">
        <v>0</v>
      </c>
      <c r="Z229" s="646">
        <v>0</v>
      </c>
      <c r="AA229" s="646">
        <v>0</v>
      </c>
      <c r="AB229" s="647">
        <v>1.0549598241040063</v>
      </c>
      <c r="AC229" s="784">
        <v>4000</v>
      </c>
      <c r="AD229" s="631"/>
      <c r="AE229" s="631"/>
      <c r="AF229" s="631"/>
      <c r="AG229" s="631"/>
      <c r="AH229" s="629"/>
      <c r="AI229" s="648">
        <v>0.76971088742918115</v>
      </c>
      <c r="AJ229" s="649">
        <v>2.1943593960413574</v>
      </c>
      <c r="AK229" s="646">
        <v>15.057840435341177</v>
      </c>
      <c r="AL229" s="646">
        <v>0</v>
      </c>
      <c r="AM229" s="646">
        <v>0</v>
      </c>
      <c r="AN229" s="646">
        <v>35.904992127229612</v>
      </c>
      <c r="AO229" s="646">
        <v>0.35956608376813848</v>
      </c>
      <c r="AP229" s="801">
        <v>1900</v>
      </c>
      <c r="AQ229" s="563" t="s">
        <v>67</v>
      </c>
      <c r="AR229" s="563">
        <v>2</v>
      </c>
      <c r="AS229" s="563">
        <v>0</v>
      </c>
      <c r="AT229" s="563">
        <v>0</v>
      </c>
      <c r="AU229" s="563">
        <v>0</v>
      </c>
      <c r="AV229" s="650">
        <v>4223.9357544061659</v>
      </c>
      <c r="AW229" s="563">
        <v>0</v>
      </c>
      <c r="AX229" s="563">
        <v>0</v>
      </c>
      <c r="AY229" s="563">
        <v>0</v>
      </c>
      <c r="AZ229" s="650">
        <v>4701.4084956563556</v>
      </c>
      <c r="BA229" s="564">
        <v>4000</v>
      </c>
      <c r="BB229" s="565">
        <v>97.389372261283583</v>
      </c>
      <c r="BC229" s="649">
        <v>2.1943593960413574</v>
      </c>
      <c r="BD229" s="646">
        <v>15.057840435341177</v>
      </c>
      <c r="BE229" s="646">
        <v>0</v>
      </c>
      <c r="BF229" s="646">
        <v>0</v>
      </c>
      <c r="BG229" s="646">
        <v>35.904992127229612</v>
      </c>
      <c r="BH229" s="646">
        <v>0.35956608376813848</v>
      </c>
      <c r="BI229" s="646">
        <v>2375</v>
      </c>
      <c r="BJ229" s="563" t="s">
        <v>67</v>
      </c>
      <c r="BK229" s="563">
        <v>2</v>
      </c>
      <c r="BL229" s="563">
        <v>0</v>
      </c>
      <c r="BM229" s="563">
        <v>0</v>
      </c>
      <c r="BN229" s="563">
        <v>0</v>
      </c>
      <c r="BO229" s="650">
        <v>4223.9357544061659</v>
      </c>
      <c r="BP229" s="563">
        <v>0</v>
      </c>
      <c r="BQ229" s="563">
        <v>0</v>
      </c>
      <c r="BR229" s="563">
        <v>0</v>
      </c>
      <c r="BS229" s="650">
        <v>4701.4084956563556</v>
      </c>
      <c r="BT229" s="564">
        <v>4000</v>
      </c>
      <c r="BU229" s="565">
        <v>97.389372261283583</v>
      </c>
      <c r="BV229" s="649">
        <v>3.2915390940620362</v>
      </c>
      <c r="BW229" s="646">
        <v>16.296962377107199</v>
      </c>
      <c r="BX229" s="646">
        <v>0.14194224374534323</v>
      </c>
      <c r="BY229" s="646">
        <v>0</v>
      </c>
      <c r="BZ229" s="646">
        <v>38.117199642763211</v>
      </c>
      <c r="CA229" s="646">
        <v>0.41029074015594569</v>
      </c>
      <c r="CB229" s="646">
        <v>1900</v>
      </c>
      <c r="CC229" s="563" t="s">
        <v>1584</v>
      </c>
      <c r="CD229" s="563">
        <v>3</v>
      </c>
      <c r="CE229" s="563">
        <v>1</v>
      </c>
      <c r="CF229" s="563">
        <v>3</v>
      </c>
      <c r="CG229" s="563">
        <v>11.240577257225461</v>
      </c>
      <c r="CH229" s="650">
        <v>6729.0622868837063</v>
      </c>
      <c r="CI229" s="563">
        <v>0</v>
      </c>
      <c r="CJ229" s="563">
        <v>0</v>
      </c>
      <c r="CK229" s="563">
        <v>0</v>
      </c>
      <c r="CL229" s="650">
        <v>3909.5100443465722</v>
      </c>
      <c r="CM229" s="564">
        <v>3909.5100443465722</v>
      </c>
      <c r="CN229" s="565">
        <v>95.186182267023909</v>
      </c>
      <c r="CO229" s="649">
        <v>3.2915390940620362</v>
      </c>
      <c r="CP229" s="646">
        <v>16.296962377107199</v>
      </c>
      <c r="CQ229" s="646">
        <v>0.14194224374534323</v>
      </c>
      <c r="CR229" s="646">
        <v>0</v>
      </c>
      <c r="CS229" s="646">
        <v>38.117199642763211</v>
      </c>
      <c r="CT229" s="646">
        <v>0.41029074015594569</v>
      </c>
      <c r="CU229" s="646">
        <v>2375</v>
      </c>
      <c r="CV229" s="563" t="s">
        <v>1584</v>
      </c>
      <c r="CW229" s="563">
        <v>3</v>
      </c>
      <c r="CX229" s="563">
        <v>1</v>
      </c>
      <c r="CY229" s="563">
        <v>3</v>
      </c>
      <c r="CZ229" s="563">
        <v>11.240577257225461</v>
      </c>
      <c r="DA229" s="650">
        <v>6729.0622868837063</v>
      </c>
      <c r="DB229" s="563">
        <v>0</v>
      </c>
      <c r="DC229" s="563">
        <v>0</v>
      </c>
      <c r="DD229" s="563">
        <v>0</v>
      </c>
      <c r="DE229" s="650">
        <v>3909.5100443465722</v>
      </c>
      <c r="DF229" s="564">
        <v>3909.5100443465722</v>
      </c>
      <c r="DG229" s="565">
        <v>95.186182267023909</v>
      </c>
      <c r="DH229" s="649">
        <v>2.1943593960413574</v>
      </c>
      <c r="DI229" s="646">
        <v>15.057840435341177</v>
      </c>
      <c r="DJ229" s="646">
        <v>0</v>
      </c>
      <c r="DK229" s="646">
        <v>0</v>
      </c>
      <c r="DL229" s="646">
        <v>35.904992127229612</v>
      </c>
      <c r="DM229" s="646">
        <v>0.35956608376813848</v>
      </c>
      <c r="DN229" s="646">
        <v>1900</v>
      </c>
      <c r="DO229" s="563" t="s">
        <v>1585</v>
      </c>
      <c r="DP229" s="563">
        <v>2</v>
      </c>
      <c r="DQ229" s="563">
        <v>0</v>
      </c>
      <c r="DR229" s="563">
        <v>0</v>
      </c>
      <c r="DS229" s="563">
        <v>0</v>
      </c>
      <c r="DT229" s="650">
        <v>2845.5854638727978</v>
      </c>
      <c r="DU229" s="563">
        <v>0</v>
      </c>
      <c r="DV229" s="563">
        <v>0</v>
      </c>
      <c r="DW229" s="563">
        <v>0</v>
      </c>
      <c r="DX229" s="650">
        <v>3167.2498003816409</v>
      </c>
      <c r="DY229" s="564">
        <v>2845.5854638727978</v>
      </c>
      <c r="DZ229" s="565">
        <v>69.282445510601306</v>
      </c>
      <c r="EA229" s="649">
        <v>2.1943593960413574</v>
      </c>
      <c r="EB229" s="646">
        <v>15.462241272479339</v>
      </c>
      <c r="EC229" s="646">
        <v>9.4628162496895471E-2</v>
      </c>
      <c r="ED229" s="646">
        <v>0.30977267464126629</v>
      </c>
      <c r="EE229" s="646">
        <v>36.665945557779921</v>
      </c>
      <c r="EF229" s="646">
        <v>0.37839173147294247</v>
      </c>
      <c r="EG229" s="646">
        <v>2375</v>
      </c>
      <c r="EH229" s="563" t="s">
        <v>1585</v>
      </c>
      <c r="EI229" s="563">
        <v>2</v>
      </c>
      <c r="EJ229" s="563">
        <v>1</v>
      </c>
      <c r="EK229" s="563">
        <v>2</v>
      </c>
      <c r="EL229" s="563">
        <v>11.240577257225461</v>
      </c>
      <c r="EM229" s="650">
        <v>7460.3625866766606</v>
      </c>
      <c r="EN229" s="563">
        <v>1</v>
      </c>
      <c r="EO229" s="563">
        <v>4</v>
      </c>
      <c r="EP229" s="563">
        <v>13.708499419934098</v>
      </c>
      <c r="EQ229" s="650">
        <v>6930.3665090606919</v>
      </c>
      <c r="ER229" s="564">
        <v>4000</v>
      </c>
      <c r="ES229" s="565">
        <v>97.389372261283583</v>
      </c>
      <c r="ET229" s="649">
        <v>2.1943593960413574</v>
      </c>
      <c r="EU229" s="646">
        <v>15.057840435341177</v>
      </c>
      <c r="EV229" s="646">
        <v>0</v>
      </c>
      <c r="EW229" s="646">
        <v>0</v>
      </c>
      <c r="EX229" s="646">
        <v>35.904992127229612</v>
      </c>
      <c r="EY229" s="646">
        <v>0.35956608376813848</v>
      </c>
      <c r="EZ229" s="646">
        <v>1900</v>
      </c>
      <c r="FA229" s="563" t="s">
        <v>1586</v>
      </c>
      <c r="FB229" s="563">
        <v>2</v>
      </c>
      <c r="FC229" s="563">
        <v>0</v>
      </c>
      <c r="FD229" s="563">
        <v>0</v>
      </c>
      <c r="FE229" s="563">
        <v>0</v>
      </c>
      <c r="FF229" s="650">
        <v>2986.773615240952</v>
      </c>
      <c r="FG229" s="563">
        <v>0</v>
      </c>
      <c r="FH229" s="563">
        <v>0</v>
      </c>
      <c r="FI229" s="563">
        <v>0</v>
      </c>
      <c r="FJ229" s="650">
        <v>3324.3978284111467</v>
      </c>
      <c r="FK229" s="564">
        <v>2986.773615240952</v>
      </c>
      <c r="FL229" s="565">
        <v>72.720001868720217</v>
      </c>
      <c r="FM229" s="649">
        <v>2.1943593960413574</v>
      </c>
      <c r="FN229" s="646">
        <v>15.057840435341177</v>
      </c>
      <c r="FO229" s="646">
        <v>0</v>
      </c>
      <c r="FP229" s="646">
        <v>0</v>
      </c>
      <c r="FQ229" s="646">
        <v>35.904992127229612</v>
      </c>
      <c r="FR229" s="646">
        <v>0.35956608376813848</v>
      </c>
      <c r="FS229" s="646">
        <v>2375</v>
      </c>
      <c r="FT229" s="563" t="s">
        <v>1587</v>
      </c>
      <c r="FU229" s="563">
        <v>2</v>
      </c>
      <c r="FV229" s="563">
        <v>0</v>
      </c>
      <c r="FW229" s="563">
        <v>0</v>
      </c>
      <c r="FX229" s="563">
        <v>0</v>
      </c>
      <c r="FY229" s="650">
        <v>3514.5269877177925</v>
      </c>
      <c r="FZ229" s="563">
        <v>0</v>
      </c>
      <c r="GA229" s="563">
        <v>0</v>
      </c>
      <c r="GB229" s="563">
        <v>0</v>
      </c>
      <c r="GC229" s="650">
        <v>3911.8083226133099</v>
      </c>
      <c r="GD229" s="564">
        <v>3514.5269877177925</v>
      </c>
      <c r="GE229" s="565">
        <v>85.569394282293928</v>
      </c>
      <c r="GF229" s="649">
        <v>2.1943593960413574</v>
      </c>
      <c r="GG229" s="646">
        <v>15.057840435341177</v>
      </c>
      <c r="GH229" s="646">
        <v>0</v>
      </c>
      <c r="GI229" s="646">
        <v>0</v>
      </c>
      <c r="GJ229" s="646">
        <v>35.904992127229612</v>
      </c>
      <c r="GK229" s="646">
        <v>0.35956608376813848</v>
      </c>
      <c r="GL229" s="646">
        <v>1900</v>
      </c>
      <c r="GM229" s="563" t="s">
        <v>1587</v>
      </c>
      <c r="GN229" s="563">
        <v>2</v>
      </c>
      <c r="GO229" s="563">
        <v>0</v>
      </c>
      <c r="GP229" s="563">
        <v>0</v>
      </c>
      <c r="GQ229" s="563">
        <v>0</v>
      </c>
      <c r="GR229" s="650">
        <v>3514.5269877177925</v>
      </c>
      <c r="GS229" s="563">
        <v>0</v>
      </c>
      <c r="GT229" s="563">
        <v>0</v>
      </c>
      <c r="GU229" s="563">
        <v>0</v>
      </c>
      <c r="GV229" s="650">
        <v>3911.8083226133099</v>
      </c>
      <c r="GW229" s="564">
        <v>3514.5269877177925</v>
      </c>
      <c r="GX229" s="565">
        <v>85.569394282293928</v>
      </c>
      <c r="GY229" s="649">
        <v>2.1943593960413574</v>
      </c>
      <c r="GZ229" s="646">
        <v>15.057840435341177</v>
      </c>
      <c r="HA229" s="646">
        <v>0</v>
      </c>
      <c r="HB229" s="646">
        <v>0</v>
      </c>
      <c r="HC229" s="646">
        <v>35.904992127229612</v>
      </c>
      <c r="HD229" s="646">
        <v>0.35956608376813848</v>
      </c>
      <c r="HE229" s="646">
        <v>2375</v>
      </c>
      <c r="HF229" s="563" t="s">
        <v>1587</v>
      </c>
      <c r="HG229" s="563">
        <v>2</v>
      </c>
      <c r="HH229" s="563">
        <v>0</v>
      </c>
      <c r="HI229" s="563">
        <v>0</v>
      </c>
      <c r="HJ229" s="563">
        <v>0</v>
      </c>
      <c r="HK229" s="650">
        <v>3514.5269877177925</v>
      </c>
      <c r="HL229" s="563">
        <v>0</v>
      </c>
      <c r="HM229" s="563">
        <v>0</v>
      </c>
      <c r="HN229" s="563">
        <v>0</v>
      </c>
      <c r="HO229" s="650">
        <v>3911.8083226133099</v>
      </c>
      <c r="HP229" s="564">
        <v>3514.5269877177925</v>
      </c>
      <c r="HQ229" s="565">
        <v>85.569394282293928</v>
      </c>
      <c r="HR229" s="649">
        <v>2.1943593960413574</v>
      </c>
      <c r="HS229" s="646">
        <v>15.057840435341177</v>
      </c>
      <c r="HT229" s="646">
        <v>0</v>
      </c>
      <c r="HU229" s="646">
        <v>0</v>
      </c>
      <c r="HV229" s="646">
        <v>35.904992127229612</v>
      </c>
      <c r="HW229" s="646">
        <v>0.35956608376813848</v>
      </c>
      <c r="HX229" s="646">
        <v>1900</v>
      </c>
      <c r="HY229" s="563" t="s">
        <v>68</v>
      </c>
      <c r="HZ229" s="563">
        <v>2</v>
      </c>
      <c r="IA229" s="563">
        <v>0</v>
      </c>
      <c r="IB229" s="563">
        <v>0</v>
      </c>
      <c r="IC229" s="563">
        <v>0</v>
      </c>
      <c r="ID229" s="650">
        <v>3099.5214618462674</v>
      </c>
      <c r="IE229" s="563">
        <v>0</v>
      </c>
      <c r="IF229" s="563">
        <v>0</v>
      </c>
      <c r="IG229" s="563">
        <v>0</v>
      </c>
      <c r="IH229" s="650">
        <v>3449.890666067176</v>
      </c>
      <c r="II229" s="564">
        <v>3099.5214618462674</v>
      </c>
      <c r="IJ229" s="565">
        <v>75.465112369895991</v>
      </c>
      <c r="IK229" s="649">
        <v>2.1943593960413574</v>
      </c>
      <c r="IL229" s="646">
        <v>15.057840435341177</v>
      </c>
      <c r="IM229" s="646">
        <v>0</v>
      </c>
      <c r="IN229" s="646">
        <v>0</v>
      </c>
      <c r="IO229" s="646">
        <v>35.904992127229612</v>
      </c>
      <c r="IP229" s="646">
        <v>0.35956608376813848</v>
      </c>
      <c r="IQ229" s="646">
        <v>2375</v>
      </c>
      <c r="IR229" s="563" t="s">
        <v>68</v>
      </c>
      <c r="IS229" s="563">
        <v>2</v>
      </c>
      <c r="IT229" s="563">
        <v>0</v>
      </c>
      <c r="IU229" s="563">
        <v>0</v>
      </c>
      <c r="IV229" s="563">
        <v>0</v>
      </c>
      <c r="IW229" s="650">
        <v>3099.5214618462674</v>
      </c>
      <c r="IX229" s="563">
        <v>0</v>
      </c>
      <c r="IY229" s="563">
        <v>0</v>
      </c>
      <c r="IZ229" s="563">
        <v>0</v>
      </c>
      <c r="JA229" s="650">
        <v>3449.890666067176</v>
      </c>
      <c r="JB229" s="564">
        <v>3099.5214618462674</v>
      </c>
      <c r="JC229" s="565">
        <v>75.465112369895991</v>
      </c>
      <c r="JD229" s="649">
        <v>2.1943593960413574</v>
      </c>
      <c r="JE229" s="646">
        <v>15.057840435341177</v>
      </c>
      <c r="JF229" s="646">
        <v>0</v>
      </c>
      <c r="JG229" s="646">
        <v>0</v>
      </c>
      <c r="JH229" s="646">
        <v>35.904992127229612</v>
      </c>
      <c r="JI229" s="646">
        <v>0.35956608376813848</v>
      </c>
      <c r="JJ229" s="646">
        <v>1900</v>
      </c>
      <c r="JK229" s="563" t="s">
        <v>67</v>
      </c>
      <c r="JL229" s="563">
        <v>2</v>
      </c>
      <c r="JM229" s="563">
        <v>0</v>
      </c>
      <c r="JN229" s="563">
        <v>0</v>
      </c>
      <c r="JO229" s="563">
        <v>0</v>
      </c>
      <c r="JP229" s="650">
        <v>4223.9357544061659</v>
      </c>
      <c r="JQ229" s="563">
        <v>0</v>
      </c>
      <c r="JR229" s="563">
        <v>0</v>
      </c>
      <c r="JS229" s="563">
        <v>0</v>
      </c>
      <c r="JT229" s="650">
        <v>4701.4084956563556</v>
      </c>
      <c r="JU229" s="564">
        <v>4000</v>
      </c>
      <c r="JV229" s="565">
        <v>97.389372261283583</v>
      </c>
      <c r="JW229" s="649">
        <v>2.1943593960413574</v>
      </c>
      <c r="JX229" s="646">
        <v>15.057840435341177</v>
      </c>
      <c r="JY229" s="646">
        <v>0</v>
      </c>
      <c r="JZ229" s="646">
        <v>0</v>
      </c>
      <c r="KA229" s="646">
        <v>35.904992127229612</v>
      </c>
      <c r="KB229" s="646">
        <v>0.35956608376813848</v>
      </c>
      <c r="KC229" s="646">
        <v>2375</v>
      </c>
      <c r="KD229" s="563" t="s">
        <v>67</v>
      </c>
      <c r="KE229" s="563">
        <v>2</v>
      </c>
      <c r="KF229" s="563">
        <v>0</v>
      </c>
      <c r="KG229" s="563">
        <v>0</v>
      </c>
      <c r="KH229" s="563">
        <v>0</v>
      </c>
      <c r="KI229" s="650">
        <v>4223.9357544061659</v>
      </c>
      <c r="KJ229" s="563">
        <v>0</v>
      </c>
      <c r="KK229" s="563">
        <v>0</v>
      </c>
      <c r="KL229" s="563">
        <v>0</v>
      </c>
      <c r="KM229" s="650">
        <v>4701.4084956563556</v>
      </c>
      <c r="KN229" s="564">
        <v>4000</v>
      </c>
      <c r="KO229" s="566">
        <v>97.389372261283583</v>
      </c>
    </row>
    <row r="230" spans="1:301" ht="15" customHeight="1">
      <c r="A230" s="782" t="s">
        <v>979</v>
      </c>
      <c r="B230" s="629" t="s">
        <v>383</v>
      </c>
      <c r="C230" s="629">
        <v>397.1</v>
      </c>
      <c r="D230" s="629">
        <v>515</v>
      </c>
      <c r="E230" s="629"/>
      <c r="F230" s="629"/>
      <c r="G230" s="629">
        <v>28</v>
      </c>
      <c r="H230" s="629">
        <v>130</v>
      </c>
      <c r="I230" s="629">
        <v>130</v>
      </c>
      <c r="J230" s="629">
        <v>131.09</v>
      </c>
      <c r="K230" s="629">
        <v>67.040000000000006</v>
      </c>
      <c r="L230" s="629">
        <v>18</v>
      </c>
      <c r="M230" s="629">
        <v>59.695583766186616</v>
      </c>
      <c r="N230" s="629">
        <v>2</v>
      </c>
      <c r="O230" s="623">
        <v>3.2704234778272854</v>
      </c>
      <c r="P230" s="629">
        <v>2</v>
      </c>
      <c r="Q230" s="623">
        <v>1.1467598583766143</v>
      </c>
      <c r="R230" s="629">
        <v>11</v>
      </c>
      <c r="S230" s="629">
        <v>415</v>
      </c>
      <c r="T230" s="645">
        <v>11.68014990697869</v>
      </c>
      <c r="U230" s="645">
        <v>62.25</v>
      </c>
      <c r="V230" s="645">
        <v>10</v>
      </c>
      <c r="W230" s="793">
        <v>0.17918411789115035</v>
      </c>
      <c r="X230" s="646">
        <v>0</v>
      </c>
      <c r="Y230" s="646">
        <v>0</v>
      </c>
      <c r="Z230" s="646">
        <v>0</v>
      </c>
      <c r="AA230" s="646">
        <v>0</v>
      </c>
      <c r="AB230" s="647">
        <v>1.1719783337121883</v>
      </c>
      <c r="AC230" s="784">
        <v>4000</v>
      </c>
      <c r="AD230" s="631"/>
      <c r="AE230" s="631"/>
      <c r="AF230" s="631"/>
      <c r="AG230" s="631"/>
      <c r="AH230" s="629"/>
      <c r="AI230" s="648">
        <v>0.86490786836797862</v>
      </c>
      <c r="AJ230" s="649">
        <v>2.1930963564021644</v>
      </c>
      <c r="AK230" s="646">
        <v>18.469613717475905</v>
      </c>
      <c r="AL230" s="646">
        <v>0</v>
      </c>
      <c r="AM230" s="646">
        <v>0</v>
      </c>
      <c r="AN230" s="646">
        <v>34.326100692621587</v>
      </c>
      <c r="AO230" s="646">
        <v>0.53851898040345147</v>
      </c>
      <c r="AP230" s="801">
        <v>1800</v>
      </c>
      <c r="AQ230" s="563" t="s">
        <v>67</v>
      </c>
      <c r="AR230" s="563">
        <v>2</v>
      </c>
      <c r="AS230" s="563">
        <v>0</v>
      </c>
      <c r="AT230" s="563">
        <v>0</v>
      </c>
      <c r="AU230" s="563">
        <v>0</v>
      </c>
      <c r="AV230" s="650">
        <v>3951.5435573027785</v>
      </c>
      <c r="AW230" s="563">
        <v>0</v>
      </c>
      <c r="AX230" s="563">
        <v>0</v>
      </c>
      <c r="AY230" s="563">
        <v>0</v>
      </c>
      <c r="AZ230" s="650">
        <v>4503.9629082024776</v>
      </c>
      <c r="BA230" s="564">
        <v>3951.5435573027785</v>
      </c>
      <c r="BB230" s="565">
        <v>106.55470346884469</v>
      </c>
      <c r="BC230" s="649">
        <v>2.1930963564021644</v>
      </c>
      <c r="BD230" s="646">
        <v>18.469613717475905</v>
      </c>
      <c r="BE230" s="646">
        <v>0</v>
      </c>
      <c r="BF230" s="646">
        <v>0</v>
      </c>
      <c r="BG230" s="646">
        <v>34.326100692621587</v>
      </c>
      <c r="BH230" s="646">
        <v>0.53851898040345147</v>
      </c>
      <c r="BI230" s="646">
        <v>2250</v>
      </c>
      <c r="BJ230" s="563" t="s">
        <v>67</v>
      </c>
      <c r="BK230" s="563">
        <v>2</v>
      </c>
      <c r="BL230" s="563">
        <v>0</v>
      </c>
      <c r="BM230" s="563">
        <v>0</v>
      </c>
      <c r="BN230" s="563">
        <v>0</v>
      </c>
      <c r="BO230" s="650">
        <v>3951.5435573027785</v>
      </c>
      <c r="BP230" s="563">
        <v>0</v>
      </c>
      <c r="BQ230" s="563">
        <v>0</v>
      </c>
      <c r="BR230" s="563">
        <v>0</v>
      </c>
      <c r="BS230" s="650">
        <v>4503.9629082024776</v>
      </c>
      <c r="BT230" s="564">
        <v>3951.5435573027785</v>
      </c>
      <c r="BU230" s="565">
        <v>106.55470346884469</v>
      </c>
      <c r="BV230" s="649">
        <v>3.2896445346032466</v>
      </c>
      <c r="BW230" s="646">
        <v>19.729048042703877</v>
      </c>
      <c r="BX230" s="646">
        <v>0.16288614702688883</v>
      </c>
      <c r="BY230" s="646">
        <v>0</v>
      </c>
      <c r="BZ230" s="646">
        <v>36.284216542543987</v>
      </c>
      <c r="CA230" s="646">
        <v>0.60328248062460543</v>
      </c>
      <c r="CB230" s="646">
        <v>1800</v>
      </c>
      <c r="CC230" s="563" t="s">
        <v>1584</v>
      </c>
      <c r="CD230" s="563">
        <v>3</v>
      </c>
      <c r="CE230" s="563">
        <v>1</v>
      </c>
      <c r="CF230" s="563">
        <v>3</v>
      </c>
      <c r="CG230" s="563">
        <v>11.247813753446485</v>
      </c>
      <c r="CH230" s="650">
        <v>6080.8891684183309</v>
      </c>
      <c r="CI230" s="563">
        <v>0</v>
      </c>
      <c r="CJ230" s="563">
        <v>0</v>
      </c>
      <c r="CK230" s="563">
        <v>0</v>
      </c>
      <c r="CL230" s="650">
        <v>3745.3219062436979</v>
      </c>
      <c r="CM230" s="564">
        <v>3745.3219062436979</v>
      </c>
      <c r="CN230" s="565">
        <v>100.99386716303039</v>
      </c>
      <c r="CO230" s="649">
        <v>3.2896445346032466</v>
      </c>
      <c r="CP230" s="646">
        <v>19.729048042703877</v>
      </c>
      <c r="CQ230" s="646">
        <v>0.16288614702688883</v>
      </c>
      <c r="CR230" s="646">
        <v>0</v>
      </c>
      <c r="CS230" s="646">
        <v>36.284216542543987</v>
      </c>
      <c r="CT230" s="646">
        <v>0.60328248062460543</v>
      </c>
      <c r="CU230" s="646">
        <v>2250</v>
      </c>
      <c r="CV230" s="563" t="s">
        <v>1584</v>
      </c>
      <c r="CW230" s="563">
        <v>3</v>
      </c>
      <c r="CX230" s="563">
        <v>1</v>
      </c>
      <c r="CY230" s="563">
        <v>3</v>
      </c>
      <c r="CZ230" s="563">
        <v>11.247813753446485</v>
      </c>
      <c r="DA230" s="650">
        <v>6080.8891684183309</v>
      </c>
      <c r="DB230" s="563">
        <v>0</v>
      </c>
      <c r="DC230" s="563">
        <v>0</v>
      </c>
      <c r="DD230" s="563">
        <v>0</v>
      </c>
      <c r="DE230" s="650">
        <v>3745.3219062436979</v>
      </c>
      <c r="DF230" s="564">
        <v>3745.3219062436979</v>
      </c>
      <c r="DG230" s="565">
        <v>100.99386716303039</v>
      </c>
      <c r="DH230" s="649">
        <v>2.1930963564021644</v>
      </c>
      <c r="DI230" s="646">
        <v>18.469613717475905</v>
      </c>
      <c r="DJ230" s="646">
        <v>0</v>
      </c>
      <c r="DK230" s="646">
        <v>0</v>
      </c>
      <c r="DL230" s="646">
        <v>34.326100692621587</v>
      </c>
      <c r="DM230" s="646">
        <v>0.53851898040345147</v>
      </c>
      <c r="DN230" s="646">
        <v>1800</v>
      </c>
      <c r="DO230" s="563" t="s">
        <v>1585</v>
      </c>
      <c r="DP230" s="563">
        <v>2</v>
      </c>
      <c r="DQ230" s="563">
        <v>0</v>
      </c>
      <c r="DR230" s="563">
        <v>0</v>
      </c>
      <c r="DS230" s="563">
        <v>0</v>
      </c>
      <c r="DT230" s="650">
        <v>2662.0800031798371</v>
      </c>
      <c r="DU230" s="563">
        <v>0</v>
      </c>
      <c r="DV230" s="563">
        <v>0</v>
      </c>
      <c r="DW230" s="563">
        <v>0</v>
      </c>
      <c r="DX230" s="650">
        <v>3034.2344501887555</v>
      </c>
      <c r="DY230" s="564">
        <v>2662.0800031798371</v>
      </c>
      <c r="DZ230" s="565">
        <v>71.783884255798441</v>
      </c>
      <c r="EA230" s="649">
        <v>2.1930963564021644</v>
      </c>
      <c r="EB230" s="646">
        <v>19.094801400647103</v>
      </c>
      <c r="EC230" s="646">
        <v>0.10859076468459256</v>
      </c>
      <c r="ED230" s="646">
        <v>0.51659691848660649</v>
      </c>
      <c r="EE230" s="646">
        <v>35.330402525326519</v>
      </c>
      <c r="EF230" s="646">
        <v>0.57552365893912427</v>
      </c>
      <c r="EG230" s="646">
        <v>2250</v>
      </c>
      <c r="EH230" s="563" t="s">
        <v>1585</v>
      </c>
      <c r="EI230" s="563">
        <v>2</v>
      </c>
      <c r="EJ230" s="563">
        <v>1</v>
      </c>
      <c r="EK230" s="563">
        <v>2</v>
      </c>
      <c r="EL230" s="563">
        <v>11.247813753446485</v>
      </c>
      <c r="EM230" s="650">
        <v>6741.7473804964166</v>
      </c>
      <c r="EN230" s="563">
        <v>1</v>
      </c>
      <c r="EO230" s="563">
        <v>6</v>
      </c>
      <c r="EP230" s="563">
        <v>13.741586265540548</v>
      </c>
      <c r="EQ230" s="650">
        <v>6584.6998282673585</v>
      </c>
      <c r="ER230" s="564">
        <v>4000</v>
      </c>
      <c r="ES230" s="565">
        <v>107.86134777324956</v>
      </c>
      <c r="ET230" s="649">
        <v>2.1930963564021644</v>
      </c>
      <c r="EU230" s="646">
        <v>18.469613717475905</v>
      </c>
      <c r="EV230" s="646">
        <v>0</v>
      </c>
      <c r="EW230" s="646">
        <v>0</v>
      </c>
      <c r="EX230" s="646">
        <v>34.326100692621587</v>
      </c>
      <c r="EY230" s="646">
        <v>0.53851898040345147</v>
      </c>
      <c r="EZ230" s="646">
        <v>1800</v>
      </c>
      <c r="FA230" s="563" t="s">
        <v>1586</v>
      </c>
      <c r="FB230" s="563">
        <v>2</v>
      </c>
      <c r="FC230" s="563">
        <v>0</v>
      </c>
      <c r="FD230" s="563">
        <v>0</v>
      </c>
      <c r="FE230" s="563">
        <v>0</v>
      </c>
      <c r="FF230" s="650">
        <v>2794.1632455265831</v>
      </c>
      <c r="FG230" s="563">
        <v>0</v>
      </c>
      <c r="FH230" s="563">
        <v>0</v>
      </c>
      <c r="FI230" s="563">
        <v>0</v>
      </c>
      <c r="FJ230" s="650">
        <v>3184.7827146069585</v>
      </c>
      <c r="FK230" s="564">
        <v>2794.1632455265831</v>
      </c>
      <c r="FL230" s="565">
        <v>75.345553390243623</v>
      </c>
      <c r="FM230" s="649">
        <v>2.1930963564021644</v>
      </c>
      <c r="FN230" s="646">
        <v>18.578204482160498</v>
      </c>
      <c r="FO230" s="646">
        <v>0.10859076468459256</v>
      </c>
      <c r="FP230" s="646">
        <v>0</v>
      </c>
      <c r="FQ230" s="646">
        <v>34.505391548465319</v>
      </c>
      <c r="FR230" s="646">
        <v>0.54304923644486192</v>
      </c>
      <c r="FS230" s="646">
        <v>2250</v>
      </c>
      <c r="FT230" s="563" t="s">
        <v>1587</v>
      </c>
      <c r="FU230" s="563">
        <v>2</v>
      </c>
      <c r="FV230" s="563">
        <v>1</v>
      </c>
      <c r="FW230" s="563">
        <v>2</v>
      </c>
      <c r="FX230" s="563">
        <v>11.247813753446485</v>
      </c>
      <c r="FY230" s="650">
        <v>8326.600418078875</v>
      </c>
      <c r="FZ230" s="563">
        <v>0</v>
      </c>
      <c r="GA230" s="563">
        <v>0</v>
      </c>
      <c r="GB230" s="563">
        <v>0</v>
      </c>
      <c r="GC230" s="650">
        <v>3747.5236634566018</v>
      </c>
      <c r="GD230" s="564">
        <v>3747.5236634566018</v>
      </c>
      <c r="GE230" s="565">
        <v>101.05323828814372</v>
      </c>
      <c r="GF230" s="649">
        <v>2.1930963564021644</v>
      </c>
      <c r="GG230" s="646">
        <v>18.469613717475905</v>
      </c>
      <c r="GH230" s="646">
        <v>0</v>
      </c>
      <c r="GI230" s="646">
        <v>0</v>
      </c>
      <c r="GJ230" s="646">
        <v>34.326100692621587</v>
      </c>
      <c r="GK230" s="646">
        <v>0.53851898040345147</v>
      </c>
      <c r="GL230" s="646">
        <v>1800</v>
      </c>
      <c r="GM230" s="563" t="s">
        <v>1587</v>
      </c>
      <c r="GN230" s="563">
        <v>2</v>
      </c>
      <c r="GO230" s="563">
        <v>0</v>
      </c>
      <c r="GP230" s="563">
        <v>0</v>
      </c>
      <c r="GQ230" s="563">
        <v>0</v>
      </c>
      <c r="GR230" s="650">
        <v>3287.8829799425866</v>
      </c>
      <c r="GS230" s="563">
        <v>0</v>
      </c>
      <c r="GT230" s="563">
        <v>0</v>
      </c>
      <c r="GU230" s="563">
        <v>0</v>
      </c>
      <c r="GV230" s="650">
        <v>3747.5236634566018</v>
      </c>
      <c r="GW230" s="564">
        <v>3287.8829799425866</v>
      </c>
      <c r="GX230" s="565">
        <v>88.658872384333876</v>
      </c>
      <c r="GY230" s="649">
        <v>2.1930963564021644</v>
      </c>
      <c r="GZ230" s="646">
        <v>18.578204482160498</v>
      </c>
      <c r="HA230" s="646">
        <v>0.10859076468459256</v>
      </c>
      <c r="HB230" s="646">
        <v>0</v>
      </c>
      <c r="HC230" s="646">
        <v>34.505391548465319</v>
      </c>
      <c r="HD230" s="646">
        <v>0.54304923644486192</v>
      </c>
      <c r="HE230" s="646">
        <v>2250</v>
      </c>
      <c r="HF230" s="563" t="s">
        <v>1587</v>
      </c>
      <c r="HG230" s="563">
        <v>2</v>
      </c>
      <c r="HH230" s="563">
        <v>1</v>
      </c>
      <c r="HI230" s="563">
        <v>2</v>
      </c>
      <c r="HJ230" s="563">
        <v>11.247813753446485</v>
      </c>
      <c r="HK230" s="650">
        <v>8326.600418078875</v>
      </c>
      <c r="HL230" s="563">
        <v>0</v>
      </c>
      <c r="HM230" s="563">
        <v>0</v>
      </c>
      <c r="HN230" s="563">
        <v>0</v>
      </c>
      <c r="HO230" s="650">
        <v>3747.5236634566018</v>
      </c>
      <c r="HP230" s="564">
        <v>3747.5236634566018</v>
      </c>
      <c r="HQ230" s="565">
        <v>101.05323828814372</v>
      </c>
      <c r="HR230" s="649">
        <v>2.1930963564021644</v>
      </c>
      <c r="HS230" s="646">
        <v>18.469613717475905</v>
      </c>
      <c r="HT230" s="646">
        <v>0</v>
      </c>
      <c r="HU230" s="646">
        <v>0</v>
      </c>
      <c r="HV230" s="646">
        <v>34.326100692621587</v>
      </c>
      <c r="HW230" s="646">
        <v>0.53851898040345147</v>
      </c>
      <c r="HX230" s="646">
        <v>1800</v>
      </c>
      <c r="HY230" s="563" t="s">
        <v>68</v>
      </c>
      <c r="HZ230" s="563">
        <v>2</v>
      </c>
      <c r="IA230" s="563">
        <v>0</v>
      </c>
      <c r="IB230" s="563">
        <v>0</v>
      </c>
      <c r="IC230" s="563">
        <v>0</v>
      </c>
      <c r="ID230" s="650">
        <v>2899.6402349406026</v>
      </c>
      <c r="IE230" s="563">
        <v>0</v>
      </c>
      <c r="IF230" s="563">
        <v>0</v>
      </c>
      <c r="IG230" s="563">
        <v>0</v>
      </c>
      <c r="IH230" s="650">
        <v>3305.0052152830926</v>
      </c>
      <c r="II230" s="564">
        <v>2899.6402349406026</v>
      </c>
      <c r="IJ230" s="565">
        <v>78.189775949558864</v>
      </c>
      <c r="IK230" s="649">
        <v>2.1930963564021644</v>
      </c>
      <c r="IL230" s="646">
        <v>18.469613717475905</v>
      </c>
      <c r="IM230" s="646">
        <v>0</v>
      </c>
      <c r="IN230" s="646">
        <v>0</v>
      </c>
      <c r="IO230" s="646">
        <v>34.326100692621587</v>
      </c>
      <c r="IP230" s="646">
        <v>0.53851898040345147</v>
      </c>
      <c r="IQ230" s="646">
        <v>2250</v>
      </c>
      <c r="IR230" s="563" t="s">
        <v>68</v>
      </c>
      <c r="IS230" s="563">
        <v>2</v>
      </c>
      <c r="IT230" s="563">
        <v>0</v>
      </c>
      <c r="IU230" s="563">
        <v>0</v>
      </c>
      <c r="IV230" s="563">
        <v>0</v>
      </c>
      <c r="IW230" s="650">
        <v>2899.6402349406026</v>
      </c>
      <c r="IX230" s="563">
        <v>0</v>
      </c>
      <c r="IY230" s="563">
        <v>0</v>
      </c>
      <c r="IZ230" s="563">
        <v>0</v>
      </c>
      <c r="JA230" s="650">
        <v>3305.0052152830926</v>
      </c>
      <c r="JB230" s="564">
        <v>2899.6402349406026</v>
      </c>
      <c r="JC230" s="565">
        <v>78.189775949558864</v>
      </c>
      <c r="JD230" s="649">
        <v>2.1930963564021644</v>
      </c>
      <c r="JE230" s="646">
        <v>18.469613717475905</v>
      </c>
      <c r="JF230" s="646">
        <v>0</v>
      </c>
      <c r="JG230" s="646">
        <v>0</v>
      </c>
      <c r="JH230" s="646">
        <v>34.326100692621587</v>
      </c>
      <c r="JI230" s="646">
        <v>0.53851898040345147</v>
      </c>
      <c r="JJ230" s="646">
        <v>1800</v>
      </c>
      <c r="JK230" s="563" t="s">
        <v>67</v>
      </c>
      <c r="JL230" s="563">
        <v>2</v>
      </c>
      <c r="JM230" s="563">
        <v>0</v>
      </c>
      <c r="JN230" s="563">
        <v>0</v>
      </c>
      <c r="JO230" s="563">
        <v>0</v>
      </c>
      <c r="JP230" s="650">
        <v>3951.5435573027785</v>
      </c>
      <c r="JQ230" s="563">
        <v>0</v>
      </c>
      <c r="JR230" s="563">
        <v>0</v>
      </c>
      <c r="JS230" s="563">
        <v>0</v>
      </c>
      <c r="JT230" s="650">
        <v>4503.9629082024776</v>
      </c>
      <c r="JU230" s="564">
        <v>3951.5435573027785</v>
      </c>
      <c r="JV230" s="565">
        <v>106.55470346884469</v>
      </c>
      <c r="JW230" s="649">
        <v>2.1930963564021644</v>
      </c>
      <c r="JX230" s="646">
        <v>18.469613717475905</v>
      </c>
      <c r="JY230" s="646">
        <v>0</v>
      </c>
      <c r="JZ230" s="646">
        <v>0</v>
      </c>
      <c r="KA230" s="646">
        <v>34.326100692621587</v>
      </c>
      <c r="KB230" s="646">
        <v>0.53851898040345147</v>
      </c>
      <c r="KC230" s="646">
        <v>2250</v>
      </c>
      <c r="KD230" s="563" t="s">
        <v>67</v>
      </c>
      <c r="KE230" s="563">
        <v>2</v>
      </c>
      <c r="KF230" s="563">
        <v>0</v>
      </c>
      <c r="KG230" s="563">
        <v>0</v>
      </c>
      <c r="KH230" s="563">
        <v>0</v>
      </c>
      <c r="KI230" s="650">
        <v>3951.5435573027785</v>
      </c>
      <c r="KJ230" s="563">
        <v>0</v>
      </c>
      <c r="KK230" s="563">
        <v>0</v>
      </c>
      <c r="KL230" s="563">
        <v>0</v>
      </c>
      <c r="KM230" s="650">
        <v>4503.9629082024776</v>
      </c>
      <c r="KN230" s="564">
        <v>3951.5435573027785</v>
      </c>
      <c r="KO230" s="566">
        <v>106.55470346884469</v>
      </c>
    </row>
    <row r="231" spans="1:301" ht="15" customHeight="1">
      <c r="A231" s="782" t="s">
        <v>980</v>
      </c>
      <c r="B231" s="629" t="s">
        <v>382</v>
      </c>
      <c r="C231" s="629">
        <v>225</v>
      </c>
      <c r="D231" s="629">
        <v>315</v>
      </c>
      <c r="E231" s="629"/>
      <c r="F231" s="629"/>
      <c r="G231" s="629">
        <v>28</v>
      </c>
      <c r="H231" s="629">
        <v>100</v>
      </c>
      <c r="I231" s="629">
        <v>100</v>
      </c>
      <c r="J231" s="629">
        <v>51.2</v>
      </c>
      <c r="K231" s="629">
        <v>25.6</v>
      </c>
      <c r="L231" s="629">
        <v>14</v>
      </c>
      <c r="M231" s="629">
        <v>72.446527909730875</v>
      </c>
      <c r="N231" s="629">
        <v>2</v>
      </c>
      <c r="O231" s="623">
        <v>1.2235187843808555</v>
      </c>
      <c r="P231" s="629">
        <v>2</v>
      </c>
      <c r="Q231" s="623">
        <v>0.35759178379485823</v>
      </c>
      <c r="R231" s="629">
        <v>7</v>
      </c>
      <c r="S231" s="629">
        <v>265</v>
      </c>
      <c r="T231" s="645">
        <v>3.03074450205099</v>
      </c>
      <c r="U231" s="645">
        <v>39.75</v>
      </c>
      <c r="V231" s="645">
        <v>10</v>
      </c>
      <c r="W231" s="793">
        <v>7.3062590674443512E-2</v>
      </c>
      <c r="X231" s="646">
        <v>0</v>
      </c>
      <c r="Y231" s="646">
        <v>0</v>
      </c>
      <c r="Z231" s="646">
        <v>0</v>
      </c>
      <c r="AA231" s="646">
        <v>0</v>
      </c>
      <c r="AB231" s="647">
        <v>0.63526646985205037</v>
      </c>
      <c r="AC231" s="784">
        <v>4000</v>
      </c>
      <c r="AD231" s="631"/>
      <c r="AE231" s="631"/>
      <c r="AF231" s="631"/>
      <c r="AG231" s="631"/>
      <c r="AH231" s="629"/>
      <c r="AI231" s="648">
        <v>0.43505324515570204</v>
      </c>
      <c r="AJ231" s="649">
        <v>1.5923746834558847</v>
      </c>
      <c r="AK231" s="646">
        <v>6.2772923443570328</v>
      </c>
      <c r="AL231" s="646">
        <v>0</v>
      </c>
      <c r="AM231" s="646">
        <v>0</v>
      </c>
      <c r="AN231" s="646">
        <v>33.979797563032442</v>
      </c>
      <c r="AO231" s="646">
        <v>7.9181119764578034E-2</v>
      </c>
      <c r="AP231" s="801">
        <v>2900</v>
      </c>
      <c r="AQ231" s="563" t="s">
        <v>67</v>
      </c>
      <c r="AR231" s="563">
        <v>2</v>
      </c>
      <c r="AS231" s="563">
        <v>0</v>
      </c>
      <c r="AT231" s="563">
        <v>0</v>
      </c>
      <c r="AU231" s="563">
        <v>0</v>
      </c>
      <c r="AV231" s="650">
        <v>7138.7359267097527</v>
      </c>
      <c r="AW231" s="563">
        <v>0</v>
      </c>
      <c r="AX231" s="563">
        <v>0</v>
      </c>
      <c r="AY231" s="563">
        <v>0</v>
      </c>
      <c r="AZ231" s="650">
        <v>5029.1069067682738</v>
      </c>
      <c r="BA231" s="564">
        <v>4000</v>
      </c>
      <c r="BB231" s="565">
        <v>65.973445725385659</v>
      </c>
      <c r="BC231" s="649">
        <v>1.5923746834558847</v>
      </c>
      <c r="BD231" s="646">
        <v>6.2772923443570328</v>
      </c>
      <c r="BE231" s="646">
        <v>0</v>
      </c>
      <c r="BF231" s="646">
        <v>0</v>
      </c>
      <c r="BG231" s="646">
        <v>33.979797563032442</v>
      </c>
      <c r="BH231" s="646">
        <v>7.9181119764578034E-2</v>
      </c>
      <c r="BI231" s="646">
        <v>3600</v>
      </c>
      <c r="BJ231" s="563" t="s">
        <v>67</v>
      </c>
      <c r="BK231" s="563">
        <v>2</v>
      </c>
      <c r="BL231" s="563">
        <v>0</v>
      </c>
      <c r="BM231" s="563">
        <v>0</v>
      </c>
      <c r="BN231" s="563">
        <v>0</v>
      </c>
      <c r="BO231" s="650">
        <v>7138.7359267097527</v>
      </c>
      <c r="BP231" s="563">
        <v>0</v>
      </c>
      <c r="BQ231" s="563">
        <v>0</v>
      </c>
      <c r="BR231" s="563">
        <v>0</v>
      </c>
      <c r="BS231" s="650">
        <v>5029.1069067682738</v>
      </c>
      <c r="BT231" s="564">
        <v>4000</v>
      </c>
      <c r="BU231" s="565">
        <v>65.973445725385659</v>
      </c>
      <c r="BV231" s="649">
        <v>2.3885620251838269</v>
      </c>
      <c r="BW231" s="646">
        <v>7.3673932443412822</v>
      </c>
      <c r="BX231" s="646">
        <v>0.11379837295478243</v>
      </c>
      <c r="BY231" s="646">
        <v>0.18011518530152471</v>
      </c>
      <c r="BZ231" s="646">
        <v>36.350193239669039</v>
      </c>
      <c r="CA231" s="646">
        <v>9.9978501580457999E-2</v>
      </c>
      <c r="CB231" s="646">
        <v>2900</v>
      </c>
      <c r="CC231" s="563" t="s">
        <v>1584</v>
      </c>
      <c r="CD231" s="563">
        <v>3</v>
      </c>
      <c r="CE231" s="563">
        <v>1</v>
      </c>
      <c r="CF231" s="563">
        <v>3</v>
      </c>
      <c r="CG231" s="563">
        <v>14.115082406880225</v>
      </c>
      <c r="CH231" s="650">
        <v>10678.348752765611</v>
      </c>
      <c r="CI231" s="563">
        <v>2</v>
      </c>
      <c r="CJ231" s="563">
        <v>3</v>
      </c>
      <c r="CK231" s="563">
        <v>7.8257780649949433</v>
      </c>
      <c r="CL231" s="650">
        <v>7690.2475460589758</v>
      </c>
      <c r="CM231" s="564">
        <v>4000</v>
      </c>
      <c r="CN231" s="565">
        <v>65.973445725385659</v>
      </c>
      <c r="CO231" s="649">
        <v>2.3885620251838269</v>
      </c>
      <c r="CP231" s="646">
        <v>7.3673932443412822</v>
      </c>
      <c r="CQ231" s="646">
        <v>0.11379837295478243</v>
      </c>
      <c r="CR231" s="646">
        <v>0.18011518530152471</v>
      </c>
      <c r="CS231" s="646">
        <v>36.350193239669039</v>
      </c>
      <c r="CT231" s="646">
        <v>9.9978501580457999E-2</v>
      </c>
      <c r="CU231" s="646">
        <v>3600</v>
      </c>
      <c r="CV231" s="563" t="s">
        <v>1584</v>
      </c>
      <c r="CW231" s="563">
        <v>3</v>
      </c>
      <c r="CX231" s="563">
        <v>1</v>
      </c>
      <c r="CY231" s="563">
        <v>3</v>
      </c>
      <c r="CZ231" s="563">
        <v>14.115082406880225</v>
      </c>
      <c r="DA231" s="650">
        <v>10678.348752765611</v>
      </c>
      <c r="DB231" s="563">
        <v>2</v>
      </c>
      <c r="DC231" s="563">
        <v>3</v>
      </c>
      <c r="DD231" s="563">
        <v>7.8257780649949433</v>
      </c>
      <c r="DE231" s="650">
        <v>7690.2475460589758</v>
      </c>
      <c r="DF231" s="564">
        <v>4000</v>
      </c>
      <c r="DG231" s="565">
        <v>65.973445725385659</v>
      </c>
      <c r="DH231" s="649">
        <v>1.5923746834558847</v>
      </c>
      <c r="DI231" s="646">
        <v>6.4732347165279043</v>
      </c>
      <c r="DJ231" s="646">
        <v>7.5865581969854962E-2</v>
      </c>
      <c r="DK231" s="646">
        <v>0.12007679020101647</v>
      </c>
      <c r="DL231" s="646">
        <v>34.464723045518376</v>
      </c>
      <c r="DM231" s="646">
        <v>8.3103651545337012E-2</v>
      </c>
      <c r="DN231" s="646">
        <v>2900</v>
      </c>
      <c r="DO231" s="563" t="s">
        <v>1585</v>
      </c>
      <c r="DP231" s="563">
        <v>2</v>
      </c>
      <c r="DQ231" s="563">
        <v>1</v>
      </c>
      <c r="DR231" s="563">
        <v>2</v>
      </c>
      <c r="DS231" s="563">
        <v>14.115082406880225</v>
      </c>
      <c r="DT231" s="650">
        <v>11838.849177826718</v>
      </c>
      <c r="DU231" s="563">
        <v>2</v>
      </c>
      <c r="DV231" s="563">
        <v>2</v>
      </c>
      <c r="DW231" s="563">
        <v>7.8257780649949433</v>
      </c>
      <c r="DX231" s="650">
        <v>8526.0074329717536</v>
      </c>
      <c r="DY231" s="564">
        <v>4000</v>
      </c>
      <c r="DZ231" s="565">
        <v>65.973445725385659</v>
      </c>
      <c r="EA231" s="649">
        <v>1.5923746834558847</v>
      </c>
      <c r="EB231" s="646">
        <v>6.4732347165279043</v>
      </c>
      <c r="EC231" s="646">
        <v>7.5865581969854962E-2</v>
      </c>
      <c r="ED231" s="646">
        <v>0.12007679020101647</v>
      </c>
      <c r="EE231" s="646">
        <v>34.464723045518376</v>
      </c>
      <c r="EF231" s="646">
        <v>8.3103651545337012E-2</v>
      </c>
      <c r="EG231" s="646">
        <v>3600</v>
      </c>
      <c r="EH231" s="563" t="s">
        <v>1585</v>
      </c>
      <c r="EI231" s="563">
        <v>2</v>
      </c>
      <c r="EJ231" s="563">
        <v>1</v>
      </c>
      <c r="EK231" s="563">
        <v>2</v>
      </c>
      <c r="EL231" s="563">
        <v>14.115082406880225</v>
      </c>
      <c r="EM231" s="650">
        <v>11838.849177826718</v>
      </c>
      <c r="EN231" s="563">
        <v>2</v>
      </c>
      <c r="EO231" s="563">
        <v>2</v>
      </c>
      <c r="EP231" s="563">
        <v>7.8257780649949433</v>
      </c>
      <c r="EQ231" s="650">
        <v>8526.0074329717536</v>
      </c>
      <c r="ER231" s="564">
        <v>4000</v>
      </c>
      <c r="ES231" s="565">
        <v>65.973445725385659</v>
      </c>
      <c r="ET231" s="649">
        <v>1.5923746834558847</v>
      </c>
      <c r="EU231" s="646">
        <v>6.3373307394575411</v>
      </c>
      <c r="EV231" s="646">
        <v>0</v>
      </c>
      <c r="EW231" s="646">
        <v>6.0038395100508235E-2</v>
      </c>
      <c r="EX231" s="646">
        <v>34.131569228903103</v>
      </c>
      <c r="EY231" s="646">
        <v>8.059828473584045E-2</v>
      </c>
      <c r="EZ231" s="646">
        <v>2900</v>
      </c>
      <c r="FA231" s="563" t="s">
        <v>1587</v>
      </c>
      <c r="FB231" s="563">
        <v>2</v>
      </c>
      <c r="FC231" s="563">
        <v>0</v>
      </c>
      <c r="FD231" s="563">
        <v>0</v>
      </c>
      <c r="FE231" s="563">
        <v>0</v>
      </c>
      <c r="FF231" s="650">
        <v>5939.7873290189891</v>
      </c>
      <c r="FG231" s="563">
        <v>1</v>
      </c>
      <c r="FH231" s="563">
        <v>2</v>
      </c>
      <c r="FI231" s="563">
        <v>7.8257780649949433</v>
      </c>
      <c r="FJ231" s="650">
        <v>9785.8752447103961</v>
      </c>
      <c r="FK231" s="564">
        <v>4000</v>
      </c>
      <c r="FL231" s="565">
        <v>65.973445725385659</v>
      </c>
      <c r="FM231" s="649">
        <v>1.5923746834558847</v>
      </c>
      <c r="FN231" s="646">
        <v>6.3373307394575411</v>
      </c>
      <c r="FO231" s="646">
        <v>0</v>
      </c>
      <c r="FP231" s="646">
        <v>6.0038395100508235E-2</v>
      </c>
      <c r="FQ231" s="646">
        <v>34.131569228903103</v>
      </c>
      <c r="FR231" s="646">
        <v>8.059828473584045E-2</v>
      </c>
      <c r="FS231" s="646">
        <v>3600</v>
      </c>
      <c r="FT231" s="563" t="s">
        <v>1587</v>
      </c>
      <c r="FU231" s="563">
        <v>2</v>
      </c>
      <c r="FV231" s="563">
        <v>0</v>
      </c>
      <c r="FW231" s="563">
        <v>0</v>
      </c>
      <c r="FX231" s="563">
        <v>0</v>
      </c>
      <c r="FY231" s="650">
        <v>5939.7873290189891</v>
      </c>
      <c r="FZ231" s="563">
        <v>1</v>
      </c>
      <c r="GA231" s="563">
        <v>2</v>
      </c>
      <c r="GB231" s="563">
        <v>7.8257780649949433</v>
      </c>
      <c r="GC231" s="650">
        <v>9785.8752447103961</v>
      </c>
      <c r="GD231" s="564">
        <v>4000</v>
      </c>
      <c r="GE231" s="565">
        <v>65.973445725385659</v>
      </c>
      <c r="GF231" s="649">
        <v>1.5923746834558847</v>
      </c>
      <c r="GG231" s="646">
        <v>6.3373307394575411</v>
      </c>
      <c r="GH231" s="646">
        <v>0</v>
      </c>
      <c r="GI231" s="646">
        <v>6.0038395100508235E-2</v>
      </c>
      <c r="GJ231" s="646">
        <v>34.131569228903103</v>
      </c>
      <c r="GK231" s="646">
        <v>8.059828473584045E-2</v>
      </c>
      <c r="GL231" s="646">
        <v>2900</v>
      </c>
      <c r="GM231" s="563" t="s">
        <v>1587</v>
      </c>
      <c r="GN231" s="563">
        <v>2</v>
      </c>
      <c r="GO231" s="563">
        <v>0</v>
      </c>
      <c r="GP231" s="563">
        <v>0</v>
      </c>
      <c r="GQ231" s="563">
        <v>0</v>
      </c>
      <c r="GR231" s="650">
        <v>5939.7873290189891</v>
      </c>
      <c r="GS231" s="563">
        <v>1</v>
      </c>
      <c r="GT231" s="563">
        <v>2</v>
      </c>
      <c r="GU231" s="563">
        <v>7.8257780649949433</v>
      </c>
      <c r="GV231" s="650">
        <v>9785.8752447103961</v>
      </c>
      <c r="GW231" s="564">
        <v>4000</v>
      </c>
      <c r="GX231" s="565">
        <v>65.973445725385659</v>
      </c>
      <c r="GY231" s="649">
        <v>1.5923746834558847</v>
      </c>
      <c r="GZ231" s="646">
        <v>6.3373307394575411</v>
      </c>
      <c r="HA231" s="646">
        <v>0</v>
      </c>
      <c r="HB231" s="646">
        <v>6.0038395100508235E-2</v>
      </c>
      <c r="HC231" s="646">
        <v>34.131569228903103</v>
      </c>
      <c r="HD231" s="646">
        <v>8.059828473584045E-2</v>
      </c>
      <c r="HE231" s="646">
        <v>3600</v>
      </c>
      <c r="HF231" s="563" t="s">
        <v>1587</v>
      </c>
      <c r="HG231" s="563">
        <v>2</v>
      </c>
      <c r="HH231" s="563">
        <v>0</v>
      </c>
      <c r="HI231" s="563">
        <v>0</v>
      </c>
      <c r="HJ231" s="563">
        <v>0</v>
      </c>
      <c r="HK231" s="650">
        <v>5939.7873290189891</v>
      </c>
      <c r="HL231" s="563">
        <v>1</v>
      </c>
      <c r="HM231" s="563">
        <v>2</v>
      </c>
      <c r="HN231" s="563">
        <v>7.8257780649949433</v>
      </c>
      <c r="HO231" s="650">
        <v>9785.8752447103961</v>
      </c>
      <c r="HP231" s="564">
        <v>4000</v>
      </c>
      <c r="HQ231" s="565">
        <v>65.973445725385659</v>
      </c>
      <c r="HR231" s="649">
        <v>1.5923746834558847</v>
      </c>
      <c r="HS231" s="646">
        <v>6.2772923443570328</v>
      </c>
      <c r="HT231" s="646">
        <v>0</v>
      </c>
      <c r="HU231" s="646">
        <v>0</v>
      </c>
      <c r="HV231" s="646">
        <v>33.979797563032442</v>
      </c>
      <c r="HW231" s="646">
        <v>7.9181119764578034E-2</v>
      </c>
      <c r="HX231" s="646">
        <v>2900</v>
      </c>
      <c r="HY231" s="563" t="s">
        <v>68</v>
      </c>
      <c r="HZ231" s="563">
        <v>2</v>
      </c>
      <c r="IA231" s="563">
        <v>0</v>
      </c>
      <c r="IB231" s="563">
        <v>0</v>
      </c>
      <c r="IC231" s="563">
        <v>0</v>
      </c>
      <c r="ID231" s="650">
        <v>5238.4000377322773</v>
      </c>
      <c r="IE231" s="563">
        <v>0</v>
      </c>
      <c r="IF231" s="563">
        <v>0</v>
      </c>
      <c r="IG231" s="563">
        <v>0</v>
      </c>
      <c r="IH231" s="650">
        <v>3690.3555588330551</v>
      </c>
      <c r="II231" s="564">
        <v>3690.3555588330551</v>
      </c>
      <c r="IJ231" s="565">
        <v>60.866368042011956</v>
      </c>
      <c r="IK231" s="649">
        <v>1.5923746834558847</v>
      </c>
      <c r="IL231" s="646">
        <v>6.2772923443570328</v>
      </c>
      <c r="IM231" s="646">
        <v>0</v>
      </c>
      <c r="IN231" s="646">
        <v>0</v>
      </c>
      <c r="IO231" s="646">
        <v>33.979797563032442</v>
      </c>
      <c r="IP231" s="646">
        <v>7.9181119764578034E-2</v>
      </c>
      <c r="IQ231" s="646">
        <v>3600</v>
      </c>
      <c r="IR231" s="563" t="s">
        <v>68</v>
      </c>
      <c r="IS231" s="563">
        <v>2</v>
      </c>
      <c r="IT231" s="563">
        <v>0</v>
      </c>
      <c r="IU231" s="563">
        <v>0</v>
      </c>
      <c r="IV231" s="563">
        <v>0</v>
      </c>
      <c r="IW231" s="650">
        <v>5238.4000377322773</v>
      </c>
      <c r="IX231" s="563">
        <v>0</v>
      </c>
      <c r="IY231" s="563">
        <v>0</v>
      </c>
      <c r="IZ231" s="563">
        <v>0</v>
      </c>
      <c r="JA231" s="650">
        <v>3690.3555588330551</v>
      </c>
      <c r="JB231" s="564">
        <v>3690.3555588330551</v>
      </c>
      <c r="JC231" s="565">
        <v>60.866368042011956</v>
      </c>
      <c r="JD231" s="649">
        <v>1.5923746834558847</v>
      </c>
      <c r="JE231" s="646">
        <v>6.2772923443570328</v>
      </c>
      <c r="JF231" s="646">
        <v>0</v>
      </c>
      <c r="JG231" s="646">
        <v>0</v>
      </c>
      <c r="JH231" s="646">
        <v>33.979797563032442</v>
      </c>
      <c r="JI231" s="646">
        <v>7.9181119764578034E-2</v>
      </c>
      <c r="JJ231" s="646">
        <v>2900</v>
      </c>
      <c r="JK231" s="563" t="s">
        <v>67</v>
      </c>
      <c r="JL231" s="563">
        <v>2</v>
      </c>
      <c r="JM231" s="563">
        <v>0</v>
      </c>
      <c r="JN231" s="563">
        <v>0</v>
      </c>
      <c r="JO231" s="563">
        <v>0</v>
      </c>
      <c r="JP231" s="650">
        <v>7138.7359267097527</v>
      </c>
      <c r="JQ231" s="563">
        <v>0</v>
      </c>
      <c r="JR231" s="563">
        <v>0</v>
      </c>
      <c r="JS231" s="563">
        <v>0</v>
      </c>
      <c r="JT231" s="650">
        <v>5029.1069067682738</v>
      </c>
      <c r="JU231" s="564">
        <v>4000</v>
      </c>
      <c r="JV231" s="565">
        <v>65.973445725385659</v>
      </c>
      <c r="JW231" s="649">
        <v>1.5923746834558847</v>
      </c>
      <c r="JX231" s="646">
        <v>6.2772923443570328</v>
      </c>
      <c r="JY231" s="646">
        <v>0</v>
      </c>
      <c r="JZ231" s="646">
        <v>0</v>
      </c>
      <c r="KA231" s="646">
        <v>33.979797563032442</v>
      </c>
      <c r="KB231" s="646">
        <v>7.9181119764578034E-2</v>
      </c>
      <c r="KC231" s="646">
        <v>3600</v>
      </c>
      <c r="KD231" s="563" t="s">
        <v>67</v>
      </c>
      <c r="KE231" s="563">
        <v>2</v>
      </c>
      <c r="KF231" s="563">
        <v>0</v>
      </c>
      <c r="KG231" s="563">
        <v>0</v>
      </c>
      <c r="KH231" s="563">
        <v>0</v>
      </c>
      <c r="KI231" s="650">
        <v>7138.7359267097527</v>
      </c>
      <c r="KJ231" s="563">
        <v>0</v>
      </c>
      <c r="KK231" s="563">
        <v>0</v>
      </c>
      <c r="KL231" s="563">
        <v>0</v>
      </c>
      <c r="KM231" s="650">
        <v>5029.1069067682738</v>
      </c>
      <c r="KN231" s="564">
        <v>4000</v>
      </c>
      <c r="KO231" s="566">
        <v>65.973445725385659</v>
      </c>
    </row>
    <row r="232" spans="1:301" ht="15" customHeight="1">
      <c r="A232" s="782" t="s">
        <v>981</v>
      </c>
      <c r="B232" s="629" t="s">
        <v>382</v>
      </c>
      <c r="C232" s="629">
        <v>225</v>
      </c>
      <c r="D232" s="629">
        <v>315</v>
      </c>
      <c r="E232" s="629"/>
      <c r="F232" s="629"/>
      <c r="G232" s="629">
        <v>28</v>
      </c>
      <c r="H232" s="629">
        <v>100</v>
      </c>
      <c r="I232" s="629">
        <v>100</v>
      </c>
      <c r="J232" s="629">
        <v>51.2</v>
      </c>
      <c r="K232" s="629">
        <v>25.6</v>
      </c>
      <c r="L232" s="629">
        <v>14</v>
      </c>
      <c r="M232" s="629">
        <v>72.446527909730875</v>
      </c>
      <c r="N232" s="629">
        <v>2</v>
      </c>
      <c r="O232" s="623">
        <v>1.2235187843808555</v>
      </c>
      <c r="P232" s="629">
        <v>2</v>
      </c>
      <c r="Q232" s="623">
        <v>0.35759178379485823</v>
      </c>
      <c r="R232" s="629">
        <v>7</v>
      </c>
      <c r="S232" s="629">
        <v>265</v>
      </c>
      <c r="T232" s="645">
        <v>3.03074450205099</v>
      </c>
      <c r="U232" s="645">
        <v>39.75</v>
      </c>
      <c r="V232" s="645">
        <v>10</v>
      </c>
      <c r="W232" s="793">
        <v>7.3062590674443512E-2</v>
      </c>
      <c r="X232" s="646">
        <v>0</v>
      </c>
      <c r="Y232" s="646">
        <v>0</v>
      </c>
      <c r="Z232" s="646">
        <v>0</v>
      </c>
      <c r="AA232" s="646">
        <v>0</v>
      </c>
      <c r="AB232" s="647">
        <v>0.63526646985205037</v>
      </c>
      <c r="AC232" s="784">
        <v>4000</v>
      </c>
      <c r="AD232" s="631"/>
      <c r="AE232" s="631"/>
      <c r="AF232" s="631"/>
      <c r="AG232" s="631"/>
      <c r="AH232" s="629"/>
      <c r="AI232" s="648">
        <v>0.43505324515570204</v>
      </c>
      <c r="AJ232" s="649">
        <v>1.5923746834558847</v>
      </c>
      <c r="AK232" s="646">
        <v>6.2772923443570328</v>
      </c>
      <c r="AL232" s="646">
        <v>0</v>
      </c>
      <c r="AM232" s="646">
        <v>0</v>
      </c>
      <c r="AN232" s="646">
        <v>33.979797563032442</v>
      </c>
      <c r="AO232" s="646">
        <v>7.9181119764578034E-2</v>
      </c>
      <c r="AP232" s="801">
        <v>2900</v>
      </c>
      <c r="AQ232" s="563" t="s">
        <v>67</v>
      </c>
      <c r="AR232" s="563">
        <v>2</v>
      </c>
      <c r="AS232" s="563">
        <v>0</v>
      </c>
      <c r="AT232" s="563">
        <v>0</v>
      </c>
      <c r="AU232" s="563">
        <v>0</v>
      </c>
      <c r="AV232" s="650">
        <v>7138.7359267097527</v>
      </c>
      <c r="AW232" s="563">
        <v>0</v>
      </c>
      <c r="AX232" s="563">
        <v>0</v>
      </c>
      <c r="AY232" s="563">
        <v>0</v>
      </c>
      <c r="AZ232" s="650">
        <v>5029.1069067682738</v>
      </c>
      <c r="BA232" s="564">
        <v>4000</v>
      </c>
      <c r="BB232" s="565">
        <v>65.973445725385659</v>
      </c>
      <c r="BC232" s="649">
        <v>1.5923746834558847</v>
      </c>
      <c r="BD232" s="646">
        <v>6.2772923443570328</v>
      </c>
      <c r="BE232" s="646">
        <v>0</v>
      </c>
      <c r="BF232" s="646">
        <v>0</v>
      </c>
      <c r="BG232" s="646">
        <v>33.979797563032442</v>
      </c>
      <c r="BH232" s="646">
        <v>7.9181119764578034E-2</v>
      </c>
      <c r="BI232" s="646">
        <v>3600</v>
      </c>
      <c r="BJ232" s="563" t="s">
        <v>67</v>
      </c>
      <c r="BK232" s="563">
        <v>2</v>
      </c>
      <c r="BL232" s="563">
        <v>0</v>
      </c>
      <c r="BM232" s="563">
        <v>0</v>
      </c>
      <c r="BN232" s="563">
        <v>0</v>
      </c>
      <c r="BO232" s="650">
        <v>7138.7359267097527</v>
      </c>
      <c r="BP232" s="563">
        <v>0</v>
      </c>
      <c r="BQ232" s="563">
        <v>0</v>
      </c>
      <c r="BR232" s="563">
        <v>0</v>
      </c>
      <c r="BS232" s="650">
        <v>5029.1069067682738</v>
      </c>
      <c r="BT232" s="564">
        <v>4000</v>
      </c>
      <c r="BU232" s="565">
        <v>65.973445725385659</v>
      </c>
      <c r="BV232" s="649">
        <v>2.3885620251838269</v>
      </c>
      <c r="BW232" s="646">
        <v>7.3673932443412822</v>
      </c>
      <c r="BX232" s="646">
        <v>0.11379837295478243</v>
      </c>
      <c r="BY232" s="646">
        <v>0.18011518530152471</v>
      </c>
      <c r="BZ232" s="646">
        <v>36.350193239669039</v>
      </c>
      <c r="CA232" s="646">
        <v>9.9978501580457999E-2</v>
      </c>
      <c r="CB232" s="646">
        <v>2900</v>
      </c>
      <c r="CC232" s="563" t="s">
        <v>1584</v>
      </c>
      <c r="CD232" s="563">
        <v>3</v>
      </c>
      <c r="CE232" s="563">
        <v>1</v>
      </c>
      <c r="CF232" s="563">
        <v>3</v>
      </c>
      <c r="CG232" s="563">
        <v>14.115082406880225</v>
      </c>
      <c r="CH232" s="650">
        <v>10678.348752765611</v>
      </c>
      <c r="CI232" s="563">
        <v>2</v>
      </c>
      <c r="CJ232" s="563">
        <v>3</v>
      </c>
      <c r="CK232" s="563">
        <v>7.8257780649949433</v>
      </c>
      <c r="CL232" s="650">
        <v>7690.2475460589758</v>
      </c>
      <c r="CM232" s="564">
        <v>4000</v>
      </c>
      <c r="CN232" s="565">
        <v>65.973445725385659</v>
      </c>
      <c r="CO232" s="649">
        <v>2.3885620251838269</v>
      </c>
      <c r="CP232" s="646">
        <v>7.3673932443412822</v>
      </c>
      <c r="CQ232" s="646">
        <v>0.11379837295478243</v>
      </c>
      <c r="CR232" s="646">
        <v>0.18011518530152471</v>
      </c>
      <c r="CS232" s="646">
        <v>36.350193239669039</v>
      </c>
      <c r="CT232" s="646">
        <v>9.9978501580457999E-2</v>
      </c>
      <c r="CU232" s="646">
        <v>3600</v>
      </c>
      <c r="CV232" s="563" t="s">
        <v>1584</v>
      </c>
      <c r="CW232" s="563">
        <v>3</v>
      </c>
      <c r="CX232" s="563">
        <v>1</v>
      </c>
      <c r="CY232" s="563">
        <v>3</v>
      </c>
      <c r="CZ232" s="563">
        <v>14.115082406880225</v>
      </c>
      <c r="DA232" s="650">
        <v>10678.348752765611</v>
      </c>
      <c r="DB232" s="563">
        <v>2</v>
      </c>
      <c r="DC232" s="563">
        <v>3</v>
      </c>
      <c r="DD232" s="563">
        <v>7.8257780649949433</v>
      </c>
      <c r="DE232" s="650">
        <v>7690.2475460589758</v>
      </c>
      <c r="DF232" s="564">
        <v>4000</v>
      </c>
      <c r="DG232" s="565">
        <v>65.973445725385659</v>
      </c>
      <c r="DH232" s="649">
        <v>1.5923746834558847</v>
      </c>
      <c r="DI232" s="646">
        <v>6.4732347165279043</v>
      </c>
      <c r="DJ232" s="646">
        <v>7.5865581969854962E-2</v>
      </c>
      <c r="DK232" s="646">
        <v>0.12007679020101647</v>
      </c>
      <c r="DL232" s="646">
        <v>34.464723045518376</v>
      </c>
      <c r="DM232" s="646">
        <v>8.3103651545337012E-2</v>
      </c>
      <c r="DN232" s="646">
        <v>2900</v>
      </c>
      <c r="DO232" s="563" t="s">
        <v>1585</v>
      </c>
      <c r="DP232" s="563">
        <v>2</v>
      </c>
      <c r="DQ232" s="563">
        <v>1</v>
      </c>
      <c r="DR232" s="563">
        <v>2</v>
      </c>
      <c r="DS232" s="563">
        <v>14.115082406880225</v>
      </c>
      <c r="DT232" s="650">
        <v>11838.849177826718</v>
      </c>
      <c r="DU232" s="563">
        <v>2</v>
      </c>
      <c r="DV232" s="563">
        <v>2</v>
      </c>
      <c r="DW232" s="563">
        <v>7.8257780649949433</v>
      </c>
      <c r="DX232" s="650">
        <v>8526.0074329717536</v>
      </c>
      <c r="DY232" s="564">
        <v>4000</v>
      </c>
      <c r="DZ232" s="565">
        <v>65.973445725385659</v>
      </c>
      <c r="EA232" s="649">
        <v>1.5923746834558847</v>
      </c>
      <c r="EB232" s="646">
        <v>6.4732347165279043</v>
      </c>
      <c r="EC232" s="646">
        <v>7.5865581969854962E-2</v>
      </c>
      <c r="ED232" s="646">
        <v>0.12007679020101647</v>
      </c>
      <c r="EE232" s="646">
        <v>34.464723045518376</v>
      </c>
      <c r="EF232" s="646">
        <v>8.3103651545337012E-2</v>
      </c>
      <c r="EG232" s="646">
        <v>3600</v>
      </c>
      <c r="EH232" s="563" t="s">
        <v>1585</v>
      </c>
      <c r="EI232" s="563">
        <v>2</v>
      </c>
      <c r="EJ232" s="563">
        <v>1</v>
      </c>
      <c r="EK232" s="563">
        <v>2</v>
      </c>
      <c r="EL232" s="563">
        <v>14.115082406880225</v>
      </c>
      <c r="EM232" s="650">
        <v>11838.849177826718</v>
      </c>
      <c r="EN232" s="563">
        <v>2</v>
      </c>
      <c r="EO232" s="563">
        <v>2</v>
      </c>
      <c r="EP232" s="563">
        <v>7.8257780649949433</v>
      </c>
      <c r="EQ232" s="650">
        <v>8526.0074329717536</v>
      </c>
      <c r="ER232" s="564">
        <v>4000</v>
      </c>
      <c r="ES232" s="565">
        <v>65.973445725385659</v>
      </c>
      <c r="ET232" s="649">
        <v>1.5923746834558847</v>
      </c>
      <c r="EU232" s="646">
        <v>6.3373307394575411</v>
      </c>
      <c r="EV232" s="646">
        <v>0</v>
      </c>
      <c r="EW232" s="646">
        <v>6.0038395100508235E-2</v>
      </c>
      <c r="EX232" s="646">
        <v>34.131569228903103</v>
      </c>
      <c r="EY232" s="646">
        <v>8.059828473584045E-2</v>
      </c>
      <c r="EZ232" s="646">
        <v>2900</v>
      </c>
      <c r="FA232" s="563" t="s">
        <v>1587</v>
      </c>
      <c r="FB232" s="563">
        <v>2</v>
      </c>
      <c r="FC232" s="563">
        <v>0</v>
      </c>
      <c r="FD232" s="563">
        <v>0</v>
      </c>
      <c r="FE232" s="563">
        <v>0</v>
      </c>
      <c r="FF232" s="650">
        <v>5939.7873290189891</v>
      </c>
      <c r="FG232" s="563">
        <v>1</v>
      </c>
      <c r="FH232" s="563">
        <v>2</v>
      </c>
      <c r="FI232" s="563">
        <v>7.8257780649949433</v>
      </c>
      <c r="FJ232" s="650">
        <v>9785.8752447103961</v>
      </c>
      <c r="FK232" s="564">
        <v>4000</v>
      </c>
      <c r="FL232" s="565">
        <v>65.973445725385659</v>
      </c>
      <c r="FM232" s="649">
        <v>1.5923746834558847</v>
      </c>
      <c r="FN232" s="646">
        <v>6.3373307394575411</v>
      </c>
      <c r="FO232" s="646">
        <v>0</v>
      </c>
      <c r="FP232" s="646">
        <v>6.0038395100508235E-2</v>
      </c>
      <c r="FQ232" s="646">
        <v>34.131569228903103</v>
      </c>
      <c r="FR232" s="646">
        <v>8.059828473584045E-2</v>
      </c>
      <c r="FS232" s="646">
        <v>3600</v>
      </c>
      <c r="FT232" s="563" t="s">
        <v>1587</v>
      </c>
      <c r="FU232" s="563">
        <v>2</v>
      </c>
      <c r="FV232" s="563">
        <v>0</v>
      </c>
      <c r="FW232" s="563">
        <v>0</v>
      </c>
      <c r="FX232" s="563">
        <v>0</v>
      </c>
      <c r="FY232" s="650">
        <v>5939.7873290189891</v>
      </c>
      <c r="FZ232" s="563">
        <v>1</v>
      </c>
      <c r="GA232" s="563">
        <v>2</v>
      </c>
      <c r="GB232" s="563">
        <v>7.8257780649949433</v>
      </c>
      <c r="GC232" s="650">
        <v>9785.8752447103961</v>
      </c>
      <c r="GD232" s="564">
        <v>4000</v>
      </c>
      <c r="GE232" s="565">
        <v>65.973445725385659</v>
      </c>
      <c r="GF232" s="649">
        <v>1.5923746834558847</v>
      </c>
      <c r="GG232" s="646">
        <v>6.3373307394575411</v>
      </c>
      <c r="GH232" s="646">
        <v>0</v>
      </c>
      <c r="GI232" s="646">
        <v>6.0038395100508235E-2</v>
      </c>
      <c r="GJ232" s="646">
        <v>34.131569228903103</v>
      </c>
      <c r="GK232" s="646">
        <v>8.059828473584045E-2</v>
      </c>
      <c r="GL232" s="646">
        <v>2900</v>
      </c>
      <c r="GM232" s="563" t="s">
        <v>1587</v>
      </c>
      <c r="GN232" s="563">
        <v>2</v>
      </c>
      <c r="GO232" s="563">
        <v>0</v>
      </c>
      <c r="GP232" s="563">
        <v>0</v>
      </c>
      <c r="GQ232" s="563">
        <v>0</v>
      </c>
      <c r="GR232" s="650">
        <v>5939.7873290189891</v>
      </c>
      <c r="GS232" s="563">
        <v>1</v>
      </c>
      <c r="GT232" s="563">
        <v>2</v>
      </c>
      <c r="GU232" s="563">
        <v>7.8257780649949433</v>
      </c>
      <c r="GV232" s="650">
        <v>9785.8752447103961</v>
      </c>
      <c r="GW232" s="564">
        <v>4000</v>
      </c>
      <c r="GX232" s="565">
        <v>65.973445725385659</v>
      </c>
      <c r="GY232" s="649">
        <v>1.5923746834558847</v>
      </c>
      <c r="GZ232" s="646">
        <v>6.3373307394575411</v>
      </c>
      <c r="HA232" s="646">
        <v>0</v>
      </c>
      <c r="HB232" s="646">
        <v>6.0038395100508235E-2</v>
      </c>
      <c r="HC232" s="646">
        <v>34.131569228903103</v>
      </c>
      <c r="HD232" s="646">
        <v>8.059828473584045E-2</v>
      </c>
      <c r="HE232" s="646">
        <v>3600</v>
      </c>
      <c r="HF232" s="563" t="s">
        <v>1587</v>
      </c>
      <c r="HG232" s="563">
        <v>2</v>
      </c>
      <c r="HH232" s="563">
        <v>0</v>
      </c>
      <c r="HI232" s="563">
        <v>0</v>
      </c>
      <c r="HJ232" s="563">
        <v>0</v>
      </c>
      <c r="HK232" s="650">
        <v>5939.7873290189891</v>
      </c>
      <c r="HL232" s="563">
        <v>1</v>
      </c>
      <c r="HM232" s="563">
        <v>2</v>
      </c>
      <c r="HN232" s="563">
        <v>7.8257780649949433</v>
      </c>
      <c r="HO232" s="650">
        <v>9785.8752447103961</v>
      </c>
      <c r="HP232" s="564">
        <v>4000</v>
      </c>
      <c r="HQ232" s="565">
        <v>65.973445725385659</v>
      </c>
      <c r="HR232" s="649">
        <v>1.5923746834558847</v>
      </c>
      <c r="HS232" s="646">
        <v>6.2772923443570328</v>
      </c>
      <c r="HT232" s="646">
        <v>0</v>
      </c>
      <c r="HU232" s="646">
        <v>0</v>
      </c>
      <c r="HV232" s="646">
        <v>33.979797563032442</v>
      </c>
      <c r="HW232" s="646">
        <v>7.9181119764578034E-2</v>
      </c>
      <c r="HX232" s="646">
        <v>2900</v>
      </c>
      <c r="HY232" s="563" t="s">
        <v>68</v>
      </c>
      <c r="HZ232" s="563">
        <v>2</v>
      </c>
      <c r="IA232" s="563">
        <v>0</v>
      </c>
      <c r="IB232" s="563">
        <v>0</v>
      </c>
      <c r="IC232" s="563">
        <v>0</v>
      </c>
      <c r="ID232" s="650">
        <v>5238.4000377322773</v>
      </c>
      <c r="IE232" s="563">
        <v>0</v>
      </c>
      <c r="IF232" s="563">
        <v>0</v>
      </c>
      <c r="IG232" s="563">
        <v>0</v>
      </c>
      <c r="IH232" s="650">
        <v>3690.3555588330551</v>
      </c>
      <c r="II232" s="564">
        <v>3690.3555588330551</v>
      </c>
      <c r="IJ232" s="565">
        <v>60.866368042011956</v>
      </c>
      <c r="IK232" s="649">
        <v>1.5923746834558847</v>
      </c>
      <c r="IL232" s="646">
        <v>6.2772923443570328</v>
      </c>
      <c r="IM232" s="646">
        <v>0</v>
      </c>
      <c r="IN232" s="646">
        <v>0</v>
      </c>
      <c r="IO232" s="646">
        <v>33.979797563032442</v>
      </c>
      <c r="IP232" s="646">
        <v>7.9181119764578034E-2</v>
      </c>
      <c r="IQ232" s="646">
        <v>3600</v>
      </c>
      <c r="IR232" s="563" t="s">
        <v>68</v>
      </c>
      <c r="IS232" s="563">
        <v>2</v>
      </c>
      <c r="IT232" s="563">
        <v>0</v>
      </c>
      <c r="IU232" s="563">
        <v>0</v>
      </c>
      <c r="IV232" s="563">
        <v>0</v>
      </c>
      <c r="IW232" s="650">
        <v>5238.4000377322773</v>
      </c>
      <c r="IX232" s="563">
        <v>0</v>
      </c>
      <c r="IY232" s="563">
        <v>0</v>
      </c>
      <c r="IZ232" s="563">
        <v>0</v>
      </c>
      <c r="JA232" s="650">
        <v>3690.3555588330551</v>
      </c>
      <c r="JB232" s="564">
        <v>3690.3555588330551</v>
      </c>
      <c r="JC232" s="565">
        <v>60.866368042011956</v>
      </c>
      <c r="JD232" s="649">
        <v>1.5923746834558847</v>
      </c>
      <c r="JE232" s="646">
        <v>6.2772923443570328</v>
      </c>
      <c r="JF232" s="646">
        <v>0</v>
      </c>
      <c r="JG232" s="646">
        <v>0</v>
      </c>
      <c r="JH232" s="646">
        <v>33.979797563032442</v>
      </c>
      <c r="JI232" s="646">
        <v>7.9181119764578034E-2</v>
      </c>
      <c r="JJ232" s="646">
        <v>2900</v>
      </c>
      <c r="JK232" s="563" t="s">
        <v>67</v>
      </c>
      <c r="JL232" s="563">
        <v>2</v>
      </c>
      <c r="JM232" s="563">
        <v>0</v>
      </c>
      <c r="JN232" s="563">
        <v>0</v>
      </c>
      <c r="JO232" s="563">
        <v>0</v>
      </c>
      <c r="JP232" s="650">
        <v>7138.7359267097527</v>
      </c>
      <c r="JQ232" s="563">
        <v>0</v>
      </c>
      <c r="JR232" s="563">
        <v>0</v>
      </c>
      <c r="JS232" s="563">
        <v>0</v>
      </c>
      <c r="JT232" s="650">
        <v>5029.1069067682738</v>
      </c>
      <c r="JU232" s="564">
        <v>4000</v>
      </c>
      <c r="JV232" s="565">
        <v>65.973445725385659</v>
      </c>
      <c r="JW232" s="649">
        <v>1.5923746834558847</v>
      </c>
      <c r="JX232" s="646">
        <v>6.2772923443570328</v>
      </c>
      <c r="JY232" s="646">
        <v>0</v>
      </c>
      <c r="JZ232" s="646">
        <v>0</v>
      </c>
      <c r="KA232" s="646">
        <v>33.979797563032442</v>
      </c>
      <c r="KB232" s="646">
        <v>7.9181119764578034E-2</v>
      </c>
      <c r="KC232" s="646">
        <v>3600</v>
      </c>
      <c r="KD232" s="563" t="s">
        <v>67</v>
      </c>
      <c r="KE232" s="563">
        <v>2</v>
      </c>
      <c r="KF232" s="563">
        <v>0</v>
      </c>
      <c r="KG232" s="563">
        <v>0</v>
      </c>
      <c r="KH232" s="563">
        <v>0</v>
      </c>
      <c r="KI232" s="650">
        <v>7138.7359267097527</v>
      </c>
      <c r="KJ232" s="563">
        <v>0</v>
      </c>
      <c r="KK232" s="563">
        <v>0</v>
      </c>
      <c r="KL232" s="563">
        <v>0</v>
      </c>
      <c r="KM232" s="650">
        <v>5029.1069067682738</v>
      </c>
      <c r="KN232" s="564">
        <v>4000</v>
      </c>
      <c r="KO232" s="566">
        <v>65.973445725385659</v>
      </c>
    </row>
    <row r="233" spans="1:301" ht="15" customHeight="1">
      <c r="A233" s="782" t="s">
        <v>982</v>
      </c>
      <c r="B233" s="629" t="s">
        <v>382</v>
      </c>
      <c r="C233" s="629">
        <v>275</v>
      </c>
      <c r="D233" s="629">
        <v>365</v>
      </c>
      <c r="E233" s="629"/>
      <c r="F233" s="629"/>
      <c r="G233" s="629">
        <v>28</v>
      </c>
      <c r="H233" s="629">
        <v>100</v>
      </c>
      <c r="I233" s="629">
        <v>100</v>
      </c>
      <c r="J233" s="629">
        <v>50.9</v>
      </c>
      <c r="K233" s="629">
        <v>20.5</v>
      </c>
      <c r="L233" s="629">
        <v>16</v>
      </c>
      <c r="M233" s="629">
        <v>77.115376128144376</v>
      </c>
      <c r="N233" s="629">
        <v>2</v>
      </c>
      <c r="O233" s="623">
        <v>1.6427643240024132</v>
      </c>
      <c r="P233" s="629">
        <v>2</v>
      </c>
      <c r="Q233" s="623">
        <v>0.41924553962155792</v>
      </c>
      <c r="R233" s="629">
        <v>7</v>
      </c>
      <c r="S233" s="629">
        <v>315</v>
      </c>
      <c r="T233" s="645">
        <v>4.2823157453329941</v>
      </c>
      <c r="U233" s="645">
        <v>47.25</v>
      </c>
      <c r="V233" s="645">
        <v>10</v>
      </c>
      <c r="W233" s="793">
        <v>0.10323439743213468</v>
      </c>
      <c r="X233" s="646">
        <v>0</v>
      </c>
      <c r="Y233" s="646">
        <v>0</v>
      </c>
      <c r="Z233" s="646">
        <v>0</v>
      </c>
      <c r="AA233" s="646">
        <v>0</v>
      </c>
      <c r="AB233" s="647">
        <v>0.82514773280438192</v>
      </c>
      <c r="AC233" s="784">
        <v>4000</v>
      </c>
      <c r="AD233" s="631"/>
      <c r="AE233" s="631"/>
      <c r="AF233" s="631"/>
      <c r="AG233" s="631"/>
      <c r="AH233" s="629"/>
      <c r="AI233" s="648">
        <v>0.54651641267069806</v>
      </c>
      <c r="AJ233" s="649">
        <v>1.937138248338987</v>
      </c>
      <c r="AK233" s="646">
        <v>8.3846982547280877</v>
      </c>
      <c r="AL233" s="646">
        <v>0</v>
      </c>
      <c r="AM233" s="646">
        <v>0</v>
      </c>
      <c r="AN233" s="646">
        <v>33.043153019419329</v>
      </c>
      <c r="AO233" s="646">
        <v>0.14322437571831453</v>
      </c>
      <c r="AP233" s="801">
        <v>2900</v>
      </c>
      <c r="AQ233" s="563" t="s">
        <v>67</v>
      </c>
      <c r="AR233" s="563">
        <v>2</v>
      </c>
      <c r="AS233" s="563">
        <v>0</v>
      </c>
      <c r="AT233" s="563">
        <v>0</v>
      </c>
      <c r="AU233" s="563">
        <v>0</v>
      </c>
      <c r="AV233" s="650">
        <v>6436.3501019814576</v>
      </c>
      <c r="AW233" s="563">
        <v>0</v>
      </c>
      <c r="AX233" s="563">
        <v>0</v>
      </c>
      <c r="AY233" s="563">
        <v>0</v>
      </c>
      <c r="AZ233" s="650">
        <v>4584.2558412630478</v>
      </c>
      <c r="BA233" s="564">
        <v>4000</v>
      </c>
      <c r="BB233" s="565">
        <v>76.445421237351638</v>
      </c>
      <c r="BC233" s="649">
        <v>1.937138248338987</v>
      </c>
      <c r="BD233" s="646">
        <v>8.3846982547280877</v>
      </c>
      <c r="BE233" s="646">
        <v>0</v>
      </c>
      <c r="BF233" s="646">
        <v>0</v>
      </c>
      <c r="BG233" s="646">
        <v>33.043153019419329</v>
      </c>
      <c r="BH233" s="646">
        <v>0.14322437571831453</v>
      </c>
      <c r="BI233" s="646">
        <v>3600</v>
      </c>
      <c r="BJ233" s="563" t="s">
        <v>67</v>
      </c>
      <c r="BK233" s="563">
        <v>2</v>
      </c>
      <c r="BL233" s="563">
        <v>0</v>
      </c>
      <c r="BM233" s="563">
        <v>0</v>
      </c>
      <c r="BN233" s="563">
        <v>0</v>
      </c>
      <c r="BO233" s="650">
        <v>6436.3501019814576</v>
      </c>
      <c r="BP233" s="563">
        <v>0</v>
      </c>
      <c r="BQ233" s="563">
        <v>0</v>
      </c>
      <c r="BR233" s="563">
        <v>0</v>
      </c>
      <c r="BS233" s="650">
        <v>4584.2558412630478</v>
      </c>
      <c r="BT233" s="564">
        <v>4000</v>
      </c>
      <c r="BU233" s="565">
        <v>76.445421237351638</v>
      </c>
      <c r="BV233" s="649">
        <v>2.9057073725084805</v>
      </c>
      <c r="BW233" s="646">
        <v>9.772280494170932</v>
      </c>
      <c r="BX233" s="646">
        <v>0.14805895833971713</v>
      </c>
      <c r="BY233" s="646">
        <v>0.27095415693363428</v>
      </c>
      <c r="BZ233" s="646">
        <v>35.45088371454608</v>
      </c>
      <c r="CA233" s="646">
        <v>0.18032725916102071</v>
      </c>
      <c r="CB233" s="646">
        <v>2900</v>
      </c>
      <c r="CC233" s="563" t="s">
        <v>1584</v>
      </c>
      <c r="CD233" s="563">
        <v>3</v>
      </c>
      <c r="CE233" s="563">
        <v>1</v>
      </c>
      <c r="CF233" s="563">
        <v>3</v>
      </c>
      <c r="CG233" s="563">
        <v>14.961277643457931</v>
      </c>
      <c r="CH233" s="650">
        <v>8868.2062160622336</v>
      </c>
      <c r="CI233" s="563">
        <v>3</v>
      </c>
      <c r="CJ233" s="563">
        <v>3</v>
      </c>
      <c r="CK233" s="563">
        <v>6.7515934821690724</v>
      </c>
      <c r="CL233" s="650">
        <v>6678.819666283368</v>
      </c>
      <c r="CM233" s="564">
        <v>4000</v>
      </c>
      <c r="CN233" s="565">
        <v>76.445421237351638</v>
      </c>
      <c r="CO233" s="649">
        <v>2.9057073725084805</v>
      </c>
      <c r="CP233" s="646">
        <v>9.772280494170932</v>
      </c>
      <c r="CQ233" s="646">
        <v>0.14805895833971713</v>
      </c>
      <c r="CR233" s="646">
        <v>0.27095415693363428</v>
      </c>
      <c r="CS233" s="646">
        <v>35.45088371454608</v>
      </c>
      <c r="CT233" s="646">
        <v>0.18032725916102071</v>
      </c>
      <c r="CU233" s="646">
        <v>3600</v>
      </c>
      <c r="CV233" s="563" t="s">
        <v>1584</v>
      </c>
      <c r="CW233" s="563">
        <v>3</v>
      </c>
      <c r="CX233" s="563">
        <v>1</v>
      </c>
      <c r="CY233" s="563">
        <v>3</v>
      </c>
      <c r="CZ233" s="563">
        <v>14.961277643457931</v>
      </c>
      <c r="DA233" s="650">
        <v>8868.2062160622336</v>
      </c>
      <c r="DB233" s="563">
        <v>3</v>
      </c>
      <c r="DC233" s="563">
        <v>3</v>
      </c>
      <c r="DD233" s="563">
        <v>6.7515934821690724</v>
      </c>
      <c r="DE233" s="650">
        <v>6678.819666283368</v>
      </c>
      <c r="DF233" s="564">
        <v>4000</v>
      </c>
      <c r="DG233" s="565">
        <v>76.445421237351638</v>
      </c>
      <c r="DH233" s="649">
        <v>1.937138248338987</v>
      </c>
      <c r="DI233" s="646">
        <v>8.6038282967028472</v>
      </c>
      <c r="DJ233" s="646">
        <v>9.8705972226478089E-2</v>
      </c>
      <c r="DK233" s="646">
        <v>0.1204240697482819</v>
      </c>
      <c r="DL233" s="646">
        <v>33.475025258436247</v>
      </c>
      <c r="DM233" s="646">
        <v>0.14916987465264064</v>
      </c>
      <c r="DN233" s="646">
        <v>2900</v>
      </c>
      <c r="DO233" s="563" t="s">
        <v>1585</v>
      </c>
      <c r="DP233" s="563">
        <v>2</v>
      </c>
      <c r="DQ233" s="563">
        <v>1</v>
      </c>
      <c r="DR233" s="563">
        <v>2</v>
      </c>
      <c r="DS233" s="563">
        <v>14.961277643457931</v>
      </c>
      <c r="DT233" s="650">
        <v>9831.9841672744333</v>
      </c>
      <c r="DU233" s="563">
        <v>2</v>
      </c>
      <c r="DV233" s="563">
        <v>2</v>
      </c>
      <c r="DW233" s="563">
        <v>6.7515934821690724</v>
      </c>
      <c r="DX233" s="650">
        <v>7006.836291184698</v>
      </c>
      <c r="DY233" s="564">
        <v>4000</v>
      </c>
      <c r="DZ233" s="565">
        <v>76.445421237351638</v>
      </c>
      <c r="EA233" s="649">
        <v>1.937138248338987</v>
      </c>
      <c r="EB233" s="646">
        <v>8.6038282967028472</v>
      </c>
      <c r="EC233" s="646">
        <v>9.8705972226478089E-2</v>
      </c>
      <c r="ED233" s="646">
        <v>0.1204240697482819</v>
      </c>
      <c r="EE233" s="646">
        <v>33.475025258436247</v>
      </c>
      <c r="EF233" s="646">
        <v>0.14916987465264064</v>
      </c>
      <c r="EG233" s="646">
        <v>3600</v>
      </c>
      <c r="EH233" s="563" t="s">
        <v>1585</v>
      </c>
      <c r="EI233" s="563">
        <v>2</v>
      </c>
      <c r="EJ233" s="563">
        <v>1</v>
      </c>
      <c r="EK233" s="563">
        <v>2</v>
      </c>
      <c r="EL233" s="563">
        <v>14.961277643457931</v>
      </c>
      <c r="EM233" s="650">
        <v>9831.9841672744333</v>
      </c>
      <c r="EN233" s="563">
        <v>2</v>
      </c>
      <c r="EO233" s="563">
        <v>2</v>
      </c>
      <c r="EP233" s="563">
        <v>6.7515934821690724</v>
      </c>
      <c r="EQ233" s="650">
        <v>7006.836291184698</v>
      </c>
      <c r="ER233" s="564">
        <v>4000</v>
      </c>
      <c r="ES233" s="565">
        <v>76.445421237351638</v>
      </c>
      <c r="ET233" s="649">
        <v>1.937138248338987</v>
      </c>
      <c r="EU233" s="646">
        <v>8.5051223244763694</v>
      </c>
      <c r="EV233" s="646">
        <v>0</v>
      </c>
      <c r="EW233" s="646">
        <v>0.1204240697482819</v>
      </c>
      <c r="EX233" s="646">
        <v>33.28324510106097</v>
      </c>
      <c r="EY233" s="646">
        <v>0.14708961217613734</v>
      </c>
      <c r="EZ233" s="646">
        <v>2900</v>
      </c>
      <c r="FA233" s="563" t="s">
        <v>1587</v>
      </c>
      <c r="FB233" s="563">
        <v>2</v>
      </c>
      <c r="FC233" s="563">
        <v>0</v>
      </c>
      <c r="FD233" s="563">
        <v>0</v>
      </c>
      <c r="FE233" s="563">
        <v>0</v>
      </c>
      <c r="FF233" s="650">
        <v>5355.3669968150807</v>
      </c>
      <c r="FG233" s="563">
        <v>1</v>
      </c>
      <c r="FH233" s="563">
        <v>4</v>
      </c>
      <c r="FI233" s="563">
        <v>6.7515934821690724</v>
      </c>
      <c r="FJ233" s="650">
        <v>9523.5705610877103</v>
      </c>
      <c r="FK233" s="564">
        <v>4000</v>
      </c>
      <c r="FL233" s="565">
        <v>76.445421237351638</v>
      </c>
      <c r="FM233" s="649">
        <v>1.937138248338987</v>
      </c>
      <c r="FN233" s="646">
        <v>8.5051223244763694</v>
      </c>
      <c r="FO233" s="646">
        <v>0</v>
      </c>
      <c r="FP233" s="646">
        <v>0.1204240697482819</v>
      </c>
      <c r="FQ233" s="646">
        <v>33.28324510106097</v>
      </c>
      <c r="FR233" s="646">
        <v>0.14708961217613734</v>
      </c>
      <c r="FS233" s="646">
        <v>3600</v>
      </c>
      <c r="FT233" s="563" t="s">
        <v>1587</v>
      </c>
      <c r="FU233" s="563">
        <v>2</v>
      </c>
      <c r="FV233" s="563">
        <v>0</v>
      </c>
      <c r="FW233" s="563">
        <v>0</v>
      </c>
      <c r="FX233" s="563">
        <v>0</v>
      </c>
      <c r="FY233" s="650">
        <v>5355.3669968150807</v>
      </c>
      <c r="FZ233" s="563">
        <v>1</v>
      </c>
      <c r="GA233" s="563">
        <v>4</v>
      </c>
      <c r="GB233" s="563">
        <v>6.7515934821690724</v>
      </c>
      <c r="GC233" s="650">
        <v>9523.5705610877103</v>
      </c>
      <c r="GD233" s="564">
        <v>4000</v>
      </c>
      <c r="GE233" s="565">
        <v>76.445421237351638</v>
      </c>
      <c r="GF233" s="649">
        <v>1.937138248338987</v>
      </c>
      <c r="GG233" s="646">
        <v>8.5051223244763694</v>
      </c>
      <c r="GH233" s="646">
        <v>0</v>
      </c>
      <c r="GI233" s="646">
        <v>0.1204240697482819</v>
      </c>
      <c r="GJ233" s="646">
        <v>33.28324510106097</v>
      </c>
      <c r="GK233" s="646">
        <v>0.14708961217613734</v>
      </c>
      <c r="GL233" s="646">
        <v>2900</v>
      </c>
      <c r="GM233" s="563" t="s">
        <v>1587</v>
      </c>
      <c r="GN233" s="563">
        <v>2</v>
      </c>
      <c r="GO233" s="563">
        <v>0</v>
      </c>
      <c r="GP233" s="563">
        <v>0</v>
      </c>
      <c r="GQ233" s="563">
        <v>0</v>
      </c>
      <c r="GR233" s="650">
        <v>5355.3669968150807</v>
      </c>
      <c r="GS233" s="563">
        <v>1</v>
      </c>
      <c r="GT233" s="563">
        <v>4</v>
      </c>
      <c r="GU233" s="563">
        <v>6.7515934821690724</v>
      </c>
      <c r="GV233" s="650">
        <v>9523.5705610877103</v>
      </c>
      <c r="GW233" s="564">
        <v>4000</v>
      </c>
      <c r="GX233" s="565">
        <v>76.445421237351638</v>
      </c>
      <c r="GY233" s="649">
        <v>1.937138248338987</v>
      </c>
      <c r="GZ233" s="646">
        <v>8.5051223244763694</v>
      </c>
      <c r="HA233" s="646">
        <v>0</v>
      </c>
      <c r="HB233" s="646">
        <v>0.1204240697482819</v>
      </c>
      <c r="HC233" s="646">
        <v>33.28324510106097</v>
      </c>
      <c r="HD233" s="646">
        <v>0.14708961217613734</v>
      </c>
      <c r="HE233" s="646">
        <v>3600</v>
      </c>
      <c r="HF233" s="563" t="s">
        <v>1587</v>
      </c>
      <c r="HG233" s="563">
        <v>2</v>
      </c>
      <c r="HH233" s="563">
        <v>0</v>
      </c>
      <c r="HI233" s="563">
        <v>0</v>
      </c>
      <c r="HJ233" s="563">
        <v>0</v>
      </c>
      <c r="HK233" s="650">
        <v>5355.3669968150807</v>
      </c>
      <c r="HL233" s="563">
        <v>1</v>
      </c>
      <c r="HM233" s="563">
        <v>4</v>
      </c>
      <c r="HN233" s="563">
        <v>6.7515934821690724</v>
      </c>
      <c r="HO233" s="650">
        <v>9523.5705610877103</v>
      </c>
      <c r="HP233" s="564">
        <v>4000</v>
      </c>
      <c r="HQ233" s="565">
        <v>76.445421237351638</v>
      </c>
      <c r="HR233" s="649">
        <v>1.937138248338987</v>
      </c>
      <c r="HS233" s="646">
        <v>8.3846982547280877</v>
      </c>
      <c r="HT233" s="646">
        <v>0</v>
      </c>
      <c r="HU233" s="646">
        <v>0</v>
      </c>
      <c r="HV233" s="646">
        <v>33.043153019419329</v>
      </c>
      <c r="HW233" s="646">
        <v>0.14322437571831453</v>
      </c>
      <c r="HX233" s="646">
        <v>2900</v>
      </c>
      <c r="HY233" s="563" t="s">
        <v>68</v>
      </c>
      <c r="HZ233" s="563">
        <v>2</v>
      </c>
      <c r="IA233" s="563">
        <v>0</v>
      </c>
      <c r="IB233" s="563">
        <v>0</v>
      </c>
      <c r="IC233" s="563">
        <v>0</v>
      </c>
      <c r="ID233" s="650">
        <v>4722.9897510185137</v>
      </c>
      <c r="IE233" s="563">
        <v>0</v>
      </c>
      <c r="IF233" s="563">
        <v>0</v>
      </c>
      <c r="IG233" s="563">
        <v>0</v>
      </c>
      <c r="IH233" s="650">
        <v>3363.924120234954</v>
      </c>
      <c r="II233" s="564">
        <v>3363.924120234954</v>
      </c>
      <c r="IJ233" s="565">
        <v>64.28914909546215</v>
      </c>
      <c r="IK233" s="649">
        <v>1.937138248338987</v>
      </c>
      <c r="IL233" s="646">
        <v>8.5051223244763694</v>
      </c>
      <c r="IM233" s="646">
        <v>0</v>
      </c>
      <c r="IN233" s="646">
        <v>0.1204240697482819</v>
      </c>
      <c r="IO233" s="646">
        <v>33.28324510106097</v>
      </c>
      <c r="IP233" s="646">
        <v>0.14708961217613734</v>
      </c>
      <c r="IQ233" s="646">
        <v>3600</v>
      </c>
      <c r="IR233" s="563" t="s">
        <v>68</v>
      </c>
      <c r="IS233" s="563">
        <v>2</v>
      </c>
      <c r="IT233" s="563">
        <v>0</v>
      </c>
      <c r="IU233" s="563">
        <v>0</v>
      </c>
      <c r="IV233" s="563">
        <v>0</v>
      </c>
      <c r="IW233" s="650">
        <v>4722.9897510185137</v>
      </c>
      <c r="IX233" s="563">
        <v>1</v>
      </c>
      <c r="IY233" s="563">
        <v>4</v>
      </c>
      <c r="IZ233" s="563">
        <v>6.7515934821690724</v>
      </c>
      <c r="JA233" s="650">
        <v>8398.9997660046483</v>
      </c>
      <c r="JB233" s="564">
        <v>4000</v>
      </c>
      <c r="JC233" s="565">
        <v>76.445421237351638</v>
      </c>
      <c r="JD233" s="649">
        <v>1.937138248338987</v>
      </c>
      <c r="JE233" s="646">
        <v>8.3846982547280877</v>
      </c>
      <c r="JF233" s="646">
        <v>0</v>
      </c>
      <c r="JG233" s="646">
        <v>0</v>
      </c>
      <c r="JH233" s="646">
        <v>33.043153019419329</v>
      </c>
      <c r="JI233" s="646">
        <v>0.14322437571831453</v>
      </c>
      <c r="JJ233" s="646">
        <v>2900</v>
      </c>
      <c r="JK233" s="563" t="s">
        <v>67</v>
      </c>
      <c r="JL233" s="563">
        <v>2</v>
      </c>
      <c r="JM233" s="563">
        <v>0</v>
      </c>
      <c r="JN233" s="563">
        <v>0</v>
      </c>
      <c r="JO233" s="563">
        <v>0</v>
      </c>
      <c r="JP233" s="650">
        <v>6436.3501019814576</v>
      </c>
      <c r="JQ233" s="563">
        <v>0</v>
      </c>
      <c r="JR233" s="563">
        <v>0</v>
      </c>
      <c r="JS233" s="563">
        <v>0</v>
      </c>
      <c r="JT233" s="650">
        <v>4584.2558412630478</v>
      </c>
      <c r="JU233" s="564">
        <v>4000</v>
      </c>
      <c r="JV233" s="565">
        <v>76.445421237351638</v>
      </c>
      <c r="JW233" s="649">
        <v>1.937138248338987</v>
      </c>
      <c r="JX233" s="646">
        <v>8.3846982547280877</v>
      </c>
      <c r="JY233" s="646">
        <v>0</v>
      </c>
      <c r="JZ233" s="646">
        <v>0</v>
      </c>
      <c r="KA233" s="646">
        <v>33.043153019419329</v>
      </c>
      <c r="KB233" s="646">
        <v>0.14322437571831453</v>
      </c>
      <c r="KC233" s="646">
        <v>3600</v>
      </c>
      <c r="KD233" s="563" t="s">
        <v>67</v>
      </c>
      <c r="KE233" s="563">
        <v>2</v>
      </c>
      <c r="KF233" s="563">
        <v>0</v>
      </c>
      <c r="KG233" s="563">
        <v>0</v>
      </c>
      <c r="KH233" s="563">
        <v>0</v>
      </c>
      <c r="KI233" s="650">
        <v>6436.3501019814576</v>
      </c>
      <c r="KJ233" s="563">
        <v>0</v>
      </c>
      <c r="KK233" s="563">
        <v>0</v>
      </c>
      <c r="KL233" s="563">
        <v>0</v>
      </c>
      <c r="KM233" s="650">
        <v>4584.2558412630478</v>
      </c>
      <c r="KN233" s="564">
        <v>4000</v>
      </c>
      <c r="KO233" s="566">
        <v>76.445421237351638</v>
      </c>
    </row>
    <row r="234" spans="1:301" ht="15" customHeight="1">
      <c r="A234" s="782" t="s">
        <v>983</v>
      </c>
      <c r="B234" s="629" t="s">
        <v>382</v>
      </c>
      <c r="C234" s="629">
        <v>275</v>
      </c>
      <c r="D234" s="629">
        <v>365</v>
      </c>
      <c r="E234" s="629"/>
      <c r="F234" s="629"/>
      <c r="G234" s="629">
        <v>28</v>
      </c>
      <c r="H234" s="629">
        <v>100</v>
      </c>
      <c r="I234" s="629">
        <v>100</v>
      </c>
      <c r="J234" s="629">
        <v>50.9</v>
      </c>
      <c r="K234" s="629">
        <v>20.5</v>
      </c>
      <c r="L234" s="629">
        <v>16</v>
      </c>
      <c r="M234" s="629">
        <v>77.115376128144376</v>
      </c>
      <c r="N234" s="629">
        <v>2</v>
      </c>
      <c r="O234" s="623">
        <v>1.6427643240024132</v>
      </c>
      <c r="P234" s="629">
        <v>2</v>
      </c>
      <c r="Q234" s="623">
        <v>0.41924553962155792</v>
      </c>
      <c r="R234" s="629">
        <v>7</v>
      </c>
      <c r="S234" s="629">
        <v>315</v>
      </c>
      <c r="T234" s="645">
        <v>4.2823157453329941</v>
      </c>
      <c r="U234" s="645">
        <v>47.25</v>
      </c>
      <c r="V234" s="645">
        <v>10</v>
      </c>
      <c r="W234" s="793">
        <v>0.10323439743213468</v>
      </c>
      <c r="X234" s="646">
        <v>0</v>
      </c>
      <c r="Y234" s="646">
        <v>0</v>
      </c>
      <c r="Z234" s="646">
        <v>0</v>
      </c>
      <c r="AA234" s="646">
        <v>0</v>
      </c>
      <c r="AB234" s="647">
        <v>0.82514773280438192</v>
      </c>
      <c r="AC234" s="784">
        <v>4000</v>
      </c>
      <c r="AD234" s="631"/>
      <c r="AE234" s="631"/>
      <c r="AF234" s="631"/>
      <c r="AG234" s="631"/>
      <c r="AH234" s="629"/>
      <c r="AI234" s="648">
        <v>0.54651641267069806</v>
      </c>
      <c r="AJ234" s="649">
        <v>1.937138248338987</v>
      </c>
      <c r="AK234" s="646">
        <v>8.3846982547280877</v>
      </c>
      <c r="AL234" s="646">
        <v>0</v>
      </c>
      <c r="AM234" s="646">
        <v>0</v>
      </c>
      <c r="AN234" s="646">
        <v>33.043153019419329</v>
      </c>
      <c r="AO234" s="646">
        <v>0.14322437571831453</v>
      </c>
      <c r="AP234" s="801">
        <v>2900</v>
      </c>
      <c r="AQ234" s="563" t="s">
        <v>67</v>
      </c>
      <c r="AR234" s="563">
        <v>2</v>
      </c>
      <c r="AS234" s="563">
        <v>0</v>
      </c>
      <c r="AT234" s="563">
        <v>0</v>
      </c>
      <c r="AU234" s="563">
        <v>0</v>
      </c>
      <c r="AV234" s="650">
        <v>6436.3501019814576</v>
      </c>
      <c r="AW234" s="563">
        <v>0</v>
      </c>
      <c r="AX234" s="563">
        <v>0</v>
      </c>
      <c r="AY234" s="563">
        <v>0</v>
      </c>
      <c r="AZ234" s="650">
        <v>4584.2558412630478</v>
      </c>
      <c r="BA234" s="564">
        <v>4000</v>
      </c>
      <c r="BB234" s="565">
        <v>76.445421237351638</v>
      </c>
      <c r="BC234" s="649">
        <v>1.937138248338987</v>
      </c>
      <c r="BD234" s="646">
        <v>8.3846982547280877</v>
      </c>
      <c r="BE234" s="646">
        <v>0</v>
      </c>
      <c r="BF234" s="646">
        <v>0</v>
      </c>
      <c r="BG234" s="646">
        <v>33.043153019419329</v>
      </c>
      <c r="BH234" s="646">
        <v>0.14322437571831453</v>
      </c>
      <c r="BI234" s="646">
        <v>3600</v>
      </c>
      <c r="BJ234" s="563" t="s">
        <v>67</v>
      </c>
      <c r="BK234" s="563">
        <v>2</v>
      </c>
      <c r="BL234" s="563">
        <v>0</v>
      </c>
      <c r="BM234" s="563">
        <v>0</v>
      </c>
      <c r="BN234" s="563">
        <v>0</v>
      </c>
      <c r="BO234" s="650">
        <v>6436.3501019814576</v>
      </c>
      <c r="BP234" s="563">
        <v>0</v>
      </c>
      <c r="BQ234" s="563">
        <v>0</v>
      </c>
      <c r="BR234" s="563">
        <v>0</v>
      </c>
      <c r="BS234" s="650">
        <v>4584.2558412630478</v>
      </c>
      <c r="BT234" s="564">
        <v>4000</v>
      </c>
      <c r="BU234" s="565">
        <v>76.445421237351638</v>
      </c>
      <c r="BV234" s="649">
        <v>2.9057073725084805</v>
      </c>
      <c r="BW234" s="646">
        <v>9.772280494170932</v>
      </c>
      <c r="BX234" s="646">
        <v>0.14805895833971713</v>
      </c>
      <c r="BY234" s="646">
        <v>0.27095415693363428</v>
      </c>
      <c r="BZ234" s="646">
        <v>35.45088371454608</v>
      </c>
      <c r="CA234" s="646">
        <v>0.18032725916102071</v>
      </c>
      <c r="CB234" s="646">
        <v>2900</v>
      </c>
      <c r="CC234" s="563" t="s">
        <v>1584</v>
      </c>
      <c r="CD234" s="563">
        <v>3</v>
      </c>
      <c r="CE234" s="563">
        <v>1</v>
      </c>
      <c r="CF234" s="563">
        <v>3</v>
      </c>
      <c r="CG234" s="563">
        <v>14.961277643457931</v>
      </c>
      <c r="CH234" s="650">
        <v>8868.2062160622336</v>
      </c>
      <c r="CI234" s="563">
        <v>3</v>
      </c>
      <c r="CJ234" s="563">
        <v>3</v>
      </c>
      <c r="CK234" s="563">
        <v>6.7515934821690724</v>
      </c>
      <c r="CL234" s="650">
        <v>6678.819666283368</v>
      </c>
      <c r="CM234" s="564">
        <v>4000</v>
      </c>
      <c r="CN234" s="565">
        <v>76.445421237351638</v>
      </c>
      <c r="CO234" s="649">
        <v>2.9057073725084805</v>
      </c>
      <c r="CP234" s="646">
        <v>9.772280494170932</v>
      </c>
      <c r="CQ234" s="646">
        <v>0.14805895833971713</v>
      </c>
      <c r="CR234" s="646">
        <v>0.27095415693363428</v>
      </c>
      <c r="CS234" s="646">
        <v>35.45088371454608</v>
      </c>
      <c r="CT234" s="646">
        <v>0.18032725916102071</v>
      </c>
      <c r="CU234" s="646">
        <v>3600</v>
      </c>
      <c r="CV234" s="563" t="s">
        <v>1584</v>
      </c>
      <c r="CW234" s="563">
        <v>3</v>
      </c>
      <c r="CX234" s="563">
        <v>1</v>
      </c>
      <c r="CY234" s="563">
        <v>3</v>
      </c>
      <c r="CZ234" s="563">
        <v>14.961277643457931</v>
      </c>
      <c r="DA234" s="650">
        <v>8868.2062160622336</v>
      </c>
      <c r="DB234" s="563">
        <v>3</v>
      </c>
      <c r="DC234" s="563">
        <v>3</v>
      </c>
      <c r="DD234" s="563">
        <v>6.7515934821690724</v>
      </c>
      <c r="DE234" s="650">
        <v>6678.819666283368</v>
      </c>
      <c r="DF234" s="564">
        <v>4000</v>
      </c>
      <c r="DG234" s="565">
        <v>76.445421237351638</v>
      </c>
      <c r="DH234" s="649">
        <v>1.937138248338987</v>
      </c>
      <c r="DI234" s="646">
        <v>8.6038282967028472</v>
      </c>
      <c r="DJ234" s="646">
        <v>9.8705972226478089E-2</v>
      </c>
      <c r="DK234" s="646">
        <v>0.1204240697482819</v>
      </c>
      <c r="DL234" s="646">
        <v>33.475025258436247</v>
      </c>
      <c r="DM234" s="646">
        <v>0.14916987465264064</v>
      </c>
      <c r="DN234" s="646">
        <v>2900</v>
      </c>
      <c r="DO234" s="563" t="s">
        <v>1585</v>
      </c>
      <c r="DP234" s="563">
        <v>2</v>
      </c>
      <c r="DQ234" s="563">
        <v>1</v>
      </c>
      <c r="DR234" s="563">
        <v>2</v>
      </c>
      <c r="DS234" s="563">
        <v>14.961277643457931</v>
      </c>
      <c r="DT234" s="650">
        <v>9831.9841672744333</v>
      </c>
      <c r="DU234" s="563">
        <v>2</v>
      </c>
      <c r="DV234" s="563">
        <v>2</v>
      </c>
      <c r="DW234" s="563">
        <v>6.7515934821690724</v>
      </c>
      <c r="DX234" s="650">
        <v>7006.836291184698</v>
      </c>
      <c r="DY234" s="564">
        <v>4000</v>
      </c>
      <c r="DZ234" s="565">
        <v>76.445421237351638</v>
      </c>
      <c r="EA234" s="649">
        <v>1.937138248338987</v>
      </c>
      <c r="EB234" s="646">
        <v>8.6038282967028472</v>
      </c>
      <c r="EC234" s="646">
        <v>9.8705972226478089E-2</v>
      </c>
      <c r="ED234" s="646">
        <v>0.1204240697482819</v>
      </c>
      <c r="EE234" s="646">
        <v>33.475025258436247</v>
      </c>
      <c r="EF234" s="646">
        <v>0.14916987465264064</v>
      </c>
      <c r="EG234" s="646">
        <v>3600</v>
      </c>
      <c r="EH234" s="563" t="s">
        <v>1585</v>
      </c>
      <c r="EI234" s="563">
        <v>2</v>
      </c>
      <c r="EJ234" s="563">
        <v>1</v>
      </c>
      <c r="EK234" s="563">
        <v>2</v>
      </c>
      <c r="EL234" s="563">
        <v>14.961277643457931</v>
      </c>
      <c r="EM234" s="650">
        <v>9831.9841672744333</v>
      </c>
      <c r="EN234" s="563">
        <v>2</v>
      </c>
      <c r="EO234" s="563">
        <v>2</v>
      </c>
      <c r="EP234" s="563">
        <v>6.7515934821690724</v>
      </c>
      <c r="EQ234" s="650">
        <v>7006.836291184698</v>
      </c>
      <c r="ER234" s="564">
        <v>4000</v>
      </c>
      <c r="ES234" s="565">
        <v>76.445421237351638</v>
      </c>
      <c r="ET234" s="649">
        <v>1.937138248338987</v>
      </c>
      <c r="EU234" s="646">
        <v>8.5051223244763694</v>
      </c>
      <c r="EV234" s="646">
        <v>0</v>
      </c>
      <c r="EW234" s="646">
        <v>0.1204240697482819</v>
      </c>
      <c r="EX234" s="646">
        <v>33.28324510106097</v>
      </c>
      <c r="EY234" s="646">
        <v>0.14708961217613734</v>
      </c>
      <c r="EZ234" s="646">
        <v>2900</v>
      </c>
      <c r="FA234" s="563" t="s">
        <v>1587</v>
      </c>
      <c r="FB234" s="563">
        <v>2</v>
      </c>
      <c r="FC234" s="563">
        <v>0</v>
      </c>
      <c r="FD234" s="563">
        <v>0</v>
      </c>
      <c r="FE234" s="563">
        <v>0</v>
      </c>
      <c r="FF234" s="650">
        <v>5355.3669968150807</v>
      </c>
      <c r="FG234" s="563">
        <v>1</v>
      </c>
      <c r="FH234" s="563">
        <v>4</v>
      </c>
      <c r="FI234" s="563">
        <v>6.7515934821690724</v>
      </c>
      <c r="FJ234" s="650">
        <v>9523.5705610877103</v>
      </c>
      <c r="FK234" s="564">
        <v>4000</v>
      </c>
      <c r="FL234" s="565">
        <v>76.445421237351638</v>
      </c>
      <c r="FM234" s="649">
        <v>1.937138248338987</v>
      </c>
      <c r="FN234" s="646">
        <v>8.5051223244763694</v>
      </c>
      <c r="FO234" s="646">
        <v>0</v>
      </c>
      <c r="FP234" s="646">
        <v>0.1204240697482819</v>
      </c>
      <c r="FQ234" s="646">
        <v>33.28324510106097</v>
      </c>
      <c r="FR234" s="646">
        <v>0.14708961217613734</v>
      </c>
      <c r="FS234" s="646">
        <v>3600</v>
      </c>
      <c r="FT234" s="563" t="s">
        <v>1587</v>
      </c>
      <c r="FU234" s="563">
        <v>2</v>
      </c>
      <c r="FV234" s="563">
        <v>0</v>
      </c>
      <c r="FW234" s="563">
        <v>0</v>
      </c>
      <c r="FX234" s="563">
        <v>0</v>
      </c>
      <c r="FY234" s="650">
        <v>5355.3669968150807</v>
      </c>
      <c r="FZ234" s="563">
        <v>1</v>
      </c>
      <c r="GA234" s="563">
        <v>4</v>
      </c>
      <c r="GB234" s="563">
        <v>6.7515934821690724</v>
      </c>
      <c r="GC234" s="650">
        <v>9523.5705610877103</v>
      </c>
      <c r="GD234" s="564">
        <v>4000</v>
      </c>
      <c r="GE234" s="565">
        <v>76.445421237351638</v>
      </c>
      <c r="GF234" s="649">
        <v>1.937138248338987</v>
      </c>
      <c r="GG234" s="646">
        <v>8.5051223244763694</v>
      </c>
      <c r="GH234" s="646">
        <v>0</v>
      </c>
      <c r="GI234" s="646">
        <v>0.1204240697482819</v>
      </c>
      <c r="GJ234" s="646">
        <v>33.28324510106097</v>
      </c>
      <c r="GK234" s="646">
        <v>0.14708961217613734</v>
      </c>
      <c r="GL234" s="646">
        <v>2900</v>
      </c>
      <c r="GM234" s="563" t="s">
        <v>1587</v>
      </c>
      <c r="GN234" s="563">
        <v>2</v>
      </c>
      <c r="GO234" s="563">
        <v>0</v>
      </c>
      <c r="GP234" s="563">
        <v>0</v>
      </c>
      <c r="GQ234" s="563">
        <v>0</v>
      </c>
      <c r="GR234" s="650">
        <v>5355.3669968150807</v>
      </c>
      <c r="GS234" s="563">
        <v>1</v>
      </c>
      <c r="GT234" s="563">
        <v>4</v>
      </c>
      <c r="GU234" s="563">
        <v>6.7515934821690724</v>
      </c>
      <c r="GV234" s="650">
        <v>9523.5705610877103</v>
      </c>
      <c r="GW234" s="564">
        <v>4000</v>
      </c>
      <c r="GX234" s="565">
        <v>76.445421237351638</v>
      </c>
      <c r="GY234" s="649">
        <v>1.937138248338987</v>
      </c>
      <c r="GZ234" s="646">
        <v>8.5051223244763694</v>
      </c>
      <c r="HA234" s="646">
        <v>0</v>
      </c>
      <c r="HB234" s="646">
        <v>0.1204240697482819</v>
      </c>
      <c r="HC234" s="646">
        <v>33.28324510106097</v>
      </c>
      <c r="HD234" s="646">
        <v>0.14708961217613734</v>
      </c>
      <c r="HE234" s="646">
        <v>3600</v>
      </c>
      <c r="HF234" s="563" t="s">
        <v>1587</v>
      </c>
      <c r="HG234" s="563">
        <v>2</v>
      </c>
      <c r="HH234" s="563">
        <v>0</v>
      </c>
      <c r="HI234" s="563">
        <v>0</v>
      </c>
      <c r="HJ234" s="563">
        <v>0</v>
      </c>
      <c r="HK234" s="650">
        <v>5355.3669968150807</v>
      </c>
      <c r="HL234" s="563">
        <v>1</v>
      </c>
      <c r="HM234" s="563">
        <v>4</v>
      </c>
      <c r="HN234" s="563">
        <v>6.7515934821690724</v>
      </c>
      <c r="HO234" s="650">
        <v>9523.5705610877103</v>
      </c>
      <c r="HP234" s="564">
        <v>4000</v>
      </c>
      <c r="HQ234" s="565">
        <v>76.445421237351638</v>
      </c>
      <c r="HR234" s="649">
        <v>1.937138248338987</v>
      </c>
      <c r="HS234" s="646">
        <v>8.3846982547280877</v>
      </c>
      <c r="HT234" s="646">
        <v>0</v>
      </c>
      <c r="HU234" s="646">
        <v>0</v>
      </c>
      <c r="HV234" s="646">
        <v>33.043153019419329</v>
      </c>
      <c r="HW234" s="646">
        <v>0.14322437571831453</v>
      </c>
      <c r="HX234" s="646">
        <v>2900</v>
      </c>
      <c r="HY234" s="563" t="s">
        <v>68</v>
      </c>
      <c r="HZ234" s="563">
        <v>2</v>
      </c>
      <c r="IA234" s="563">
        <v>0</v>
      </c>
      <c r="IB234" s="563">
        <v>0</v>
      </c>
      <c r="IC234" s="563">
        <v>0</v>
      </c>
      <c r="ID234" s="650">
        <v>4722.9897510185137</v>
      </c>
      <c r="IE234" s="563">
        <v>0</v>
      </c>
      <c r="IF234" s="563">
        <v>0</v>
      </c>
      <c r="IG234" s="563">
        <v>0</v>
      </c>
      <c r="IH234" s="650">
        <v>3363.924120234954</v>
      </c>
      <c r="II234" s="564">
        <v>3363.924120234954</v>
      </c>
      <c r="IJ234" s="565">
        <v>64.28914909546215</v>
      </c>
      <c r="IK234" s="649">
        <v>1.937138248338987</v>
      </c>
      <c r="IL234" s="646">
        <v>8.5051223244763694</v>
      </c>
      <c r="IM234" s="646">
        <v>0</v>
      </c>
      <c r="IN234" s="646">
        <v>0.1204240697482819</v>
      </c>
      <c r="IO234" s="646">
        <v>33.28324510106097</v>
      </c>
      <c r="IP234" s="646">
        <v>0.14708961217613734</v>
      </c>
      <c r="IQ234" s="646">
        <v>3600</v>
      </c>
      <c r="IR234" s="563" t="s">
        <v>68</v>
      </c>
      <c r="IS234" s="563">
        <v>2</v>
      </c>
      <c r="IT234" s="563">
        <v>0</v>
      </c>
      <c r="IU234" s="563">
        <v>0</v>
      </c>
      <c r="IV234" s="563">
        <v>0</v>
      </c>
      <c r="IW234" s="650">
        <v>4722.9897510185137</v>
      </c>
      <c r="IX234" s="563">
        <v>1</v>
      </c>
      <c r="IY234" s="563">
        <v>4</v>
      </c>
      <c r="IZ234" s="563">
        <v>6.7515934821690724</v>
      </c>
      <c r="JA234" s="650">
        <v>8398.9997660046483</v>
      </c>
      <c r="JB234" s="564">
        <v>4000</v>
      </c>
      <c r="JC234" s="565">
        <v>76.445421237351638</v>
      </c>
      <c r="JD234" s="649">
        <v>1.937138248338987</v>
      </c>
      <c r="JE234" s="646">
        <v>8.3846982547280877</v>
      </c>
      <c r="JF234" s="646">
        <v>0</v>
      </c>
      <c r="JG234" s="646">
        <v>0</v>
      </c>
      <c r="JH234" s="646">
        <v>33.043153019419329</v>
      </c>
      <c r="JI234" s="646">
        <v>0.14322437571831453</v>
      </c>
      <c r="JJ234" s="646">
        <v>2900</v>
      </c>
      <c r="JK234" s="563" t="s">
        <v>67</v>
      </c>
      <c r="JL234" s="563">
        <v>2</v>
      </c>
      <c r="JM234" s="563">
        <v>0</v>
      </c>
      <c r="JN234" s="563">
        <v>0</v>
      </c>
      <c r="JO234" s="563">
        <v>0</v>
      </c>
      <c r="JP234" s="650">
        <v>6436.3501019814576</v>
      </c>
      <c r="JQ234" s="563">
        <v>0</v>
      </c>
      <c r="JR234" s="563">
        <v>0</v>
      </c>
      <c r="JS234" s="563">
        <v>0</v>
      </c>
      <c r="JT234" s="650">
        <v>4584.2558412630478</v>
      </c>
      <c r="JU234" s="564">
        <v>4000</v>
      </c>
      <c r="JV234" s="565">
        <v>76.445421237351638</v>
      </c>
      <c r="JW234" s="649">
        <v>1.937138248338987</v>
      </c>
      <c r="JX234" s="646">
        <v>8.3846982547280877</v>
      </c>
      <c r="JY234" s="646">
        <v>0</v>
      </c>
      <c r="JZ234" s="646">
        <v>0</v>
      </c>
      <c r="KA234" s="646">
        <v>33.043153019419329</v>
      </c>
      <c r="KB234" s="646">
        <v>0.14322437571831453</v>
      </c>
      <c r="KC234" s="646">
        <v>3600</v>
      </c>
      <c r="KD234" s="563" t="s">
        <v>67</v>
      </c>
      <c r="KE234" s="563">
        <v>2</v>
      </c>
      <c r="KF234" s="563">
        <v>0</v>
      </c>
      <c r="KG234" s="563">
        <v>0</v>
      </c>
      <c r="KH234" s="563">
        <v>0</v>
      </c>
      <c r="KI234" s="650">
        <v>6436.3501019814576</v>
      </c>
      <c r="KJ234" s="563">
        <v>0</v>
      </c>
      <c r="KK234" s="563">
        <v>0</v>
      </c>
      <c r="KL234" s="563">
        <v>0</v>
      </c>
      <c r="KM234" s="650">
        <v>4584.2558412630478</v>
      </c>
      <c r="KN234" s="564">
        <v>4000</v>
      </c>
      <c r="KO234" s="566">
        <v>76.445421237351638</v>
      </c>
    </row>
    <row r="235" spans="1:301" ht="15" customHeight="1">
      <c r="A235" s="782" t="s">
        <v>984</v>
      </c>
      <c r="B235" s="629" t="s">
        <v>382</v>
      </c>
      <c r="C235" s="629">
        <v>302.69</v>
      </c>
      <c r="D235" s="629">
        <v>425</v>
      </c>
      <c r="E235" s="629"/>
      <c r="F235" s="629"/>
      <c r="G235" s="629">
        <v>28</v>
      </c>
      <c r="H235" s="629">
        <v>100</v>
      </c>
      <c r="I235" s="629">
        <v>100</v>
      </c>
      <c r="J235" s="629">
        <v>50</v>
      </c>
      <c r="K235" s="629">
        <v>32.590000000000003</v>
      </c>
      <c r="L235" s="629">
        <v>16</v>
      </c>
      <c r="M235" s="629">
        <v>92.668062120400151</v>
      </c>
      <c r="N235" s="629">
        <v>2</v>
      </c>
      <c r="O235" s="623">
        <v>2.2272419292395265</v>
      </c>
      <c r="P235" s="629">
        <v>2</v>
      </c>
      <c r="Q235" s="623">
        <v>1.003723144858671</v>
      </c>
      <c r="R235" s="629">
        <v>9</v>
      </c>
      <c r="S235" s="629">
        <v>315</v>
      </c>
      <c r="T235" s="645">
        <v>5.5058345297138498</v>
      </c>
      <c r="U235" s="645">
        <v>47.25</v>
      </c>
      <c r="V235" s="645">
        <v>10</v>
      </c>
      <c r="W235" s="793">
        <v>0.10323439743213468</v>
      </c>
      <c r="X235" s="646">
        <v>0</v>
      </c>
      <c r="Y235" s="646">
        <v>0</v>
      </c>
      <c r="Z235" s="646">
        <v>0</v>
      </c>
      <c r="AA235" s="646">
        <v>0</v>
      </c>
      <c r="AB235" s="647">
        <v>1.088290701235439</v>
      </c>
      <c r="AC235" s="784">
        <v>4000</v>
      </c>
      <c r="AD235" s="631"/>
      <c r="AE235" s="631"/>
      <c r="AF235" s="631"/>
      <c r="AG235" s="631"/>
      <c r="AH235" s="629"/>
      <c r="AI235" s="648">
        <v>0.72006967071764882</v>
      </c>
      <c r="AJ235" s="649">
        <v>2.3278217204644522</v>
      </c>
      <c r="AK235" s="646">
        <v>11.167855721708634</v>
      </c>
      <c r="AL235" s="646">
        <v>0</v>
      </c>
      <c r="AM235" s="646">
        <v>0</v>
      </c>
      <c r="AN235" s="646">
        <v>32.719927492670053</v>
      </c>
      <c r="AO235" s="646">
        <v>0.23290557855958982</v>
      </c>
      <c r="AP235" s="801">
        <v>2900</v>
      </c>
      <c r="AQ235" s="563" t="s">
        <v>67</v>
      </c>
      <c r="AR235" s="563">
        <v>2</v>
      </c>
      <c r="AS235" s="563">
        <v>0</v>
      </c>
      <c r="AT235" s="563">
        <v>0</v>
      </c>
      <c r="AU235" s="563">
        <v>0</v>
      </c>
      <c r="AV235" s="650">
        <v>6076.8190861334479</v>
      </c>
      <c r="AW235" s="563">
        <v>0</v>
      </c>
      <c r="AX235" s="563">
        <v>0</v>
      </c>
      <c r="AY235" s="563">
        <v>0</v>
      </c>
      <c r="AZ235" s="650">
        <v>4479.3779619776833</v>
      </c>
      <c r="BA235" s="564">
        <v>4000</v>
      </c>
      <c r="BB235" s="565">
        <v>89.011791851710797</v>
      </c>
      <c r="BC235" s="649">
        <v>2.3278217204644522</v>
      </c>
      <c r="BD235" s="646">
        <v>11.167855721708634</v>
      </c>
      <c r="BE235" s="646">
        <v>0</v>
      </c>
      <c r="BF235" s="646">
        <v>0</v>
      </c>
      <c r="BG235" s="646">
        <v>32.719927492670053</v>
      </c>
      <c r="BH235" s="646">
        <v>0.23290557855958982</v>
      </c>
      <c r="BI235" s="646">
        <v>3600</v>
      </c>
      <c r="BJ235" s="563" t="s">
        <v>67</v>
      </c>
      <c r="BK235" s="563">
        <v>2</v>
      </c>
      <c r="BL235" s="563">
        <v>0</v>
      </c>
      <c r="BM235" s="563">
        <v>0</v>
      </c>
      <c r="BN235" s="563">
        <v>0</v>
      </c>
      <c r="BO235" s="650">
        <v>6076.8190861334479</v>
      </c>
      <c r="BP235" s="563">
        <v>0</v>
      </c>
      <c r="BQ235" s="563">
        <v>0</v>
      </c>
      <c r="BR235" s="563">
        <v>0</v>
      </c>
      <c r="BS235" s="650">
        <v>4479.3779619776833</v>
      </c>
      <c r="BT235" s="564">
        <v>4000</v>
      </c>
      <c r="BU235" s="565">
        <v>89.011791851710797</v>
      </c>
      <c r="BV235" s="649">
        <v>3.4917325806966781</v>
      </c>
      <c r="BW235" s="646">
        <v>13.104557960275928</v>
      </c>
      <c r="BX235" s="646">
        <v>0.1928905950474944</v>
      </c>
      <c r="BY235" s="646">
        <v>0.57990078328757555</v>
      </c>
      <c r="BZ235" s="646">
        <v>35.27372253169375</v>
      </c>
      <c r="CA235" s="646">
        <v>0.30217465900549084</v>
      </c>
      <c r="CB235" s="646">
        <v>2900</v>
      </c>
      <c r="CC235" s="563" t="s">
        <v>1584</v>
      </c>
      <c r="CD235" s="563">
        <v>3</v>
      </c>
      <c r="CE235" s="563">
        <v>1</v>
      </c>
      <c r="CF235" s="563">
        <v>3</v>
      </c>
      <c r="CG235" s="563">
        <v>17.7469635104842</v>
      </c>
      <c r="CH235" s="650">
        <v>8210.9293002950926</v>
      </c>
      <c r="CI235" s="563">
        <v>3</v>
      </c>
      <c r="CJ235" s="563">
        <v>3</v>
      </c>
      <c r="CK235" s="563">
        <v>12.47830457541852</v>
      </c>
      <c r="CL235" s="650">
        <v>6438.2617153377378</v>
      </c>
      <c r="CM235" s="564">
        <v>4000</v>
      </c>
      <c r="CN235" s="565">
        <v>89.011791851710797</v>
      </c>
      <c r="CO235" s="649">
        <v>3.4917325806966781</v>
      </c>
      <c r="CP235" s="646">
        <v>13.104557960275928</v>
      </c>
      <c r="CQ235" s="646">
        <v>0.1928905950474944</v>
      </c>
      <c r="CR235" s="646">
        <v>0.57990078328757555</v>
      </c>
      <c r="CS235" s="646">
        <v>35.27372253169375</v>
      </c>
      <c r="CT235" s="646">
        <v>0.30217465900549084</v>
      </c>
      <c r="CU235" s="646">
        <v>3600</v>
      </c>
      <c r="CV235" s="563" t="s">
        <v>1584</v>
      </c>
      <c r="CW235" s="563">
        <v>3</v>
      </c>
      <c r="CX235" s="563">
        <v>1</v>
      </c>
      <c r="CY235" s="563">
        <v>3</v>
      </c>
      <c r="CZ235" s="563">
        <v>17.7469635104842</v>
      </c>
      <c r="DA235" s="650">
        <v>8210.9293002950926</v>
      </c>
      <c r="DB235" s="563">
        <v>3</v>
      </c>
      <c r="DC235" s="563">
        <v>3</v>
      </c>
      <c r="DD235" s="563">
        <v>12.47830457541852</v>
      </c>
      <c r="DE235" s="650">
        <v>6438.2617153377378</v>
      </c>
      <c r="DF235" s="564">
        <v>4000</v>
      </c>
      <c r="DG235" s="565">
        <v>89.011791851710797</v>
      </c>
      <c r="DH235" s="649">
        <v>2.3278217204644522</v>
      </c>
      <c r="DI235" s="646">
        <v>11.554183133201441</v>
      </c>
      <c r="DJ235" s="646">
        <v>0.12859373003166294</v>
      </c>
      <c r="DK235" s="646">
        <v>0.25773368146114461</v>
      </c>
      <c r="DL235" s="646">
        <v>33.29770660567214</v>
      </c>
      <c r="DM235" s="646">
        <v>0.24719163530487129</v>
      </c>
      <c r="DN235" s="646">
        <v>2900</v>
      </c>
      <c r="DO235" s="563" t="s">
        <v>1585</v>
      </c>
      <c r="DP235" s="563">
        <v>2</v>
      </c>
      <c r="DQ235" s="563">
        <v>1</v>
      </c>
      <c r="DR235" s="563">
        <v>2</v>
      </c>
      <c r="DS235" s="563">
        <v>17.7469635104842</v>
      </c>
      <c r="DT235" s="650">
        <v>9103.2757822988078</v>
      </c>
      <c r="DU235" s="563">
        <v>2</v>
      </c>
      <c r="DV235" s="563">
        <v>2</v>
      </c>
      <c r="DW235" s="563">
        <v>12.47830457541852</v>
      </c>
      <c r="DX235" s="650">
        <v>6861.6642362320372</v>
      </c>
      <c r="DY235" s="564">
        <v>4000</v>
      </c>
      <c r="DZ235" s="565">
        <v>89.011791851710797</v>
      </c>
      <c r="EA235" s="649">
        <v>2.3278217204644522</v>
      </c>
      <c r="EB235" s="646">
        <v>11.554183133201441</v>
      </c>
      <c r="EC235" s="646">
        <v>0.12859373003166294</v>
      </c>
      <c r="ED235" s="646">
        <v>0.25773368146114461</v>
      </c>
      <c r="EE235" s="646">
        <v>33.29770660567214</v>
      </c>
      <c r="EF235" s="646">
        <v>0.24719163530487129</v>
      </c>
      <c r="EG235" s="646">
        <v>3600</v>
      </c>
      <c r="EH235" s="563" t="s">
        <v>1585</v>
      </c>
      <c r="EI235" s="563">
        <v>2</v>
      </c>
      <c r="EJ235" s="563">
        <v>1</v>
      </c>
      <c r="EK235" s="563">
        <v>2</v>
      </c>
      <c r="EL235" s="563">
        <v>17.7469635104842</v>
      </c>
      <c r="EM235" s="650">
        <v>9103.2757822988078</v>
      </c>
      <c r="EN235" s="563">
        <v>2</v>
      </c>
      <c r="EO235" s="563">
        <v>2</v>
      </c>
      <c r="EP235" s="563">
        <v>12.47830457541852</v>
      </c>
      <c r="EQ235" s="650">
        <v>6861.6642362320372</v>
      </c>
      <c r="ER235" s="564">
        <v>4000</v>
      </c>
      <c r="ES235" s="565">
        <v>89.011791851710797</v>
      </c>
      <c r="ET235" s="649">
        <v>2.3278217204644522</v>
      </c>
      <c r="EU235" s="646">
        <v>11.425589403169779</v>
      </c>
      <c r="EV235" s="646">
        <v>0</v>
      </c>
      <c r="EW235" s="646">
        <v>0.25773368146114461</v>
      </c>
      <c r="EX235" s="646">
        <v>33.109724162765168</v>
      </c>
      <c r="EY235" s="646">
        <v>0.24388051385453879</v>
      </c>
      <c r="EZ235" s="646">
        <v>2900</v>
      </c>
      <c r="FA235" s="563" t="s">
        <v>1587</v>
      </c>
      <c r="FB235" s="563">
        <v>2</v>
      </c>
      <c r="FC235" s="563">
        <v>0</v>
      </c>
      <c r="FD235" s="563">
        <v>0</v>
      </c>
      <c r="FE235" s="563">
        <v>0</v>
      </c>
      <c r="FF235" s="650">
        <v>5056.2191092551602</v>
      </c>
      <c r="FG235" s="563">
        <v>1</v>
      </c>
      <c r="FH235" s="563">
        <v>4</v>
      </c>
      <c r="FI235" s="563">
        <v>12.47830457541852</v>
      </c>
      <c r="FJ235" s="650">
        <v>9067.7674514148075</v>
      </c>
      <c r="FK235" s="564">
        <v>4000</v>
      </c>
      <c r="FL235" s="565">
        <v>89.011791851710797</v>
      </c>
      <c r="FM235" s="649">
        <v>2.3278217204644522</v>
      </c>
      <c r="FN235" s="646">
        <v>11.425589403169779</v>
      </c>
      <c r="FO235" s="646">
        <v>0</v>
      </c>
      <c r="FP235" s="646">
        <v>0.25773368146114461</v>
      </c>
      <c r="FQ235" s="646">
        <v>33.109724162765168</v>
      </c>
      <c r="FR235" s="646">
        <v>0.24388051385453879</v>
      </c>
      <c r="FS235" s="646">
        <v>3600</v>
      </c>
      <c r="FT235" s="563" t="s">
        <v>1587</v>
      </c>
      <c r="FU235" s="563">
        <v>2</v>
      </c>
      <c r="FV235" s="563">
        <v>0</v>
      </c>
      <c r="FW235" s="563">
        <v>0</v>
      </c>
      <c r="FX235" s="563">
        <v>0</v>
      </c>
      <c r="FY235" s="650">
        <v>5056.2191092551602</v>
      </c>
      <c r="FZ235" s="563">
        <v>1</v>
      </c>
      <c r="GA235" s="563">
        <v>4</v>
      </c>
      <c r="GB235" s="563">
        <v>12.47830457541852</v>
      </c>
      <c r="GC235" s="650">
        <v>9067.7674514148075</v>
      </c>
      <c r="GD235" s="564">
        <v>4000</v>
      </c>
      <c r="GE235" s="565">
        <v>89.011791851710797</v>
      </c>
      <c r="GF235" s="649">
        <v>2.3278217204644522</v>
      </c>
      <c r="GG235" s="646">
        <v>11.425589403169779</v>
      </c>
      <c r="GH235" s="646">
        <v>0</v>
      </c>
      <c r="GI235" s="646">
        <v>0.25773368146114461</v>
      </c>
      <c r="GJ235" s="646">
        <v>33.109724162765168</v>
      </c>
      <c r="GK235" s="646">
        <v>0.24388051385453879</v>
      </c>
      <c r="GL235" s="646">
        <v>2900</v>
      </c>
      <c r="GM235" s="563" t="s">
        <v>1587</v>
      </c>
      <c r="GN235" s="563">
        <v>2</v>
      </c>
      <c r="GO235" s="563">
        <v>0</v>
      </c>
      <c r="GP235" s="563">
        <v>0</v>
      </c>
      <c r="GQ235" s="563">
        <v>0</v>
      </c>
      <c r="GR235" s="650">
        <v>5056.2191092551602</v>
      </c>
      <c r="GS235" s="563">
        <v>1</v>
      </c>
      <c r="GT235" s="563">
        <v>4</v>
      </c>
      <c r="GU235" s="563">
        <v>12.47830457541852</v>
      </c>
      <c r="GV235" s="650">
        <v>9067.7674514148075</v>
      </c>
      <c r="GW235" s="564">
        <v>4000</v>
      </c>
      <c r="GX235" s="565">
        <v>89.011791851710797</v>
      </c>
      <c r="GY235" s="649">
        <v>2.3278217204644522</v>
      </c>
      <c r="GZ235" s="646">
        <v>11.425589403169779</v>
      </c>
      <c r="HA235" s="646">
        <v>0</v>
      </c>
      <c r="HB235" s="646">
        <v>0.25773368146114461</v>
      </c>
      <c r="HC235" s="646">
        <v>33.109724162765168</v>
      </c>
      <c r="HD235" s="646">
        <v>0.24388051385453879</v>
      </c>
      <c r="HE235" s="646">
        <v>3600</v>
      </c>
      <c r="HF235" s="563" t="s">
        <v>1587</v>
      </c>
      <c r="HG235" s="563">
        <v>2</v>
      </c>
      <c r="HH235" s="563">
        <v>0</v>
      </c>
      <c r="HI235" s="563">
        <v>0</v>
      </c>
      <c r="HJ235" s="563">
        <v>0</v>
      </c>
      <c r="HK235" s="650">
        <v>5056.2191092551602</v>
      </c>
      <c r="HL235" s="563">
        <v>1</v>
      </c>
      <c r="HM235" s="563">
        <v>4</v>
      </c>
      <c r="HN235" s="563">
        <v>12.47830457541852</v>
      </c>
      <c r="HO235" s="650">
        <v>9067.7674514148075</v>
      </c>
      <c r="HP235" s="564">
        <v>4000</v>
      </c>
      <c r="HQ235" s="565">
        <v>89.011791851710797</v>
      </c>
      <c r="HR235" s="649">
        <v>2.3278217204644522</v>
      </c>
      <c r="HS235" s="646">
        <v>11.167855721708634</v>
      </c>
      <c r="HT235" s="646">
        <v>0</v>
      </c>
      <c r="HU235" s="646">
        <v>0</v>
      </c>
      <c r="HV235" s="646">
        <v>32.719927492670053</v>
      </c>
      <c r="HW235" s="646">
        <v>0.23290557855958982</v>
      </c>
      <c r="HX235" s="646">
        <v>2900</v>
      </c>
      <c r="HY235" s="563" t="s">
        <v>68</v>
      </c>
      <c r="HZ235" s="563">
        <v>2</v>
      </c>
      <c r="IA235" s="563">
        <v>0</v>
      </c>
      <c r="IB235" s="563">
        <v>0</v>
      </c>
      <c r="IC235" s="563">
        <v>0</v>
      </c>
      <c r="ID235" s="650">
        <v>4459.1661124472275</v>
      </c>
      <c r="IE235" s="563">
        <v>0</v>
      </c>
      <c r="IF235" s="563">
        <v>0</v>
      </c>
      <c r="IG235" s="563">
        <v>0</v>
      </c>
      <c r="IH235" s="650">
        <v>3286.9647968412742</v>
      </c>
      <c r="II235" s="564">
        <v>3286.9647968412742</v>
      </c>
      <c r="IJ235" s="565">
        <v>73.144656580084103</v>
      </c>
      <c r="IK235" s="649">
        <v>2.3278217204644522</v>
      </c>
      <c r="IL235" s="646">
        <v>11.425589403169779</v>
      </c>
      <c r="IM235" s="646">
        <v>0</v>
      </c>
      <c r="IN235" s="646">
        <v>0.25773368146114461</v>
      </c>
      <c r="IO235" s="646">
        <v>33.109724162765168</v>
      </c>
      <c r="IP235" s="646">
        <v>0.24388051385453879</v>
      </c>
      <c r="IQ235" s="646">
        <v>3600</v>
      </c>
      <c r="IR235" s="563" t="s">
        <v>68</v>
      </c>
      <c r="IS235" s="563">
        <v>2</v>
      </c>
      <c r="IT235" s="563">
        <v>0</v>
      </c>
      <c r="IU235" s="563">
        <v>0</v>
      </c>
      <c r="IV235" s="563">
        <v>0</v>
      </c>
      <c r="IW235" s="650">
        <v>4459.1661124472275</v>
      </c>
      <c r="IX235" s="563">
        <v>1</v>
      </c>
      <c r="IY235" s="563">
        <v>4</v>
      </c>
      <c r="IZ235" s="563">
        <v>12.47830457541852</v>
      </c>
      <c r="JA235" s="650">
        <v>7997.0192076698486</v>
      </c>
      <c r="JB235" s="564">
        <v>4000</v>
      </c>
      <c r="JC235" s="565">
        <v>89.011791851710797</v>
      </c>
      <c r="JD235" s="649">
        <v>2.3278217204644522</v>
      </c>
      <c r="JE235" s="646">
        <v>11.167855721708634</v>
      </c>
      <c r="JF235" s="646">
        <v>0</v>
      </c>
      <c r="JG235" s="646">
        <v>0</v>
      </c>
      <c r="JH235" s="646">
        <v>32.719927492670053</v>
      </c>
      <c r="JI235" s="646">
        <v>0.23290557855958982</v>
      </c>
      <c r="JJ235" s="646">
        <v>2900</v>
      </c>
      <c r="JK235" s="563" t="s">
        <v>67</v>
      </c>
      <c r="JL235" s="563">
        <v>2</v>
      </c>
      <c r="JM235" s="563">
        <v>0</v>
      </c>
      <c r="JN235" s="563">
        <v>0</v>
      </c>
      <c r="JO235" s="563">
        <v>0</v>
      </c>
      <c r="JP235" s="650">
        <v>6076.8190861334479</v>
      </c>
      <c r="JQ235" s="563">
        <v>0</v>
      </c>
      <c r="JR235" s="563">
        <v>0</v>
      </c>
      <c r="JS235" s="563">
        <v>0</v>
      </c>
      <c r="JT235" s="650">
        <v>4479.3779619776833</v>
      </c>
      <c r="JU235" s="564">
        <v>4000</v>
      </c>
      <c r="JV235" s="565">
        <v>89.011791851710797</v>
      </c>
      <c r="JW235" s="649">
        <v>2.3278217204644522</v>
      </c>
      <c r="JX235" s="646">
        <v>11.167855721708634</v>
      </c>
      <c r="JY235" s="646">
        <v>0</v>
      </c>
      <c r="JZ235" s="646">
        <v>0</v>
      </c>
      <c r="KA235" s="646">
        <v>32.719927492670053</v>
      </c>
      <c r="KB235" s="646">
        <v>0.23290557855958982</v>
      </c>
      <c r="KC235" s="646">
        <v>3600</v>
      </c>
      <c r="KD235" s="563" t="s">
        <v>67</v>
      </c>
      <c r="KE235" s="563">
        <v>2</v>
      </c>
      <c r="KF235" s="563">
        <v>0</v>
      </c>
      <c r="KG235" s="563">
        <v>0</v>
      </c>
      <c r="KH235" s="563">
        <v>0</v>
      </c>
      <c r="KI235" s="650">
        <v>6076.8190861334479</v>
      </c>
      <c r="KJ235" s="563">
        <v>0</v>
      </c>
      <c r="KK235" s="563">
        <v>0</v>
      </c>
      <c r="KL235" s="563">
        <v>0</v>
      </c>
      <c r="KM235" s="650">
        <v>4479.3779619776833</v>
      </c>
      <c r="KN235" s="564">
        <v>4000</v>
      </c>
      <c r="KO235" s="566">
        <v>89.011791851710797</v>
      </c>
    </row>
    <row r="236" spans="1:301" ht="15" customHeight="1">
      <c r="A236" s="782" t="s">
        <v>985</v>
      </c>
      <c r="B236" s="629" t="s">
        <v>382</v>
      </c>
      <c r="C236" s="629">
        <v>302.69</v>
      </c>
      <c r="D236" s="629">
        <v>425</v>
      </c>
      <c r="E236" s="629"/>
      <c r="F236" s="629"/>
      <c r="G236" s="629">
        <v>28</v>
      </c>
      <c r="H236" s="629">
        <v>100</v>
      </c>
      <c r="I236" s="629">
        <v>100</v>
      </c>
      <c r="J236" s="629">
        <v>50</v>
      </c>
      <c r="K236" s="629">
        <v>32.590000000000003</v>
      </c>
      <c r="L236" s="629">
        <v>16</v>
      </c>
      <c r="M236" s="629">
        <v>92.668062120400151</v>
      </c>
      <c r="N236" s="629">
        <v>2</v>
      </c>
      <c r="O236" s="623">
        <v>2.2272419292395265</v>
      </c>
      <c r="P236" s="629">
        <v>2</v>
      </c>
      <c r="Q236" s="623">
        <v>1.003723144858671</v>
      </c>
      <c r="R236" s="629">
        <v>9</v>
      </c>
      <c r="S236" s="629">
        <v>315</v>
      </c>
      <c r="T236" s="645">
        <v>5.5058345297138498</v>
      </c>
      <c r="U236" s="645">
        <v>47.25</v>
      </c>
      <c r="V236" s="645">
        <v>10</v>
      </c>
      <c r="W236" s="793">
        <v>0.10323439743213468</v>
      </c>
      <c r="X236" s="646">
        <v>0</v>
      </c>
      <c r="Y236" s="646">
        <v>0</v>
      </c>
      <c r="Z236" s="646">
        <v>0</v>
      </c>
      <c r="AA236" s="646">
        <v>0</v>
      </c>
      <c r="AB236" s="647">
        <v>1.088290701235439</v>
      </c>
      <c r="AC236" s="784">
        <v>4000</v>
      </c>
      <c r="AD236" s="631"/>
      <c r="AE236" s="631"/>
      <c r="AF236" s="631"/>
      <c r="AG236" s="631"/>
      <c r="AH236" s="629"/>
      <c r="AI236" s="648">
        <v>0.72006967071764882</v>
      </c>
      <c r="AJ236" s="649">
        <v>2.3278217204644522</v>
      </c>
      <c r="AK236" s="646">
        <v>11.167855721708634</v>
      </c>
      <c r="AL236" s="646">
        <v>0</v>
      </c>
      <c r="AM236" s="646">
        <v>0</v>
      </c>
      <c r="AN236" s="646">
        <v>32.719927492670053</v>
      </c>
      <c r="AO236" s="646">
        <v>0.23290557855958982</v>
      </c>
      <c r="AP236" s="801">
        <v>2900</v>
      </c>
      <c r="AQ236" s="563" t="s">
        <v>67</v>
      </c>
      <c r="AR236" s="563">
        <v>2</v>
      </c>
      <c r="AS236" s="563">
        <v>0</v>
      </c>
      <c r="AT236" s="563">
        <v>0</v>
      </c>
      <c r="AU236" s="563">
        <v>0</v>
      </c>
      <c r="AV236" s="650">
        <v>6076.8190861334479</v>
      </c>
      <c r="AW236" s="563">
        <v>0</v>
      </c>
      <c r="AX236" s="563">
        <v>0</v>
      </c>
      <c r="AY236" s="563">
        <v>0</v>
      </c>
      <c r="AZ236" s="650">
        <v>4479.3779619776833</v>
      </c>
      <c r="BA236" s="564">
        <v>4000</v>
      </c>
      <c r="BB236" s="565">
        <v>89.011791851710797</v>
      </c>
      <c r="BC236" s="649">
        <v>2.3278217204644522</v>
      </c>
      <c r="BD236" s="646">
        <v>11.167855721708634</v>
      </c>
      <c r="BE236" s="646">
        <v>0</v>
      </c>
      <c r="BF236" s="646">
        <v>0</v>
      </c>
      <c r="BG236" s="646">
        <v>32.719927492670053</v>
      </c>
      <c r="BH236" s="646">
        <v>0.23290557855958982</v>
      </c>
      <c r="BI236" s="646">
        <v>3600</v>
      </c>
      <c r="BJ236" s="563" t="s">
        <v>67</v>
      </c>
      <c r="BK236" s="563">
        <v>2</v>
      </c>
      <c r="BL236" s="563">
        <v>0</v>
      </c>
      <c r="BM236" s="563">
        <v>0</v>
      </c>
      <c r="BN236" s="563">
        <v>0</v>
      </c>
      <c r="BO236" s="650">
        <v>6076.8190861334479</v>
      </c>
      <c r="BP236" s="563">
        <v>0</v>
      </c>
      <c r="BQ236" s="563">
        <v>0</v>
      </c>
      <c r="BR236" s="563">
        <v>0</v>
      </c>
      <c r="BS236" s="650">
        <v>4479.3779619776833</v>
      </c>
      <c r="BT236" s="564">
        <v>4000</v>
      </c>
      <c r="BU236" s="565">
        <v>89.011791851710797</v>
      </c>
      <c r="BV236" s="649">
        <v>3.4917325806966781</v>
      </c>
      <c r="BW236" s="646">
        <v>13.104557960275928</v>
      </c>
      <c r="BX236" s="646">
        <v>0.1928905950474944</v>
      </c>
      <c r="BY236" s="646">
        <v>0.57990078328757555</v>
      </c>
      <c r="BZ236" s="646">
        <v>35.27372253169375</v>
      </c>
      <c r="CA236" s="646">
        <v>0.30217465900549084</v>
      </c>
      <c r="CB236" s="646">
        <v>2900</v>
      </c>
      <c r="CC236" s="563" t="s">
        <v>1584</v>
      </c>
      <c r="CD236" s="563">
        <v>3</v>
      </c>
      <c r="CE236" s="563">
        <v>1</v>
      </c>
      <c r="CF236" s="563">
        <v>3</v>
      </c>
      <c r="CG236" s="563">
        <v>17.7469635104842</v>
      </c>
      <c r="CH236" s="650">
        <v>8210.9293002950926</v>
      </c>
      <c r="CI236" s="563">
        <v>3</v>
      </c>
      <c r="CJ236" s="563">
        <v>3</v>
      </c>
      <c r="CK236" s="563">
        <v>12.47830457541852</v>
      </c>
      <c r="CL236" s="650">
        <v>6438.2617153377378</v>
      </c>
      <c r="CM236" s="564">
        <v>4000</v>
      </c>
      <c r="CN236" s="565">
        <v>89.011791851710797</v>
      </c>
      <c r="CO236" s="649">
        <v>3.4917325806966781</v>
      </c>
      <c r="CP236" s="646">
        <v>13.104557960275928</v>
      </c>
      <c r="CQ236" s="646">
        <v>0.1928905950474944</v>
      </c>
      <c r="CR236" s="646">
        <v>0.57990078328757555</v>
      </c>
      <c r="CS236" s="646">
        <v>35.27372253169375</v>
      </c>
      <c r="CT236" s="646">
        <v>0.30217465900549084</v>
      </c>
      <c r="CU236" s="646">
        <v>3600</v>
      </c>
      <c r="CV236" s="563" t="s">
        <v>1584</v>
      </c>
      <c r="CW236" s="563">
        <v>3</v>
      </c>
      <c r="CX236" s="563">
        <v>1</v>
      </c>
      <c r="CY236" s="563">
        <v>3</v>
      </c>
      <c r="CZ236" s="563">
        <v>17.7469635104842</v>
      </c>
      <c r="DA236" s="650">
        <v>8210.9293002950926</v>
      </c>
      <c r="DB236" s="563">
        <v>3</v>
      </c>
      <c r="DC236" s="563">
        <v>3</v>
      </c>
      <c r="DD236" s="563">
        <v>12.47830457541852</v>
      </c>
      <c r="DE236" s="650">
        <v>6438.2617153377378</v>
      </c>
      <c r="DF236" s="564">
        <v>4000</v>
      </c>
      <c r="DG236" s="565">
        <v>89.011791851710797</v>
      </c>
      <c r="DH236" s="649">
        <v>2.3278217204644522</v>
      </c>
      <c r="DI236" s="646">
        <v>11.554183133201441</v>
      </c>
      <c r="DJ236" s="646">
        <v>0.12859373003166294</v>
      </c>
      <c r="DK236" s="646">
        <v>0.25773368146114461</v>
      </c>
      <c r="DL236" s="646">
        <v>33.29770660567214</v>
      </c>
      <c r="DM236" s="646">
        <v>0.24719163530487129</v>
      </c>
      <c r="DN236" s="646">
        <v>2900</v>
      </c>
      <c r="DO236" s="563" t="s">
        <v>1585</v>
      </c>
      <c r="DP236" s="563">
        <v>2</v>
      </c>
      <c r="DQ236" s="563">
        <v>1</v>
      </c>
      <c r="DR236" s="563">
        <v>2</v>
      </c>
      <c r="DS236" s="563">
        <v>17.7469635104842</v>
      </c>
      <c r="DT236" s="650">
        <v>9103.2757822988078</v>
      </c>
      <c r="DU236" s="563">
        <v>2</v>
      </c>
      <c r="DV236" s="563">
        <v>2</v>
      </c>
      <c r="DW236" s="563">
        <v>12.47830457541852</v>
      </c>
      <c r="DX236" s="650">
        <v>6861.6642362320372</v>
      </c>
      <c r="DY236" s="564">
        <v>4000</v>
      </c>
      <c r="DZ236" s="565">
        <v>89.011791851710797</v>
      </c>
      <c r="EA236" s="649">
        <v>2.3278217204644522</v>
      </c>
      <c r="EB236" s="646">
        <v>11.554183133201441</v>
      </c>
      <c r="EC236" s="646">
        <v>0.12859373003166294</v>
      </c>
      <c r="ED236" s="646">
        <v>0.25773368146114461</v>
      </c>
      <c r="EE236" s="646">
        <v>33.29770660567214</v>
      </c>
      <c r="EF236" s="646">
        <v>0.24719163530487129</v>
      </c>
      <c r="EG236" s="646">
        <v>3600</v>
      </c>
      <c r="EH236" s="563" t="s">
        <v>1585</v>
      </c>
      <c r="EI236" s="563">
        <v>2</v>
      </c>
      <c r="EJ236" s="563">
        <v>1</v>
      </c>
      <c r="EK236" s="563">
        <v>2</v>
      </c>
      <c r="EL236" s="563">
        <v>17.7469635104842</v>
      </c>
      <c r="EM236" s="650">
        <v>9103.2757822988078</v>
      </c>
      <c r="EN236" s="563">
        <v>2</v>
      </c>
      <c r="EO236" s="563">
        <v>2</v>
      </c>
      <c r="EP236" s="563">
        <v>12.47830457541852</v>
      </c>
      <c r="EQ236" s="650">
        <v>6861.6642362320372</v>
      </c>
      <c r="ER236" s="564">
        <v>4000</v>
      </c>
      <c r="ES236" s="565">
        <v>89.011791851710797</v>
      </c>
      <c r="ET236" s="649">
        <v>2.3278217204644522</v>
      </c>
      <c r="EU236" s="646">
        <v>11.425589403169779</v>
      </c>
      <c r="EV236" s="646">
        <v>0</v>
      </c>
      <c r="EW236" s="646">
        <v>0.25773368146114461</v>
      </c>
      <c r="EX236" s="646">
        <v>33.109724162765168</v>
      </c>
      <c r="EY236" s="646">
        <v>0.24388051385453879</v>
      </c>
      <c r="EZ236" s="646">
        <v>2900</v>
      </c>
      <c r="FA236" s="563" t="s">
        <v>1587</v>
      </c>
      <c r="FB236" s="563">
        <v>2</v>
      </c>
      <c r="FC236" s="563">
        <v>0</v>
      </c>
      <c r="FD236" s="563">
        <v>0</v>
      </c>
      <c r="FE236" s="563">
        <v>0</v>
      </c>
      <c r="FF236" s="650">
        <v>5056.2191092551602</v>
      </c>
      <c r="FG236" s="563">
        <v>1</v>
      </c>
      <c r="FH236" s="563">
        <v>4</v>
      </c>
      <c r="FI236" s="563">
        <v>12.47830457541852</v>
      </c>
      <c r="FJ236" s="650">
        <v>9067.7674514148075</v>
      </c>
      <c r="FK236" s="564">
        <v>4000</v>
      </c>
      <c r="FL236" s="565">
        <v>89.011791851710797</v>
      </c>
      <c r="FM236" s="649">
        <v>2.3278217204644522</v>
      </c>
      <c r="FN236" s="646">
        <v>11.425589403169779</v>
      </c>
      <c r="FO236" s="646">
        <v>0</v>
      </c>
      <c r="FP236" s="646">
        <v>0.25773368146114461</v>
      </c>
      <c r="FQ236" s="646">
        <v>33.109724162765168</v>
      </c>
      <c r="FR236" s="646">
        <v>0.24388051385453879</v>
      </c>
      <c r="FS236" s="646">
        <v>3600</v>
      </c>
      <c r="FT236" s="563" t="s">
        <v>1587</v>
      </c>
      <c r="FU236" s="563">
        <v>2</v>
      </c>
      <c r="FV236" s="563">
        <v>0</v>
      </c>
      <c r="FW236" s="563">
        <v>0</v>
      </c>
      <c r="FX236" s="563">
        <v>0</v>
      </c>
      <c r="FY236" s="650">
        <v>5056.2191092551602</v>
      </c>
      <c r="FZ236" s="563">
        <v>1</v>
      </c>
      <c r="GA236" s="563">
        <v>4</v>
      </c>
      <c r="GB236" s="563">
        <v>12.47830457541852</v>
      </c>
      <c r="GC236" s="650">
        <v>9067.7674514148075</v>
      </c>
      <c r="GD236" s="564">
        <v>4000</v>
      </c>
      <c r="GE236" s="565">
        <v>89.011791851710797</v>
      </c>
      <c r="GF236" s="649">
        <v>2.3278217204644522</v>
      </c>
      <c r="GG236" s="646">
        <v>11.425589403169779</v>
      </c>
      <c r="GH236" s="646">
        <v>0</v>
      </c>
      <c r="GI236" s="646">
        <v>0.25773368146114461</v>
      </c>
      <c r="GJ236" s="646">
        <v>33.109724162765168</v>
      </c>
      <c r="GK236" s="646">
        <v>0.24388051385453879</v>
      </c>
      <c r="GL236" s="646">
        <v>2900</v>
      </c>
      <c r="GM236" s="563" t="s">
        <v>1587</v>
      </c>
      <c r="GN236" s="563">
        <v>2</v>
      </c>
      <c r="GO236" s="563">
        <v>0</v>
      </c>
      <c r="GP236" s="563">
        <v>0</v>
      </c>
      <c r="GQ236" s="563">
        <v>0</v>
      </c>
      <c r="GR236" s="650">
        <v>5056.2191092551602</v>
      </c>
      <c r="GS236" s="563">
        <v>1</v>
      </c>
      <c r="GT236" s="563">
        <v>4</v>
      </c>
      <c r="GU236" s="563">
        <v>12.47830457541852</v>
      </c>
      <c r="GV236" s="650">
        <v>9067.7674514148075</v>
      </c>
      <c r="GW236" s="564">
        <v>4000</v>
      </c>
      <c r="GX236" s="565">
        <v>89.011791851710797</v>
      </c>
      <c r="GY236" s="649">
        <v>2.3278217204644522</v>
      </c>
      <c r="GZ236" s="646">
        <v>11.425589403169779</v>
      </c>
      <c r="HA236" s="646">
        <v>0</v>
      </c>
      <c r="HB236" s="646">
        <v>0.25773368146114461</v>
      </c>
      <c r="HC236" s="646">
        <v>33.109724162765168</v>
      </c>
      <c r="HD236" s="646">
        <v>0.24388051385453879</v>
      </c>
      <c r="HE236" s="646">
        <v>3600</v>
      </c>
      <c r="HF236" s="563" t="s">
        <v>1587</v>
      </c>
      <c r="HG236" s="563">
        <v>2</v>
      </c>
      <c r="HH236" s="563">
        <v>0</v>
      </c>
      <c r="HI236" s="563">
        <v>0</v>
      </c>
      <c r="HJ236" s="563">
        <v>0</v>
      </c>
      <c r="HK236" s="650">
        <v>5056.2191092551602</v>
      </c>
      <c r="HL236" s="563">
        <v>1</v>
      </c>
      <c r="HM236" s="563">
        <v>4</v>
      </c>
      <c r="HN236" s="563">
        <v>12.47830457541852</v>
      </c>
      <c r="HO236" s="650">
        <v>9067.7674514148075</v>
      </c>
      <c r="HP236" s="564">
        <v>4000</v>
      </c>
      <c r="HQ236" s="565">
        <v>89.011791851710797</v>
      </c>
      <c r="HR236" s="649">
        <v>2.3278217204644522</v>
      </c>
      <c r="HS236" s="646">
        <v>11.167855721708634</v>
      </c>
      <c r="HT236" s="646">
        <v>0</v>
      </c>
      <c r="HU236" s="646">
        <v>0</v>
      </c>
      <c r="HV236" s="646">
        <v>32.719927492670053</v>
      </c>
      <c r="HW236" s="646">
        <v>0.23290557855958982</v>
      </c>
      <c r="HX236" s="646">
        <v>2900</v>
      </c>
      <c r="HY236" s="563" t="s">
        <v>68</v>
      </c>
      <c r="HZ236" s="563">
        <v>2</v>
      </c>
      <c r="IA236" s="563">
        <v>0</v>
      </c>
      <c r="IB236" s="563">
        <v>0</v>
      </c>
      <c r="IC236" s="563">
        <v>0</v>
      </c>
      <c r="ID236" s="650">
        <v>4459.1661124472275</v>
      </c>
      <c r="IE236" s="563">
        <v>0</v>
      </c>
      <c r="IF236" s="563">
        <v>0</v>
      </c>
      <c r="IG236" s="563">
        <v>0</v>
      </c>
      <c r="IH236" s="650">
        <v>3286.9647968412742</v>
      </c>
      <c r="II236" s="564">
        <v>3286.9647968412742</v>
      </c>
      <c r="IJ236" s="565">
        <v>73.144656580084103</v>
      </c>
      <c r="IK236" s="649">
        <v>2.3278217204644522</v>
      </c>
      <c r="IL236" s="646">
        <v>11.425589403169779</v>
      </c>
      <c r="IM236" s="646">
        <v>0</v>
      </c>
      <c r="IN236" s="646">
        <v>0.25773368146114461</v>
      </c>
      <c r="IO236" s="646">
        <v>33.109724162765168</v>
      </c>
      <c r="IP236" s="646">
        <v>0.24388051385453879</v>
      </c>
      <c r="IQ236" s="646">
        <v>3600</v>
      </c>
      <c r="IR236" s="563" t="s">
        <v>68</v>
      </c>
      <c r="IS236" s="563">
        <v>2</v>
      </c>
      <c r="IT236" s="563">
        <v>0</v>
      </c>
      <c r="IU236" s="563">
        <v>0</v>
      </c>
      <c r="IV236" s="563">
        <v>0</v>
      </c>
      <c r="IW236" s="650">
        <v>4459.1661124472275</v>
      </c>
      <c r="IX236" s="563">
        <v>1</v>
      </c>
      <c r="IY236" s="563">
        <v>4</v>
      </c>
      <c r="IZ236" s="563">
        <v>12.47830457541852</v>
      </c>
      <c r="JA236" s="650">
        <v>7997.0192076698486</v>
      </c>
      <c r="JB236" s="564">
        <v>4000</v>
      </c>
      <c r="JC236" s="565">
        <v>89.011791851710797</v>
      </c>
      <c r="JD236" s="649">
        <v>2.3278217204644522</v>
      </c>
      <c r="JE236" s="646">
        <v>11.167855721708634</v>
      </c>
      <c r="JF236" s="646">
        <v>0</v>
      </c>
      <c r="JG236" s="646">
        <v>0</v>
      </c>
      <c r="JH236" s="646">
        <v>32.719927492670053</v>
      </c>
      <c r="JI236" s="646">
        <v>0.23290557855958982</v>
      </c>
      <c r="JJ236" s="646">
        <v>2900</v>
      </c>
      <c r="JK236" s="563" t="s">
        <v>67</v>
      </c>
      <c r="JL236" s="563">
        <v>2</v>
      </c>
      <c r="JM236" s="563">
        <v>0</v>
      </c>
      <c r="JN236" s="563">
        <v>0</v>
      </c>
      <c r="JO236" s="563">
        <v>0</v>
      </c>
      <c r="JP236" s="650">
        <v>6076.8190861334479</v>
      </c>
      <c r="JQ236" s="563">
        <v>0</v>
      </c>
      <c r="JR236" s="563">
        <v>0</v>
      </c>
      <c r="JS236" s="563">
        <v>0</v>
      </c>
      <c r="JT236" s="650">
        <v>4479.3779619776833</v>
      </c>
      <c r="JU236" s="564">
        <v>4000</v>
      </c>
      <c r="JV236" s="565">
        <v>89.011791851710797</v>
      </c>
      <c r="JW236" s="649">
        <v>2.3278217204644522</v>
      </c>
      <c r="JX236" s="646">
        <v>11.167855721708634</v>
      </c>
      <c r="JY236" s="646">
        <v>0</v>
      </c>
      <c r="JZ236" s="646">
        <v>0</v>
      </c>
      <c r="KA236" s="646">
        <v>32.719927492670053</v>
      </c>
      <c r="KB236" s="646">
        <v>0.23290557855958982</v>
      </c>
      <c r="KC236" s="646">
        <v>3600</v>
      </c>
      <c r="KD236" s="563" t="s">
        <v>67</v>
      </c>
      <c r="KE236" s="563">
        <v>2</v>
      </c>
      <c r="KF236" s="563">
        <v>0</v>
      </c>
      <c r="KG236" s="563">
        <v>0</v>
      </c>
      <c r="KH236" s="563">
        <v>0</v>
      </c>
      <c r="KI236" s="650">
        <v>6076.8190861334479</v>
      </c>
      <c r="KJ236" s="563">
        <v>0</v>
      </c>
      <c r="KK236" s="563">
        <v>0</v>
      </c>
      <c r="KL236" s="563">
        <v>0</v>
      </c>
      <c r="KM236" s="650">
        <v>4479.3779619776833</v>
      </c>
      <c r="KN236" s="564">
        <v>4000</v>
      </c>
      <c r="KO236" s="566">
        <v>89.011791851710797</v>
      </c>
    </row>
    <row r="237" spans="1:301" ht="15" customHeight="1">
      <c r="A237" s="782" t="s">
        <v>986</v>
      </c>
      <c r="B237" s="629" t="s">
        <v>382</v>
      </c>
      <c r="C237" s="629">
        <v>260</v>
      </c>
      <c r="D237" s="629">
        <v>370</v>
      </c>
      <c r="E237" s="629"/>
      <c r="F237" s="629"/>
      <c r="G237" s="629">
        <v>28</v>
      </c>
      <c r="H237" s="629">
        <v>130</v>
      </c>
      <c r="I237" s="629">
        <v>130</v>
      </c>
      <c r="J237" s="629">
        <v>40.590000000000003</v>
      </c>
      <c r="K237" s="629">
        <v>56.99</v>
      </c>
      <c r="L237" s="629">
        <v>16</v>
      </c>
      <c r="M237" s="629">
        <v>73.109138366574413</v>
      </c>
      <c r="N237" s="629">
        <v>2</v>
      </c>
      <c r="O237" s="623">
        <v>1.6880798345350376</v>
      </c>
      <c r="P237" s="629">
        <v>2</v>
      </c>
      <c r="Q237" s="623">
        <v>0.4645610501541822</v>
      </c>
      <c r="R237" s="629">
        <v>9</v>
      </c>
      <c r="S237" s="629">
        <v>315</v>
      </c>
      <c r="T237" s="645">
        <v>5.5058345297138498</v>
      </c>
      <c r="U237" s="645">
        <v>47.25</v>
      </c>
      <c r="V237" s="645">
        <v>10</v>
      </c>
      <c r="W237" s="793">
        <v>0.10323439743213468</v>
      </c>
      <c r="X237" s="646">
        <v>0</v>
      </c>
      <c r="Y237" s="646">
        <v>0</v>
      </c>
      <c r="Z237" s="646">
        <v>0</v>
      </c>
      <c r="AA237" s="646">
        <v>0</v>
      </c>
      <c r="AB237" s="647">
        <v>1.0691121368931067</v>
      </c>
      <c r="AC237" s="784">
        <v>4000</v>
      </c>
      <c r="AD237" s="631"/>
      <c r="AE237" s="631"/>
      <c r="AF237" s="631"/>
      <c r="AG237" s="631"/>
      <c r="AH237" s="629"/>
      <c r="AI237" s="648">
        <v>0.62803221819005728</v>
      </c>
      <c r="AJ237" s="649">
        <v>2.3874520224988545</v>
      </c>
      <c r="AK237" s="646">
        <v>10.149161834334059</v>
      </c>
      <c r="AL237" s="646">
        <v>0</v>
      </c>
      <c r="AM237" s="646">
        <v>0</v>
      </c>
      <c r="AN237" s="646">
        <v>39.450720651483181</v>
      </c>
      <c r="AO237" s="646">
        <v>0.17191787214092191</v>
      </c>
      <c r="AP237" s="801">
        <v>2600</v>
      </c>
      <c r="AQ237" s="563" t="s">
        <v>67</v>
      </c>
      <c r="AR237" s="563">
        <v>2</v>
      </c>
      <c r="AS237" s="563">
        <v>0</v>
      </c>
      <c r="AT237" s="563">
        <v>0</v>
      </c>
      <c r="AU237" s="563">
        <v>0</v>
      </c>
      <c r="AV237" s="650">
        <v>4543.2045596730031</v>
      </c>
      <c r="AW237" s="563">
        <v>0</v>
      </c>
      <c r="AX237" s="563">
        <v>0</v>
      </c>
      <c r="AY237" s="563">
        <v>0</v>
      </c>
      <c r="AZ237" s="650">
        <v>4496.4145508379979</v>
      </c>
      <c r="BA237" s="564">
        <v>4000</v>
      </c>
      <c r="BB237" s="565">
        <v>77.492618788548228</v>
      </c>
      <c r="BC237" s="649">
        <v>2.3874520224988545</v>
      </c>
      <c r="BD237" s="646">
        <v>10.149161834334059</v>
      </c>
      <c r="BE237" s="646">
        <v>0</v>
      </c>
      <c r="BF237" s="646">
        <v>0</v>
      </c>
      <c r="BG237" s="646">
        <v>39.450720651483181</v>
      </c>
      <c r="BH237" s="646">
        <v>0.17191787214092191</v>
      </c>
      <c r="BI237" s="646">
        <v>3250</v>
      </c>
      <c r="BJ237" s="563" t="s">
        <v>67</v>
      </c>
      <c r="BK237" s="563">
        <v>2</v>
      </c>
      <c r="BL237" s="563">
        <v>0</v>
      </c>
      <c r="BM237" s="563">
        <v>0</v>
      </c>
      <c r="BN237" s="563">
        <v>0</v>
      </c>
      <c r="BO237" s="650">
        <v>4543.2045596730031</v>
      </c>
      <c r="BP237" s="563">
        <v>0</v>
      </c>
      <c r="BQ237" s="563">
        <v>0</v>
      </c>
      <c r="BR237" s="563">
        <v>0</v>
      </c>
      <c r="BS237" s="650">
        <v>4496.4145508379979</v>
      </c>
      <c r="BT237" s="564">
        <v>4000</v>
      </c>
      <c r="BU237" s="565">
        <v>77.492618788548228</v>
      </c>
      <c r="BV237" s="649">
        <v>3.5811780337482819</v>
      </c>
      <c r="BW237" s="646">
        <v>11.977282140416792</v>
      </c>
      <c r="BX237" s="646">
        <v>0.22352207161283713</v>
      </c>
      <c r="BY237" s="646">
        <v>0.41087222322046796</v>
      </c>
      <c r="BZ237" s="646">
        <v>43.350366316937844</v>
      </c>
      <c r="CA237" s="646">
        <v>0.21951672082104021</v>
      </c>
      <c r="CB237" s="646">
        <v>2600</v>
      </c>
      <c r="CC237" s="563" t="s">
        <v>1584</v>
      </c>
      <c r="CD237" s="563">
        <v>3</v>
      </c>
      <c r="CE237" s="563">
        <v>2</v>
      </c>
      <c r="CF237" s="563">
        <v>3</v>
      </c>
      <c r="CG237" s="563">
        <v>11.89196332640552</v>
      </c>
      <c r="CH237" s="650">
        <v>8913.6257810962124</v>
      </c>
      <c r="CI237" s="563">
        <v>2</v>
      </c>
      <c r="CJ237" s="563">
        <v>3</v>
      </c>
      <c r="CK237" s="563">
        <v>15.326883023558674</v>
      </c>
      <c r="CL237" s="650">
        <v>7164.8499914984641</v>
      </c>
      <c r="CM237" s="564">
        <v>4000</v>
      </c>
      <c r="CN237" s="565">
        <v>77.492618788548228</v>
      </c>
      <c r="CO237" s="649">
        <v>3.5811780337482819</v>
      </c>
      <c r="CP237" s="646">
        <v>11.977282140416792</v>
      </c>
      <c r="CQ237" s="646">
        <v>0.22352207161283713</v>
      </c>
      <c r="CR237" s="646">
        <v>0.41087222322046796</v>
      </c>
      <c r="CS237" s="646">
        <v>43.350366316937844</v>
      </c>
      <c r="CT237" s="646">
        <v>0.21951672082104021</v>
      </c>
      <c r="CU237" s="646">
        <v>3250</v>
      </c>
      <c r="CV237" s="563" t="s">
        <v>1584</v>
      </c>
      <c r="CW237" s="563">
        <v>3</v>
      </c>
      <c r="CX237" s="563">
        <v>2</v>
      </c>
      <c r="CY237" s="563">
        <v>3</v>
      </c>
      <c r="CZ237" s="563">
        <v>11.89196332640552</v>
      </c>
      <c r="DA237" s="650">
        <v>8913.6257810962124</v>
      </c>
      <c r="DB237" s="563">
        <v>2</v>
      </c>
      <c r="DC237" s="563">
        <v>3</v>
      </c>
      <c r="DD237" s="563">
        <v>15.326883023558674</v>
      </c>
      <c r="DE237" s="650">
        <v>7164.8499914984641</v>
      </c>
      <c r="DF237" s="564">
        <v>4000</v>
      </c>
      <c r="DG237" s="565">
        <v>77.492618788548228</v>
      </c>
      <c r="DH237" s="649">
        <v>2.3874520224988545</v>
      </c>
      <c r="DI237" s="646">
        <v>10.360626599278493</v>
      </c>
      <c r="DJ237" s="646">
        <v>7.4507357204279034E-2</v>
      </c>
      <c r="DK237" s="646">
        <v>0.13695740774015597</v>
      </c>
      <c r="DL237" s="646">
        <v>39.972192234322591</v>
      </c>
      <c r="DM237" s="646">
        <v>0.17761261464677353</v>
      </c>
      <c r="DN237" s="646">
        <v>2600</v>
      </c>
      <c r="DO237" s="563" t="s">
        <v>1585</v>
      </c>
      <c r="DP237" s="563">
        <v>2</v>
      </c>
      <c r="DQ237" s="563">
        <v>1</v>
      </c>
      <c r="DR237" s="563">
        <v>2</v>
      </c>
      <c r="DS237" s="563">
        <v>11.89196332640552</v>
      </c>
      <c r="DT237" s="650">
        <v>9125.3492360446144</v>
      </c>
      <c r="DU237" s="563">
        <v>1</v>
      </c>
      <c r="DV237" s="563">
        <v>2</v>
      </c>
      <c r="DW237" s="563">
        <v>15.326883023558674</v>
      </c>
      <c r="DX237" s="650">
        <v>7494.981720614066</v>
      </c>
      <c r="DY237" s="564">
        <v>4000</v>
      </c>
      <c r="DZ237" s="565">
        <v>77.492618788548228</v>
      </c>
      <c r="EA237" s="649">
        <v>2.3874520224988545</v>
      </c>
      <c r="EB237" s="646">
        <v>10.360626599278493</v>
      </c>
      <c r="EC237" s="646">
        <v>7.4507357204279034E-2</v>
      </c>
      <c r="ED237" s="646">
        <v>0.13695740774015597</v>
      </c>
      <c r="EE237" s="646">
        <v>39.972192234322591</v>
      </c>
      <c r="EF237" s="646">
        <v>0.17761261464677353</v>
      </c>
      <c r="EG237" s="646">
        <v>3250</v>
      </c>
      <c r="EH237" s="563" t="s">
        <v>1585</v>
      </c>
      <c r="EI237" s="563">
        <v>2</v>
      </c>
      <c r="EJ237" s="563">
        <v>1</v>
      </c>
      <c r="EK237" s="563">
        <v>2</v>
      </c>
      <c r="EL237" s="563">
        <v>11.89196332640552</v>
      </c>
      <c r="EM237" s="650">
        <v>9125.3492360446144</v>
      </c>
      <c r="EN237" s="563">
        <v>1</v>
      </c>
      <c r="EO237" s="563">
        <v>2</v>
      </c>
      <c r="EP237" s="563">
        <v>15.326883023558674</v>
      </c>
      <c r="EQ237" s="650">
        <v>7494.981720614066</v>
      </c>
      <c r="ER237" s="564">
        <v>4000</v>
      </c>
      <c r="ES237" s="565">
        <v>77.492618788548228</v>
      </c>
      <c r="ET237" s="649">
        <v>2.3874520224988545</v>
      </c>
      <c r="EU237" s="646">
        <v>10.360626599278493</v>
      </c>
      <c r="EV237" s="646">
        <v>7.4507357204279034E-2</v>
      </c>
      <c r="EW237" s="646">
        <v>0.13695740774015597</v>
      </c>
      <c r="EX237" s="646">
        <v>39.972192234322591</v>
      </c>
      <c r="EY237" s="646">
        <v>0.17761261464677353</v>
      </c>
      <c r="EZ237" s="646">
        <v>2600</v>
      </c>
      <c r="FA237" s="563" t="s">
        <v>1586</v>
      </c>
      <c r="FB237" s="563">
        <v>2</v>
      </c>
      <c r="FC237" s="563">
        <v>1</v>
      </c>
      <c r="FD237" s="563">
        <v>2</v>
      </c>
      <c r="FE237" s="563">
        <v>11.89196332640552</v>
      </c>
      <c r="FF237" s="650">
        <v>9578.1176401509711</v>
      </c>
      <c r="FG237" s="563">
        <v>1</v>
      </c>
      <c r="FH237" s="563">
        <v>2</v>
      </c>
      <c r="FI237" s="563">
        <v>15.326883023558674</v>
      </c>
      <c r="FJ237" s="650">
        <v>7866.8569031051265</v>
      </c>
      <c r="FK237" s="564">
        <v>4000</v>
      </c>
      <c r="FL237" s="565">
        <v>77.492618788548228</v>
      </c>
      <c r="FM237" s="649">
        <v>2.3874520224988545</v>
      </c>
      <c r="FN237" s="646">
        <v>10.360626599278493</v>
      </c>
      <c r="FO237" s="646">
        <v>7.4507357204279034E-2</v>
      </c>
      <c r="FP237" s="646">
        <v>0.13695740774015597</v>
      </c>
      <c r="FQ237" s="646">
        <v>39.972192234322591</v>
      </c>
      <c r="FR237" s="646">
        <v>0.17761261464677353</v>
      </c>
      <c r="FS237" s="646">
        <v>3250</v>
      </c>
      <c r="FT237" s="563" t="s">
        <v>1586</v>
      </c>
      <c r="FU237" s="563">
        <v>2</v>
      </c>
      <c r="FV237" s="563">
        <v>1</v>
      </c>
      <c r="FW237" s="563">
        <v>2</v>
      </c>
      <c r="FX237" s="563">
        <v>11.89196332640552</v>
      </c>
      <c r="FY237" s="650">
        <v>9578.1176401509711</v>
      </c>
      <c r="FZ237" s="563">
        <v>1</v>
      </c>
      <c r="GA237" s="563">
        <v>2</v>
      </c>
      <c r="GB237" s="563">
        <v>15.326883023558674</v>
      </c>
      <c r="GC237" s="650">
        <v>7866.8569031051265</v>
      </c>
      <c r="GD237" s="564">
        <v>4000</v>
      </c>
      <c r="GE237" s="565">
        <v>77.492618788548228</v>
      </c>
      <c r="GF237" s="649">
        <v>2.3874520224988545</v>
      </c>
      <c r="GG237" s="646">
        <v>10.360626599278493</v>
      </c>
      <c r="GH237" s="646">
        <v>7.4507357204279034E-2</v>
      </c>
      <c r="GI237" s="646">
        <v>0.13695740774015597</v>
      </c>
      <c r="GJ237" s="646">
        <v>39.972192234322591</v>
      </c>
      <c r="GK237" s="646">
        <v>0.17761261464677353</v>
      </c>
      <c r="GL237" s="646">
        <v>2600</v>
      </c>
      <c r="GM237" s="563" t="s">
        <v>1587</v>
      </c>
      <c r="GN237" s="563">
        <v>2</v>
      </c>
      <c r="GO237" s="563">
        <v>1</v>
      </c>
      <c r="GP237" s="563">
        <v>2</v>
      </c>
      <c r="GQ237" s="563">
        <v>11.89196332640552</v>
      </c>
      <c r="GR237" s="650">
        <v>11270.540480911632</v>
      </c>
      <c r="GS237" s="563">
        <v>1</v>
      </c>
      <c r="GT237" s="563">
        <v>2</v>
      </c>
      <c r="GU237" s="563">
        <v>15.326883023558674</v>
      </c>
      <c r="GV237" s="650">
        <v>9256.9054291327247</v>
      </c>
      <c r="GW237" s="564">
        <v>4000</v>
      </c>
      <c r="GX237" s="565">
        <v>77.492618788548228</v>
      </c>
      <c r="GY237" s="649">
        <v>2.3874520224988545</v>
      </c>
      <c r="GZ237" s="646">
        <v>10.360626599278493</v>
      </c>
      <c r="HA237" s="646">
        <v>7.4507357204279034E-2</v>
      </c>
      <c r="HB237" s="646">
        <v>0.13695740774015597</v>
      </c>
      <c r="HC237" s="646">
        <v>39.972192234322591</v>
      </c>
      <c r="HD237" s="646">
        <v>0.17761261464677353</v>
      </c>
      <c r="HE237" s="646">
        <v>3250</v>
      </c>
      <c r="HF237" s="563" t="s">
        <v>1587</v>
      </c>
      <c r="HG237" s="563">
        <v>2</v>
      </c>
      <c r="HH237" s="563">
        <v>1</v>
      </c>
      <c r="HI237" s="563">
        <v>2</v>
      </c>
      <c r="HJ237" s="563">
        <v>11.89196332640552</v>
      </c>
      <c r="HK237" s="650">
        <v>11270.540480911632</v>
      </c>
      <c r="HL237" s="563">
        <v>1</v>
      </c>
      <c r="HM237" s="563">
        <v>2</v>
      </c>
      <c r="HN237" s="563">
        <v>15.326883023558674</v>
      </c>
      <c r="HO237" s="650">
        <v>9256.9054291327247</v>
      </c>
      <c r="HP237" s="564">
        <v>4000</v>
      </c>
      <c r="HQ237" s="565">
        <v>77.492618788548228</v>
      </c>
      <c r="HR237" s="649">
        <v>2.3874520224988545</v>
      </c>
      <c r="HS237" s="646">
        <v>10.149161834334059</v>
      </c>
      <c r="HT237" s="646">
        <v>0</v>
      </c>
      <c r="HU237" s="646">
        <v>0</v>
      </c>
      <c r="HV237" s="646">
        <v>39.450720651483181</v>
      </c>
      <c r="HW237" s="646">
        <v>0.17191787214092191</v>
      </c>
      <c r="HX237" s="646">
        <v>2600</v>
      </c>
      <c r="HY237" s="563" t="s">
        <v>68</v>
      </c>
      <c r="HZ237" s="563">
        <v>2</v>
      </c>
      <c r="IA237" s="563">
        <v>0</v>
      </c>
      <c r="IB237" s="563">
        <v>0</v>
      </c>
      <c r="IC237" s="563">
        <v>0</v>
      </c>
      <c r="ID237" s="650">
        <v>3333.800715026267</v>
      </c>
      <c r="IE237" s="563">
        <v>0</v>
      </c>
      <c r="IF237" s="563">
        <v>0</v>
      </c>
      <c r="IG237" s="563">
        <v>0</v>
      </c>
      <c r="IH237" s="650">
        <v>3299.4662352859464</v>
      </c>
      <c r="II237" s="564">
        <v>3299.4662352859464</v>
      </c>
      <c r="IJ237" s="565">
        <v>63.921069794175054</v>
      </c>
      <c r="IK237" s="649">
        <v>2.3874520224988545</v>
      </c>
      <c r="IL237" s="646">
        <v>10.149161834334059</v>
      </c>
      <c r="IM237" s="646">
        <v>0</v>
      </c>
      <c r="IN237" s="646">
        <v>0</v>
      </c>
      <c r="IO237" s="646">
        <v>39.450720651483181</v>
      </c>
      <c r="IP237" s="646">
        <v>0.17191787214092191</v>
      </c>
      <c r="IQ237" s="646">
        <v>3250</v>
      </c>
      <c r="IR237" s="563" t="s">
        <v>68</v>
      </c>
      <c r="IS237" s="563">
        <v>2</v>
      </c>
      <c r="IT237" s="563">
        <v>0</v>
      </c>
      <c r="IU237" s="563">
        <v>0</v>
      </c>
      <c r="IV237" s="563">
        <v>0</v>
      </c>
      <c r="IW237" s="650">
        <v>3333.800715026267</v>
      </c>
      <c r="IX237" s="563">
        <v>0</v>
      </c>
      <c r="IY237" s="563">
        <v>0</v>
      </c>
      <c r="IZ237" s="563">
        <v>0</v>
      </c>
      <c r="JA237" s="650">
        <v>3299.4662352859464</v>
      </c>
      <c r="JB237" s="564">
        <v>3299.4662352859464</v>
      </c>
      <c r="JC237" s="565">
        <v>63.921069794175054</v>
      </c>
      <c r="JD237" s="649">
        <v>2.3874520224988545</v>
      </c>
      <c r="JE237" s="646">
        <v>10.149161834334059</v>
      </c>
      <c r="JF237" s="646">
        <v>0</v>
      </c>
      <c r="JG237" s="646">
        <v>0</v>
      </c>
      <c r="JH237" s="646">
        <v>39.450720651483181</v>
      </c>
      <c r="JI237" s="646">
        <v>0.17191787214092191</v>
      </c>
      <c r="JJ237" s="646">
        <v>2600</v>
      </c>
      <c r="JK237" s="563" t="s">
        <v>67</v>
      </c>
      <c r="JL237" s="563">
        <v>2</v>
      </c>
      <c r="JM237" s="563">
        <v>0</v>
      </c>
      <c r="JN237" s="563">
        <v>0</v>
      </c>
      <c r="JO237" s="563">
        <v>0</v>
      </c>
      <c r="JP237" s="650">
        <v>4543.2045596730031</v>
      </c>
      <c r="JQ237" s="563">
        <v>0</v>
      </c>
      <c r="JR237" s="563">
        <v>0</v>
      </c>
      <c r="JS237" s="563">
        <v>0</v>
      </c>
      <c r="JT237" s="650">
        <v>4496.4145508379979</v>
      </c>
      <c r="JU237" s="564">
        <v>4000</v>
      </c>
      <c r="JV237" s="565">
        <v>77.492618788548228</v>
      </c>
      <c r="JW237" s="649">
        <v>2.3874520224988545</v>
      </c>
      <c r="JX237" s="646">
        <v>10.149161834334059</v>
      </c>
      <c r="JY237" s="646">
        <v>0</v>
      </c>
      <c r="JZ237" s="646">
        <v>0</v>
      </c>
      <c r="KA237" s="646">
        <v>39.450720651483181</v>
      </c>
      <c r="KB237" s="646">
        <v>0.17191787214092191</v>
      </c>
      <c r="KC237" s="646">
        <v>3250</v>
      </c>
      <c r="KD237" s="563" t="s">
        <v>67</v>
      </c>
      <c r="KE237" s="563">
        <v>2</v>
      </c>
      <c r="KF237" s="563">
        <v>0</v>
      </c>
      <c r="KG237" s="563">
        <v>0</v>
      </c>
      <c r="KH237" s="563">
        <v>0</v>
      </c>
      <c r="KI237" s="650">
        <v>4543.2045596730031</v>
      </c>
      <c r="KJ237" s="563">
        <v>0</v>
      </c>
      <c r="KK237" s="563">
        <v>0</v>
      </c>
      <c r="KL237" s="563">
        <v>0</v>
      </c>
      <c r="KM237" s="650">
        <v>4496.4145508379979</v>
      </c>
      <c r="KN237" s="564">
        <v>4000</v>
      </c>
      <c r="KO237" s="566">
        <v>77.492618788548228</v>
      </c>
    </row>
    <row r="238" spans="1:301" ht="15" customHeight="1">
      <c r="A238" s="782" t="s">
        <v>987</v>
      </c>
      <c r="B238" s="629" t="s">
        <v>382</v>
      </c>
      <c r="C238" s="629">
        <v>275.10000000000002</v>
      </c>
      <c r="D238" s="629">
        <v>415</v>
      </c>
      <c r="E238" s="629"/>
      <c r="F238" s="629"/>
      <c r="G238" s="629">
        <v>28</v>
      </c>
      <c r="H238" s="629">
        <v>100</v>
      </c>
      <c r="I238" s="629">
        <v>100</v>
      </c>
      <c r="J238" s="629">
        <v>59.3</v>
      </c>
      <c r="K238" s="629">
        <v>39.880000000000003</v>
      </c>
      <c r="L238" s="629">
        <v>16</v>
      </c>
      <c r="M238" s="629">
        <v>91.867201204825349</v>
      </c>
      <c r="N238" s="629">
        <v>2</v>
      </c>
      <c r="O238" s="623">
        <v>2.1236636194506708</v>
      </c>
      <c r="P238" s="629">
        <v>2</v>
      </c>
      <c r="Q238" s="623">
        <v>0.90014483506981546</v>
      </c>
      <c r="R238" s="629">
        <v>9</v>
      </c>
      <c r="S238" s="629">
        <v>315</v>
      </c>
      <c r="T238" s="645">
        <v>5.5058345297138498</v>
      </c>
      <c r="U238" s="645">
        <v>47.25</v>
      </c>
      <c r="V238" s="645">
        <v>10</v>
      </c>
      <c r="W238" s="793">
        <v>0.10323439743213468</v>
      </c>
      <c r="X238" s="646">
        <v>0</v>
      </c>
      <c r="Y238" s="646">
        <v>0</v>
      </c>
      <c r="Z238" s="646">
        <v>0</v>
      </c>
      <c r="AA238" s="646">
        <v>0</v>
      </c>
      <c r="AB238" s="647">
        <v>1.0541381139854902</v>
      </c>
      <c r="AC238" s="784">
        <v>4000</v>
      </c>
      <c r="AD238" s="631"/>
      <c r="AE238" s="631"/>
      <c r="AF238" s="631"/>
      <c r="AG238" s="631"/>
      <c r="AH238" s="629"/>
      <c r="AI238" s="648">
        <v>0.71615795690014217</v>
      </c>
      <c r="AJ238" s="649">
        <v>2.3077040942652132</v>
      </c>
      <c r="AK238" s="646">
        <v>10.940581475931683</v>
      </c>
      <c r="AL238" s="646">
        <v>0</v>
      </c>
      <c r="AM238" s="646">
        <v>0</v>
      </c>
      <c r="AN238" s="646">
        <v>32.351492436020564</v>
      </c>
      <c r="AO238" s="646">
        <v>0.21606251501453858</v>
      </c>
      <c r="AP238" s="801">
        <v>2900</v>
      </c>
      <c r="AQ238" s="563" t="s">
        <v>67</v>
      </c>
      <c r="AR238" s="563">
        <v>2</v>
      </c>
      <c r="AS238" s="563">
        <v>0</v>
      </c>
      <c r="AT238" s="563">
        <v>0</v>
      </c>
      <c r="AU238" s="563">
        <v>0</v>
      </c>
      <c r="AV238" s="650">
        <v>7152.332055140404</v>
      </c>
      <c r="AW238" s="563">
        <v>0</v>
      </c>
      <c r="AX238" s="563">
        <v>0</v>
      </c>
      <c r="AY238" s="563">
        <v>0</v>
      </c>
      <c r="AZ238" s="650">
        <v>4749.8211310829247</v>
      </c>
      <c r="BA238" s="564">
        <v>4000</v>
      </c>
      <c r="BB238" s="565">
        <v>86.917396749317604</v>
      </c>
      <c r="BC238" s="649">
        <v>2.3077040942652132</v>
      </c>
      <c r="BD238" s="646">
        <v>10.940581475931683</v>
      </c>
      <c r="BE238" s="646">
        <v>0</v>
      </c>
      <c r="BF238" s="646">
        <v>0</v>
      </c>
      <c r="BG238" s="646">
        <v>32.351492436020564</v>
      </c>
      <c r="BH238" s="646">
        <v>0.21606251501453858</v>
      </c>
      <c r="BI238" s="646">
        <v>3600</v>
      </c>
      <c r="BJ238" s="563" t="s">
        <v>67</v>
      </c>
      <c r="BK238" s="563">
        <v>2</v>
      </c>
      <c r="BL238" s="563">
        <v>0</v>
      </c>
      <c r="BM238" s="563">
        <v>0</v>
      </c>
      <c r="BN238" s="563">
        <v>0</v>
      </c>
      <c r="BO238" s="650">
        <v>7152.332055140404</v>
      </c>
      <c r="BP238" s="563">
        <v>0</v>
      </c>
      <c r="BQ238" s="563">
        <v>0</v>
      </c>
      <c r="BR238" s="563">
        <v>0</v>
      </c>
      <c r="BS238" s="650">
        <v>4749.8211310829247</v>
      </c>
      <c r="BT238" s="564">
        <v>4000</v>
      </c>
      <c r="BU238" s="565">
        <v>86.917396749317604</v>
      </c>
      <c r="BV238" s="649">
        <v>3.4615561413978195</v>
      </c>
      <c r="BW238" s="646">
        <v>12.954361283806479</v>
      </c>
      <c r="BX238" s="646">
        <v>0.19375422245164092</v>
      </c>
      <c r="BY238" s="646">
        <v>0.66617353829054826</v>
      </c>
      <c r="BZ238" s="646">
        <v>35.094986105283454</v>
      </c>
      <c r="CA238" s="646">
        <v>0.28276773198900051</v>
      </c>
      <c r="CB238" s="646">
        <v>2900</v>
      </c>
      <c r="CC238" s="563" t="s">
        <v>1584</v>
      </c>
      <c r="CD238" s="563">
        <v>3</v>
      </c>
      <c r="CE238" s="563">
        <v>1</v>
      </c>
      <c r="CF238" s="563">
        <v>3</v>
      </c>
      <c r="CG238" s="563">
        <v>19.748055410304023</v>
      </c>
      <c r="CH238" s="650">
        <v>9074.4695809222758</v>
      </c>
      <c r="CI238" s="563">
        <v>3</v>
      </c>
      <c r="CJ238" s="563">
        <v>3</v>
      </c>
      <c r="CK238" s="563">
        <v>14.725894388123676</v>
      </c>
      <c r="CL238" s="650">
        <v>6750.1740939765905</v>
      </c>
      <c r="CM238" s="564">
        <v>4000</v>
      </c>
      <c r="CN238" s="565">
        <v>86.917396749317604</v>
      </c>
      <c r="CO238" s="649">
        <v>3.4615561413978195</v>
      </c>
      <c r="CP238" s="646">
        <v>12.954361283806479</v>
      </c>
      <c r="CQ238" s="646">
        <v>0.19375422245164092</v>
      </c>
      <c r="CR238" s="646">
        <v>0.66617353829054826</v>
      </c>
      <c r="CS238" s="646">
        <v>35.094986105283454</v>
      </c>
      <c r="CT238" s="646">
        <v>0.28276773198900051</v>
      </c>
      <c r="CU238" s="646">
        <v>3600</v>
      </c>
      <c r="CV238" s="563" t="s">
        <v>1584</v>
      </c>
      <c r="CW238" s="563">
        <v>3</v>
      </c>
      <c r="CX238" s="563">
        <v>1</v>
      </c>
      <c r="CY238" s="563">
        <v>3</v>
      </c>
      <c r="CZ238" s="563">
        <v>19.748055410304023</v>
      </c>
      <c r="DA238" s="650">
        <v>9074.4695809222758</v>
      </c>
      <c r="DB238" s="563">
        <v>3</v>
      </c>
      <c r="DC238" s="563">
        <v>3</v>
      </c>
      <c r="DD238" s="563">
        <v>14.725894388123676</v>
      </c>
      <c r="DE238" s="650">
        <v>6750.1740939765905</v>
      </c>
      <c r="DF238" s="564">
        <v>4000</v>
      </c>
      <c r="DG238" s="565">
        <v>86.917396749317604</v>
      </c>
      <c r="DH238" s="649">
        <v>2.3077040942652132</v>
      </c>
      <c r="DI238" s="646">
        <v>11.494997567329671</v>
      </c>
      <c r="DJ238" s="646">
        <v>0.25833896326885458</v>
      </c>
      <c r="DK238" s="646">
        <v>0.29607712812913251</v>
      </c>
      <c r="DL238" s="646">
        <v>33.202698930438487</v>
      </c>
      <c r="DM238" s="646">
        <v>0.23357777404575064</v>
      </c>
      <c r="DN238" s="646">
        <v>2900</v>
      </c>
      <c r="DO238" s="563" t="s">
        <v>1585</v>
      </c>
      <c r="DP238" s="563">
        <v>2</v>
      </c>
      <c r="DQ238" s="563">
        <v>1</v>
      </c>
      <c r="DR238" s="563">
        <v>4</v>
      </c>
      <c r="DS238" s="563">
        <v>19.748055410304023</v>
      </c>
      <c r="DT238" s="650">
        <v>11395.73452813831</v>
      </c>
      <c r="DU238" s="563">
        <v>2</v>
      </c>
      <c r="DV238" s="563">
        <v>2</v>
      </c>
      <c r="DW238" s="563">
        <v>14.725894388123676</v>
      </c>
      <c r="DX238" s="650">
        <v>7221.0871430963916</v>
      </c>
      <c r="DY238" s="564">
        <v>4000</v>
      </c>
      <c r="DZ238" s="565">
        <v>86.917396749317604</v>
      </c>
      <c r="EA238" s="649">
        <v>2.3077040942652132</v>
      </c>
      <c r="EB238" s="646">
        <v>11.494997567329671</v>
      </c>
      <c r="EC238" s="646">
        <v>0.25833896326885458</v>
      </c>
      <c r="ED238" s="646">
        <v>0.29607712812913251</v>
      </c>
      <c r="EE238" s="646">
        <v>33.202698930438487</v>
      </c>
      <c r="EF238" s="646">
        <v>0.23357777404575064</v>
      </c>
      <c r="EG238" s="646">
        <v>3600</v>
      </c>
      <c r="EH238" s="563" t="s">
        <v>1585</v>
      </c>
      <c r="EI238" s="563">
        <v>2</v>
      </c>
      <c r="EJ238" s="563">
        <v>1</v>
      </c>
      <c r="EK238" s="563">
        <v>4</v>
      </c>
      <c r="EL238" s="563">
        <v>19.748055410304023</v>
      </c>
      <c r="EM238" s="650">
        <v>11395.73452813831</v>
      </c>
      <c r="EN238" s="563">
        <v>2</v>
      </c>
      <c r="EO238" s="563">
        <v>2</v>
      </c>
      <c r="EP238" s="563">
        <v>14.725894388123676</v>
      </c>
      <c r="EQ238" s="650">
        <v>7221.0871430963916</v>
      </c>
      <c r="ER238" s="564">
        <v>4000</v>
      </c>
      <c r="ES238" s="565">
        <v>86.917396749317604</v>
      </c>
      <c r="ET238" s="649">
        <v>2.3077040942652132</v>
      </c>
      <c r="EU238" s="646">
        <v>11.236658604060816</v>
      </c>
      <c r="EV238" s="646">
        <v>0</v>
      </c>
      <c r="EW238" s="646">
        <v>0.29607712812913251</v>
      </c>
      <c r="EX238" s="646">
        <v>32.816516747911642</v>
      </c>
      <c r="EY238" s="646">
        <v>0.22793788820832972</v>
      </c>
      <c r="EZ238" s="646">
        <v>2900</v>
      </c>
      <c r="FA238" s="563" t="s">
        <v>1587</v>
      </c>
      <c r="FB238" s="563">
        <v>2</v>
      </c>
      <c r="FC238" s="563">
        <v>0</v>
      </c>
      <c r="FD238" s="563">
        <v>0</v>
      </c>
      <c r="FE238" s="563">
        <v>0</v>
      </c>
      <c r="FF238" s="650">
        <v>5951.0999916815681</v>
      </c>
      <c r="FG238" s="563">
        <v>1</v>
      </c>
      <c r="FH238" s="563">
        <v>4</v>
      </c>
      <c r="FI238" s="563">
        <v>14.725894388123676</v>
      </c>
      <c r="FJ238" s="650">
        <v>9480.107290927901</v>
      </c>
      <c r="FK238" s="564">
        <v>4000</v>
      </c>
      <c r="FL238" s="565">
        <v>86.917396749317604</v>
      </c>
      <c r="FM238" s="649">
        <v>2.3077040942652132</v>
      </c>
      <c r="FN238" s="646">
        <v>11.236658604060816</v>
      </c>
      <c r="FO238" s="646">
        <v>0</v>
      </c>
      <c r="FP238" s="646">
        <v>0.29607712812913251</v>
      </c>
      <c r="FQ238" s="646">
        <v>32.816516747911642</v>
      </c>
      <c r="FR238" s="646">
        <v>0.22793788820832972</v>
      </c>
      <c r="FS238" s="646">
        <v>3600</v>
      </c>
      <c r="FT238" s="563" t="s">
        <v>1587</v>
      </c>
      <c r="FU238" s="563">
        <v>2</v>
      </c>
      <c r="FV238" s="563">
        <v>0</v>
      </c>
      <c r="FW238" s="563">
        <v>0</v>
      </c>
      <c r="FX238" s="563">
        <v>0</v>
      </c>
      <c r="FY238" s="650">
        <v>5951.0999916815681</v>
      </c>
      <c r="FZ238" s="563">
        <v>1</v>
      </c>
      <c r="GA238" s="563">
        <v>4</v>
      </c>
      <c r="GB238" s="563">
        <v>14.725894388123676</v>
      </c>
      <c r="GC238" s="650">
        <v>9480.107290927901</v>
      </c>
      <c r="GD238" s="564">
        <v>4000</v>
      </c>
      <c r="GE238" s="565">
        <v>86.917396749317604</v>
      </c>
      <c r="GF238" s="649">
        <v>2.3077040942652132</v>
      </c>
      <c r="GG238" s="646">
        <v>11.236658604060816</v>
      </c>
      <c r="GH238" s="646">
        <v>0</v>
      </c>
      <c r="GI238" s="646">
        <v>0.29607712812913251</v>
      </c>
      <c r="GJ238" s="646">
        <v>32.816516747911642</v>
      </c>
      <c r="GK238" s="646">
        <v>0.22793788820832972</v>
      </c>
      <c r="GL238" s="646">
        <v>2900</v>
      </c>
      <c r="GM238" s="563" t="s">
        <v>1587</v>
      </c>
      <c r="GN238" s="563">
        <v>2</v>
      </c>
      <c r="GO238" s="563">
        <v>0</v>
      </c>
      <c r="GP238" s="563">
        <v>0</v>
      </c>
      <c r="GQ238" s="563">
        <v>0</v>
      </c>
      <c r="GR238" s="650">
        <v>5951.0999916815681</v>
      </c>
      <c r="GS238" s="563">
        <v>1</v>
      </c>
      <c r="GT238" s="563">
        <v>4</v>
      </c>
      <c r="GU238" s="563">
        <v>14.725894388123676</v>
      </c>
      <c r="GV238" s="650">
        <v>9480.107290927901</v>
      </c>
      <c r="GW238" s="564">
        <v>4000</v>
      </c>
      <c r="GX238" s="565">
        <v>86.917396749317604</v>
      </c>
      <c r="GY238" s="649">
        <v>2.3077040942652132</v>
      </c>
      <c r="GZ238" s="646">
        <v>11.236658604060816</v>
      </c>
      <c r="HA238" s="646">
        <v>0</v>
      </c>
      <c r="HB238" s="646">
        <v>0.29607712812913251</v>
      </c>
      <c r="HC238" s="646">
        <v>32.816516747911642</v>
      </c>
      <c r="HD238" s="646">
        <v>0.22793788820832972</v>
      </c>
      <c r="HE238" s="646">
        <v>3600</v>
      </c>
      <c r="HF238" s="563" t="s">
        <v>1587</v>
      </c>
      <c r="HG238" s="563">
        <v>2</v>
      </c>
      <c r="HH238" s="563">
        <v>0</v>
      </c>
      <c r="HI238" s="563">
        <v>0</v>
      </c>
      <c r="HJ238" s="563">
        <v>0</v>
      </c>
      <c r="HK238" s="650">
        <v>5951.0999916815681</v>
      </c>
      <c r="HL238" s="563">
        <v>1</v>
      </c>
      <c r="HM238" s="563">
        <v>4</v>
      </c>
      <c r="HN238" s="563">
        <v>14.725894388123676</v>
      </c>
      <c r="HO238" s="650">
        <v>9480.107290927901</v>
      </c>
      <c r="HP238" s="564">
        <v>4000</v>
      </c>
      <c r="HQ238" s="565">
        <v>86.917396749317604</v>
      </c>
      <c r="HR238" s="649">
        <v>2.3077040942652132</v>
      </c>
      <c r="HS238" s="646">
        <v>10.940581475931683</v>
      </c>
      <c r="HT238" s="646">
        <v>0</v>
      </c>
      <c r="HU238" s="646">
        <v>0</v>
      </c>
      <c r="HV238" s="646">
        <v>32.351492436020564</v>
      </c>
      <c r="HW238" s="646">
        <v>0.21606251501453858</v>
      </c>
      <c r="HX238" s="646">
        <v>2900</v>
      </c>
      <c r="HY238" s="563" t="s">
        <v>68</v>
      </c>
      <c r="HZ238" s="563">
        <v>2</v>
      </c>
      <c r="IA238" s="563">
        <v>0</v>
      </c>
      <c r="IB238" s="563">
        <v>0</v>
      </c>
      <c r="IC238" s="563">
        <v>0</v>
      </c>
      <c r="ID238" s="650">
        <v>5248.3768684226598</v>
      </c>
      <c r="IE238" s="563">
        <v>0</v>
      </c>
      <c r="IF238" s="563">
        <v>0</v>
      </c>
      <c r="IG238" s="563">
        <v>0</v>
      </c>
      <c r="IH238" s="650">
        <v>3485.4158281989057</v>
      </c>
      <c r="II238" s="564">
        <v>3485.4158281989057</v>
      </c>
      <c r="IJ238" s="565">
        <v>75.735817593978922</v>
      </c>
      <c r="IK238" s="649">
        <v>2.3077040942652132</v>
      </c>
      <c r="IL238" s="646">
        <v>11.236658604060816</v>
      </c>
      <c r="IM238" s="646">
        <v>0</v>
      </c>
      <c r="IN238" s="646">
        <v>0.29607712812913251</v>
      </c>
      <c r="IO238" s="646">
        <v>32.816516747911642</v>
      </c>
      <c r="IP238" s="646">
        <v>0.22793788820832972</v>
      </c>
      <c r="IQ238" s="646">
        <v>3600</v>
      </c>
      <c r="IR238" s="563" t="s">
        <v>68</v>
      </c>
      <c r="IS238" s="563">
        <v>2</v>
      </c>
      <c r="IT238" s="563">
        <v>0</v>
      </c>
      <c r="IU238" s="563">
        <v>0</v>
      </c>
      <c r="IV238" s="563">
        <v>0</v>
      </c>
      <c r="IW238" s="650">
        <v>5248.3768684226598</v>
      </c>
      <c r="IX238" s="563">
        <v>1</v>
      </c>
      <c r="IY238" s="563">
        <v>4</v>
      </c>
      <c r="IZ238" s="563">
        <v>14.725894388123676</v>
      </c>
      <c r="JA238" s="650">
        <v>8360.6687646684932</v>
      </c>
      <c r="JB238" s="564">
        <v>4000</v>
      </c>
      <c r="JC238" s="565">
        <v>86.917396749317604</v>
      </c>
      <c r="JD238" s="649">
        <v>2.3077040942652132</v>
      </c>
      <c r="JE238" s="646">
        <v>10.940581475931683</v>
      </c>
      <c r="JF238" s="646">
        <v>0</v>
      </c>
      <c r="JG238" s="646">
        <v>0</v>
      </c>
      <c r="JH238" s="646">
        <v>32.351492436020564</v>
      </c>
      <c r="JI238" s="646">
        <v>0.21606251501453858</v>
      </c>
      <c r="JJ238" s="646">
        <v>2900</v>
      </c>
      <c r="JK238" s="563" t="s">
        <v>67</v>
      </c>
      <c r="JL238" s="563">
        <v>2</v>
      </c>
      <c r="JM238" s="563">
        <v>0</v>
      </c>
      <c r="JN238" s="563">
        <v>0</v>
      </c>
      <c r="JO238" s="563">
        <v>0</v>
      </c>
      <c r="JP238" s="650">
        <v>7152.332055140404</v>
      </c>
      <c r="JQ238" s="563">
        <v>0</v>
      </c>
      <c r="JR238" s="563">
        <v>0</v>
      </c>
      <c r="JS238" s="563">
        <v>0</v>
      </c>
      <c r="JT238" s="650">
        <v>4749.8211310829247</v>
      </c>
      <c r="JU238" s="564">
        <v>4000</v>
      </c>
      <c r="JV238" s="565">
        <v>86.917396749317604</v>
      </c>
      <c r="JW238" s="649">
        <v>2.3077040942652132</v>
      </c>
      <c r="JX238" s="646">
        <v>10.940581475931683</v>
      </c>
      <c r="JY238" s="646">
        <v>0</v>
      </c>
      <c r="JZ238" s="646">
        <v>0</v>
      </c>
      <c r="KA238" s="646">
        <v>32.351492436020564</v>
      </c>
      <c r="KB238" s="646">
        <v>0.21606251501453858</v>
      </c>
      <c r="KC238" s="646">
        <v>3600</v>
      </c>
      <c r="KD238" s="563" t="s">
        <v>67</v>
      </c>
      <c r="KE238" s="563">
        <v>2</v>
      </c>
      <c r="KF238" s="563">
        <v>0</v>
      </c>
      <c r="KG238" s="563">
        <v>0</v>
      </c>
      <c r="KH238" s="563">
        <v>0</v>
      </c>
      <c r="KI238" s="650">
        <v>7152.332055140404</v>
      </c>
      <c r="KJ238" s="563">
        <v>0</v>
      </c>
      <c r="KK238" s="563">
        <v>0</v>
      </c>
      <c r="KL238" s="563">
        <v>0</v>
      </c>
      <c r="KM238" s="650">
        <v>4749.8211310829247</v>
      </c>
      <c r="KN238" s="564">
        <v>4000</v>
      </c>
      <c r="KO238" s="566">
        <v>86.917396749317604</v>
      </c>
    </row>
    <row r="239" spans="1:301" ht="15" customHeight="1" thickBot="1">
      <c r="A239" s="664" t="s">
        <v>70</v>
      </c>
      <c r="B239" s="665"/>
      <c r="C239" s="666"/>
      <c r="D239" s="666"/>
      <c r="E239" s="666"/>
      <c r="F239" s="666"/>
      <c r="G239" s="666"/>
      <c r="H239" s="666"/>
      <c r="I239" s="666"/>
      <c r="J239" s="666"/>
      <c r="K239" s="666"/>
      <c r="L239" s="666"/>
      <c r="M239" s="666"/>
      <c r="N239" s="666"/>
      <c r="O239" s="666"/>
      <c r="P239" s="666"/>
      <c r="Q239" s="666"/>
      <c r="R239" s="666"/>
      <c r="S239" s="666"/>
      <c r="T239" s="667"/>
      <c r="U239" s="667"/>
      <c r="V239" s="667"/>
      <c r="W239" s="667"/>
      <c r="X239" s="668"/>
      <c r="Y239" s="668"/>
      <c r="Z239" s="668"/>
      <c r="AA239" s="668"/>
      <c r="AB239" s="669"/>
      <c r="AC239" s="786"/>
      <c r="AD239" s="670"/>
      <c r="AE239" s="670"/>
      <c r="AF239" s="670"/>
      <c r="AG239" s="670"/>
      <c r="AH239" s="666"/>
      <c r="AI239" s="671"/>
      <c r="AJ239" s="672"/>
      <c r="AK239" s="668"/>
      <c r="AL239" s="668"/>
      <c r="AM239" s="668"/>
      <c r="AN239" s="668"/>
      <c r="AO239" s="668"/>
      <c r="AP239" s="673"/>
      <c r="AQ239" s="674"/>
      <c r="AR239" s="674"/>
      <c r="AS239" s="674"/>
      <c r="AT239" s="674"/>
      <c r="AU239" s="674"/>
      <c r="AV239" s="675"/>
      <c r="AW239" s="674"/>
      <c r="AX239" s="674"/>
      <c r="AY239" s="674"/>
      <c r="AZ239" s="675"/>
      <c r="BA239" s="673"/>
      <c r="BB239" s="676"/>
      <c r="BC239" s="672"/>
      <c r="BD239" s="668"/>
      <c r="BE239" s="668"/>
      <c r="BF239" s="668"/>
      <c r="BG239" s="668"/>
      <c r="BH239" s="668"/>
      <c r="BI239" s="673"/>
      <c r="BJ239" s="674"/>
      <c r="BK239" s="674"/>
      <c r="BL239" s="674"/>
      <c r="BM239" s="674"/>
      <c r="BN239" s="674"/>
      <c r="BO239" s="675"/>
      <c r="BP239" s="674"/>
      <c r="BQ239" s="674"/>
      <c r="BR239" s="674"/>
      <c r="BS239" s="675"/>
      <c r="BT239" s="673"/>
      <c r="BU239" s="676"/>
      <c r="BV239" s="672"/>
      <c r="BW239" s="668"/>
      <c r="BX239" s="668"/>
      <c r="BY239" s="668"/>
      <c r="BZ239" s="668"/>
      <c r="CA239" s="668"/>
      <c r="CB239" s="674"/>
      <c r="CC239" s="674"/>
      <c r="CD239" s="675"/>
      <c r="CE239" s="674"/>
      <c r="CF239" s="674"/>
      <c r="CG239" s="674"/>
      <c r="CH239" s="675"/>
      <c r="CI239" s="673"/>
      <c r="CJ239" s="673"/>
      <c r="CK239" s="673"/>
      <c r="CL239" s="673"/>
      <c r="CM239" s="673"/>
      <c r="CN239" s="676"/>
      <c r="CO239" s="672"/>
      <c r="CP239" s="668"/>
      <c r="CQ239" s="668"/>
      <c r="CR239" s="668"/>
      <c r="CS239" s="668"/>
      <c r="CT239" s="668"/>
      <c r="CU239" s="674"/>
      <c r="CV239" s="674"/>
      <c r="CW239" s="675"/>
      <c r="CX239" s="674"/>
      <c r="CY239" s="674"/>
      <c r="CZ239" s="674"/>
      <c r="DA239" s="675"/>
      <c r="DB239" s="673"/>
      <c r="DC239" s="673"/>
      <c r="DD239" s="673"/>
      <c r="DE239" s="673"/>
      <c r="DF239" s="673"/>
      <c r="DG239" s="676"/>
      <c r="DH239" s="672"/>
      <c r="DI239" s="668"/>
      <c r="DJ239" s="668"/>
      <c r="DK239" s="668"/>
      <c r="DL239" s="668"/>
      <c r="DM239" s="668"/>
      <c r="DN239" s="674"/>
      <c r="DO239" s="674"/>
      <c r="DP239" s="675"/>
      <c r="DQ239" s="674"/>
      <c r="DR239" s="674"/>
      <c r="DS239" s="674"/>
      <c r="DT239" s="675"/>
      <c r="DU239" s="673"/>
      <c r="DV239" s="673"/>
      <c r="DW239" s="673"/>
      <c r="DX239" s="673"/>
      <c r="DY239" s="673"/>
      <c r="DZ239" s="676"/>
      <c r="EA239" s="672"/>
      <c r="EB239" s="668"/>
      <c r="EC239" s="668"/>
      <c r="ED239" s="668"/>
      <c r="EE239" s="668"/>
      <c r="EF239" s="668"/>
      <c r="EG239" s="674"/>
      <c r="EH239" s="674"/>
      <c r="EI239" s="675"/>
      <c r="EJ239" s="674"/>
      <c r="EK239" s="674"/>
      <c r="EL239" s="674"/>
      <c r="EM239" s="675"/>
      <c r="EN239" s="673"/>
      <c r="EO239" s="673"/>
      <c r="EP239" s="673"/>
      <c r="EQ239" s="673"/>
      <c r="ER239" s="673"/>
      <c r="ES239" s="676"/>
      <c r="ET239" s="672"/>
      <c r="EU239" s="668"/>
      <c r="EV239" s="668"/>
      <c r="EW239" s="668"/>
      <c r="EX239" s="668"/>
      <c r="EY239" s="668"/>
      <c r="EZ239" s="674"/>
      <c r="FA239" s="674"/>
      <c r="FB239" s="675"/>
      <c r="FC239" s="674"/>
      <c r="FD239" s="674"/>
      <c r="FE239" s="674"/>
      <c r="FF239" s="675"/>
      <c r="FG239" s="673"/>
      <c r="FH239" s="673"/>
      <c r="FI239" s="673"/>
      <c r="FJ239" s="673"/>
      <c r="FK239" s="673"/>
      <c r="FL239" s="676"/>
      <c r="FM239" s="672"/>
      <c r="FN239" s="668"/>
      <c r="FO239" s="668"/>
      <c r="FP239" s="668"/>
      <c r="FQ239" s="668"/>
      <c r="FR239" s="668"/>
      <c r="FS239" s="674"/>
      <c r="FT239" s="674"/>
      <c r="FU239" s="675"/>
      <c r="FV239" s="674"/>
      <c r="FW239" s="674"/>
      <c r="FX239" s="674"/>
      <c r="FY239" s="675"/>
      <c r="FZ239" s="673"/>
      <c r="GA239" s="673"/>
      <c r="GB239" s="673"/>
      <c r="GC239" s="673"/>
      <c r="GD239" s="673"/>
      <c r="GE239" s="676"/>
      <c r="GF239" s="672"/>
      <c r="GG239" s="668"/>
      <c r="GH239" s="668"/>
      <c r="GI239" s="668"/>
      <c r="GJ239" s="668"/>
      <c r="GK239" s="668"/>
      <c r="GL239" s="674"/>
      <c r="GM239" s="674"/>
      <c r="GN239" s="675"/>
      <c r="GO239" s="674"/>
      <c r="GP239" s="674"/>
      <c r="GQ239" s="674"/>
      <c r="GR239" s="675"/>
      <c r="GS239" s="673"/>
      <c r="GT239" s="673"/>
      <c r="GU239" s="673"/>
      <c r="GV239" s="673"/>
      <c r="GW239" s="673"/>
      <c r="GX239" s="676"/>
      <c r="GY239" s="672"/>
      <c r="GZ239" s="668"/>
      <c r="HA239" s="668"/>
      <c r="HB239" s="668"/>
      <c r="HC239" s="668"/>
      <c r="HD239" s="668"/>
      <c r="HE239" s="674"/>
      <c r="HF239" s="674"/>
      <c r="HG239" s="675"/>
      <c r="HH239" s="674"/>
      <c r="HI239" s="674"/>
      <c r="HJ239" s="674"/>
      <c r="HK239" s="675"/>
      <c r="HL239" s="673"/>
      <c r="HM239" s="673"/>
      <c r="HN239" s="673"/>
      <c r="HO239" s="673"/>
      <c r="HP239" s="673"/>
      <c r="HQ239" s="676"/>
      <c r="HR239" s="672"/>
      <c r="HS239" s="668"/>
      <c r="HT239" s="668"/>
      <c r="HU239" s="668"/>
      <c r="HV239" s="668"/>
      <c r="HW239" s="668"/>
      <c r="HX239" s="674"/>
      <c r="HY239" s="674"/>
      <c r="HZ239" s="675"/>
      <c r="IA239" s="674"/>
      <c r="IB239" s="674"/>
      <c r="IC239" s="674"/>
      <c r="ID239" s="675"/>
      <c r="IE239" s="673"/>
      <c r="IF239" s="673"/>
      <c r="IG239" s="673"/>
      <c r="IH239" s="673"/>
      <c r="II239" s="673"/>
      <c r="IJ239" s="676"/>
      <c r="IK239" s="672"/>
      <c r="IL239" s="668"/>
      <c r="IM239" s="668"/>
      <c r="IN239" s="668"/>
      <c r="IO239" s="668"/>
      <c r="IP239" s="668"/>
      <c r="IQ239" s="674"/>
      <c r="IR239" s="674"/>
      <c r="IS239" s="675"/>
      <c r="IT239" s="674"/>
      <c r="IU239" s="674"/>
      <c r="IV239" s="674"/>
      <c r="IW239" s="675"/>
      <c r="IX239" s="673"/>
      <c r="IY239" s="673"/>
      <c r="IZ239" s="673"/>
      <c r="JA239" s="673"/>
      <c r="JB239" s="673"/>
      <c r="JC239" s="676"/>
      <c r="JD239" s="672"/>
      <c r="JE239" s="668"/>
      <c r="JF239" s="668"/>
      <c r="JG239" s="668"/>
      <c r="JH239" s="668"/>
      <c r="JI239" s="668"/>
      <c r="JJ239" s="674"/>
      <c r="JK239" s="674"/>
      <c r="JL239" s="675"/>
      <c r="JM239" s="674"/>
      <c r="JN239" s="674"/>
      <c r="JO239" s="674"/>
      <c r="JP239" s="675"/>
      <c r="JQ239" s="673"/>
      <c r="JR239" s="673"/>
      <c r="JS239" s="673"/>
      <c r="JT239" s="673"/>
      <c r="JU239" s="673"/>
      <c r="JV239" s="676"/>
      <c r="JW239" s="672"/>
      <c r="JX239" s="668"/>
      <c r="JY239" s="668"/>
      <c r="JZ239" s="668"/>
      <c r="KA239" s="668"/>
      <c r="KB239" s="668"/>
      <c r="KC239" s="674"/>
      <c r="KD239" s="674"/>
      <c r="KE239" s="675"/>
      <c r="KF239" s="674"/>
      <c r="KG239" s="674"/>
      <c r="KH239" s="674"/>
      <c r="KI239" s="675"/>
      <c r="KJ239" s="673"/>
      <c r="KK239" s="673"/>
      <c r="KL239" s="585"/>
      <c r="KM239" s="585"/>
      <c r="KN239" s="585"/>
      <c r="KO239" s="677"/>
    </row>
    <row r="240" spans="1:301" ht="15" customHeight="1" thickTop="1"/>
    <row r="243" spans="1:301" s="634" customFormat="1" ht="15" customHeight="1">
      <c r="A243" s="643"/>
      <c r="B243" s="602"/>
      <c r="C243" s="602"/>
      <c r="D243" s="602"/>
      <c r="E243" s="602"/>
      <c r="F243" s="602"/>
      <c r="G243" s="602"/>
      <c r="H243" s="602"/>
      <c r="I243" s="602"/>
      <c r="J243" s="602"/>
      <c r="K243" s="602"/>
      <c r="L243" s="602"/>
      <c r="M243" s="602"/>
      <c r="N243" s="602"/>
      <c r="O243" s="678"/>
      <c r="P243" s="602"/>
      <c r="Q243" s="678"/>
      <c r="R243" s="602"/>
      <c r="S243" s="602"/>
      <c r="T243" s="602"/>
      <c r="U243" s="678"/>
      <c r="V243" s="678"/>
      <c r="W243" s="678"/>
      <c r="X243" s="602"/>
      <c r="Y243" s="602"/>
      <c r="Z243" s="602"/>
      <c r="AA243" s="602"/>
      <c r="AB243" s="602"/>
      <c r="AC243"/>
      <c r="AD243" s="603"/>
      <c r="AE243" s="603"/>
      <c r="AF243" s="603"/>
      <c r="AG243" s="603"/>
      <c r="AH243" s="602"/>
      <c r="AI243" s="642"/>
      <c r="AJ243" s="602"/>
      <c r="AK243" s="602"/>
      <c r="AL243" s="602"/>
      <c r="AM243" s="602"/>
      <c r="AN243" s="602"/>
      <c r="AO243" s="602"/>
      <c r="AP243" s="602"/>
      <c r="AQ243" s="602"/>
      <c r="AR243" s="602"/>
      <c r="AS243" s="602"/>
      <c r="AT243" s="602"/>
      <c r="AU243" s="602"/>
      <c r="AV243" s="602"/>
      <c r="AW243" s="602"/>
      <c r="AX243" s="602"/>
      <c r="AY243" s="602"/>
      <c r="AZ243" s="602"/>
      <c r="BA243" s="602"/>
      <c r="BB243" s="602"/>
      <c r="BC243" s="602"/>
      <c r="BD243" s="602"/>
      <c r="BE243" s="602"/>
      <c r="BF243" s="602"/>
      <c r="BG243" s="602"/>
      <c r="BH243" s="602"/>
      <c r="BI243" s="602"/>
      <c r="BJ243" s="602"/>
      <c r="BK243" s="602"/>
      <c r="BL243" s="602"/>
      <c r="BM243" s="602"/>
      <c r="BN243" s="602"/>
      <c r="BO243" s="602"/>
      <c r="BP243" s="602"/>
      <c r="BQ243" s="602"/>
      <c r="BR243" s="602"/>
      <c r="BS243" s="602"/>
      <c r="BT243" s="602"/>
      <c r="BU243" s="602"/>
      <c r="BV243" s="602"/>
      <c r="BW243" s="602"/>
      <c r="BX243" s="602"/>
      <c r="BY243" s="602"/>
      <c r="BZ243" s="602"/>
      <c r="CA243" s="602"/>
      <c r="CB243" s="602"/>
      <c r="CC243" s="602"/>
      <c r="CD243" s="602"/>
      <c r="CE243" s="602"/>
      <c r="CF243" s="602"/>
      <c r="CG243" s="602"/>
      <c r="CH243" s="602"/>
      <c r="CI243" s="602"/>
      <c r="CJ243" s="602"/>
      <c r="CK243" s="602"/>
      <c r="CL243" s="602"/>
      <c r="CM243" s="602"/>
      <c r="CN243" s="602"/>
      <c r="CO243" s="602"/>
      <c r="CP243" s="602"/>
      <c r="CQ243" s="602"/>
      <c r="CR243" s="602"/>
      <c r="CS243" s="602"/>
      <c r="CT243" s="602"/>
      <c r="CU243" s="602"/>
      <c r="CV243" s="602"/>
      <c r="CW243" s="602"/>
      <c r="CX243" s="602"/>
      <c r="CY243" s="602"/>
      <c r="CZ243" s="602"/>
      <c r="DA243" s="602"/>
      <c r="DB243" s="602"/>
      <c r="DC243" s="602"/>
      <c r="DD243" s="602"/>
      <c r="DE243" s="602"/>
      <c r="DF243" s="602"/>
      <c r="DG243" s="602"/>
      <c r="DH243" s="602"/>
      <c r="DI243" s="602"/>
      <c r="DJ243" s="602"/>
      <c r="DK243" s="602"/>
      <c r="DL243" s="602"/>
      <c r="DM243" s="602"/>
      <c r="DN243" s="602"/>
      <c r="DO243" s="602"/>
      <c r="DP243" s="602"/>
      <c r="DQ243" s="602"/>
      <c r="DR243" s="602"/>
      <c r="DS243" s="602"/>
      <c r="DT243" s="602"/>
      <c r="DU243" s="602"/>
      <c r="DV243" s="602"/>
      <c r="DW243" s="602"/>
      <c r="DX243" s="602"/>
      <c r="DY243" s="602"/>
      <c r="DZ243" s="602"/>
      <c r="EA243" s="602"/>
      <c r="EB243" s="602"/>
      <c r="EC243" s="602"/>
      <c r="ED243" s="602"/>
      <c r="EE243" s="602"/>
      <c r="EF243" s="602"/>
      <c r="EG243" s="602"/>
      <c r="EH243" s="602"/>
      <c r="EI243" s="602"/>
      <c r="EJ243" s="602"/>
      <c r="EK243" s="602"/>
      <c r="EL243" s="602"/>
      <c r="EM243" s="602"/>
      <c r="EN243" s="602"/>
      <c r="EO243" s="602"/>
      <c r="EP243" s="602"/>
      <c r="EQ243" s="602"/>
      <c r="ER243" s="602"/>
      <c r="ES243" s="602"/>
      <c r="ET243" s="602"/>
      <c r="EU243" s="602"/>
      <c r="EV243" s="602"/>
      <c r="EW243" s="602"/>
      <c r="EX243" s="602"/>
      <c r="EY243" s="602"/>
      <c r="EZ243" s="602"/>
      <c r="FA243" s="602"/>
      <c r="FB243" s="602"/>
      <c r="FC243" s="602"/>
      <c r="FD243" s="602"/>
      <c r="FE243" s="602"/>
      <c r="FF243" s="602"/>
      <c r="FG243" s="602"/>
      <c r="FH243" s="602"/>
      <c r="FI243" s="602"/>
      <c r="FJ243" s="602"/>
      <c r="FK243" s="602"/>
      <c r="FL243" s="602"/>
      <c r="FM243" s="602"/>
      <c r="FN243" s="602"/>
      <c r="FO243" s="602"/>
      <c r="FP243" s="602"/>
      <c r="FQ243" s="602"/>
      <c r="FR243" s="602"/>
      <c r="FS243" s="602"/>
      <c r="FT243" s="602"/>
      <c r="FU243" s="602"/>
      <c r="FV243" s="602"/>
      <c r="FW243" s="602"/>
      <c r="FX243" s="602"/>
      <c r="FY243" s="602"/>
      <c r="FZ243" s="602"/>
      <c r="GA243" s="602"/>
      <c r="GB243" s="602"/>
      <c r="GC243" s="602"/>
      <c r="GD243" s="602"/>
      <c r="GE243" s="602"/>
      <c r="GF243" s="602"/>
      <c r="GG243" s="602"/>
      <c r="GH243" s="602"/>
      <c r="GI243" s="602"/>
      <c r="GJ243" s="602"/>
      <c r="GK243" s="602"/>
      <c r="GL243" s="602"/>
      <c r="GM243" s="602"/>
      <c r="GN243" s="602"/>
      <c r="GO243" s="602"/>
      <c r="GP243" s="602"/>
      <c r="GQ243" s="602"/>
      <c r="GR243" s="602"/>
      <c r="GS243" s="602"/>
      <c r="GT243" s="602"/>
      <c r="GU243" s="602"/>
      <c r="GV243" s="602"/>
      <c r="GW243" s="602"/>
      <c r="GX243" s="602"/>
      <c r="GY243" s="602"/>
      <c r="GZ243" s="602"/>
      <c r="HA243" s="602"/>
      <c r="HB243" s="602"/>
      <c r="HC243" s="602"/>
      <c r="HD243" s="602"/>
      <c r="HE243" s="602"/>
      <c r="HF243" s="602"/>
      <c r="HG243" s="602"/>
      <c r="HH243" s="602"/>
      <c r="HI243" s="602"/>
      <c r="HJ243" s="602"/>
      <c r="HK243" s="602"/>
      <c r="HL243" s="602"/>
      <c r="HM243" s="602"/>
      <c r="HN243" s="602"/>
      <c r="HO243" s="602"/>
      <c r="HP243" s="602"/>
      <c r="HQ243" s="602"/>
      <c r="HR243" s="602"/>
      <c r="HS243" s="602"/>
      <c r="HT243" s="602"/>
      <c r="HU243" s="602"/>
      <c r="HV243" s="602"/>
      <c r="HW243" s="602"/>
      <c r="HX243" s="602"/>
      <c r="HY243" s="602"/>
      <c r="HZ243" s="602"/>
      <c r="IA243" s="602"/>
      <c r="IB243" s="602"/>
      <c r="IC243" s="602"/>
      <c r="ID243" s="602"/>
      <c r="IE243" s="602"/>
      <c r="IF243" s="602"/>
      <c r="IG243" s="602"/>
      <c r="IH243" s="602"/>
      <c r="II243" s="602"/>
      <c r="IJ243" s="602"/>
      <c r="IK243" s="602"/>
      <c r="IL243" s="602"/>
      <c r="IM243" s="602"/>
      <c r="IN243" s="602"/>
      <c r="IO243" s="602"/>
      <c r="IP243" s="602"/>
      <c r="IQ243" s="602"/>
      <c r="IR243" s="602"/>
      <c r="IS243" s="602"/>
      <c r="IT243" s="602"/>
      <c r="IU243" s="602"/>
      <c r="IV243" s="602"/>
      <c r="IW243" s="602"/>
      <c r="IX243" s="602"/>
      <c r="IY243" s="602"/>
      <c r="IZ243" s="602"/>
      <c r="JA243" s="602"/>
      <c r="JB243" s="602"/>
      <c r="JC243" s="602"/>
      <c r="JD243" s="602"/>
      <c r="JE243" s="602"/>
      <c r="JF243" s="602"/>
      <c r="JG243" s="602"/>
      <c r="JH243" s="602"/>
      <c r="JI243" s="602"/>
      <c r="JJ243" s="602"/>
      <c r="JK243" s="602"/>
      <c r="JL243" s="602"/>
      <c r="JM243" s="602"/>
      <c r="JN243" s="602"/>
      <c r="JO243" s="602"/>
      <c r="JP243" s="602"/>
      <c r="JQ243" s="602"/>
      <c r="JR243" s="602"/>
      <c r="JS243" s="602"/>
      <c r="JT243" s="602"/>
      <c r="JU243" s="602"/>
      <c r="JV243" s="602"/>
      <c r="JW243" s="602"/>
      <c r="JX243" s="602"/>
      <c r="JY243" s="602"/>
      <c r="JZ243" s="602"/>
      <c r="KA243" s="602"/>
      <c r="KB243" s="602"/>
      <c r="KC243" s="602"/>
      <c r="KD243" s="602"/>
      <c r="KE243" s="602"/>
      <c r="KF243" s="602"/>
      <c r="KG243" s="602"/>
      <c r="KH243" s="602"/>
      <c r="KI243" s="602"/>
      <c r="KJ243" s="602"/>
      <c r="KK243" s="602"/>
      <c r="KL243" s="602"/>
      <c r="KM243" s="602"/>
      <c r="KN243" s="602"/>
      <c r="KO243" s="602"/>
    </row>
  </sheetData>
  <phoneticPr fontId="77" type="noConversion"/>
  <conditionalFormatting sqref="BA11 BA240:BA243">
    <cfRule type="expression" dxfId="247" priority="4042">
      <formula>$BA11&lt;$AP11</formula>
    </cfRule>
  </conditionalFormatting>
  <conditionalFormatting sqref="BT11 BT240:BT242">
    <cfRule type="expression" dxfId="246" priority="4043">
      <formula>$BT11&lt;$BI11</formula>
    </cfRule>
  </conditionalFormatting>
  <conditionalFormatting sqref="CM11 CM240:CM242">
    <cfRule type="expression" dxfId="245" priority="4044">
      <formula>$CM11&lt;$CB11</formula>
    </cfRule>
  </conditionalFormatting>
  <conditionalFormatting sqref="DF11 DF240:DF242">
    <cfRule type="expression" dxfId="244" priority="4045">
      <formula>$DF11&lt;$CU11</formula>
    </cfRule>
  </conditionalFormatting>
  <conditionalFormatting sqref="DY11 DY240:DY242">
    <cfRule type="expression" dxfId="243" priority="4046">
      <formula>$DY11&lt;$DN11</formula>
    </cfRule>
  </conditionalFormatting>
  <conditionalFormatting sqref="ER11 ER240:ER242">
    <cfRule type="expression" dxfId="242" priority="4047">
      <formula>$ER11&lt;$EG11</formula>
    </cfRule>
  </conditionalFormatting>
  <conditionalFormatting sqref="FK11 FK240:FK242">
    <cfRule type="expression" dxfId="241" priority="4048">
      <formula>$FK11&lt;$EZ11</formula>
    </cfRule>
  </conditionalFormatting>
  <conditionalFormatting sqref="GD11 GD240:GD242">
    <cfRule type="expression" dxfId="240" priority="4049">
      <formula>$GD11&lt;$FS11</formula>
    </cfRule>
  </conditionalFormatting>
  <conditionalFormatting sqref="GW11 GW240:GW242">
    <cfRule type="expression" dxfId="239" priority="4050">
      <formula>$GW11&lt;$GL11</formula>
    </cfRule>
  </conditionalFormatting>
  <conditionalFormatting sqref="HP11 HP240:HP242">
    <cfRule type="expression" dxfId="238" priority="4051">
      <formula>$HP11&lt;$HE11</formula>
    </cfRule>
  </conditionalFormatting>
  <conditionalFormatting sqref="II11 II240:II242">
    <cfRule type="expression" dxfId="237" priority="4052">
      <formula>$II11&lt;$HX11</formula>
    </cfRule>
  </conditionalFormatting>
  <conditionalFormatting sqref="JB11 JB240:JB242">
    <cfRule type="expression" dxfId="236" priority="4053">
      <formula>$JB11&lt;$IQ11</formula>
    </cfRule>
  </conditionalFormatting>
  <conditionalFormatting sqref="JU11 JU240:JU242">
    <cfRule type="expression" dxfId="235" priority="4054">
      <formula>$JU11&lt;$JJ11</formula>
    </cfRule>
  </conditionalFormatting>
  <conditionalFormatting sqref="KN11 KN240:KN242">
    <cfRule type="expression" dxfId="234" priority="4055">
      <formula>$KN11&lt;$KC11</formula>
    </cfRule>
  </conditionalFormatting>
  <conditionalFormatting sqref="AT11 AT240:AT243">
    <cfRule type="expression" dxfId="233" priority="4056">
      <formula>$AT11&gt;$H11*0.1</formula>
    </cfRule>
  </conditionalFormatting>
  <conditionalFormatting sqref="AX11 AX240:AX243">
    <cfRule type="expression" dxfId="232" priority="4057">
      <formula>$AX11&gt;$I11*0.1</formula>
    </cfRule>
  </conditionalFormatting>
  <conditionalFormatting sqref="DB243">
    <cfRule type="expression" dxfId="231" priority="4058">
      <formula>$DB243&lt;$CR243</formula>
    </cfRule>
  </conditionalFormatting>
  <conditionalFormatting sqref="EN243">
    <cfRule type="expression" dxfId="230" priority="4059">
      <formula>$EN243&lt;$ED243</formula>
    </cfRule>
  </conditionalFormatting>
  <conditionalFormatting sqref="FG243">
    <cfRule type="expression" dxfId="229" priority="4060">
      <formula>$FG243&lt;$EW243</formula>
    </cfRule>
  </conditionalFormatting>
  <conditionalFormatting sqref="FZ243">
    <cfRule type="expression" dxfId="228" priority="4061">
      <formula>$FZ243&lt;$FP243</formula>
    </cfRule>
  </conditionalFormatting>
  <conditionalFormatting sqref="GS243">
    <cfRule type="expression" dxfId="227" priority="4062">
      <formula>$GS243&lt;$GI243</formula>
    </cfRule>
  </conditionalFormatting>
  <conditionalFormatting sqref="HL243">
    <cfRule type="expression" dxfId="226" priority="4063">
      <formula>$HL243&lt;$HB243</formula>
    </cfRule>
  </conditionalFormatting>
  <conditionalFormatting sqref="IE243">
    <cfRule type="expression" dxfId="225" priority="4064">
      <formula>$IE243&lt;$HU243</formula>
    </cfRule>
  </conditionalFormatting>
  <conditionalFormatting sqref="IX243">
    <cfRule type="expression" dxfId="224" priority="4065">
      <formula>$IX243&lt;$IN243</formula>
    </cfRule>
  </conditionalFormatting>
  <conditionalFormatting sqref="JQ243">
    <cfRule type="expression" dxfId="223" priority="4066">
      <formula>$JQ243&lt;$JG243</formula>
    </cfRule>
  </conditionalFormatting>
  <conditionalFormatting sqref="KJ243">
    <cfRule type="expression" dxfId="222" priority="4067">
      <formula>$KJ243&lt;$JZ243</formula>
    </cfRule>
  </conditionalFormatting>
  <conditionalFormatting sqref="CI243">
    <cfRule type="expression" dxfId="221" priority="4068">
      <formula>$CI243&lt;$BY243</formula>
    </cfRule>
  </conditionalFormatting>
  <conditionalFormatting sqref="DU243">
    <cfRule type="expression" dxfId="220" priority="4069">
      <formula>$DU243&lt;$DK243</formula>
    </cfRule>
  </conditionalFormatting>
  <conditionalFormatting sqref="BA83:BA93 BA106:BA239 BA17:BA81">
    <cfRule type="expression" dxfId="219" priority="193">
      <formula>$BA17&lt;$AP17</formula>
    </cfRule>
  </conditionalFormatting>
  <conditionalFormatting sqref="BT83:BT93 BT106:BT238 BT17:BT81">
    <cfRule type="expression" dxfId="218" priority="194">
      <formula>$BT17&lt;$BI17</formula>
    </cfRule>
  </conditionalFormatting>
  <conditionalFormatting sqref="CM83:CM93 CM106:CM238 CM17:CM81">
    <cfRule type="expression" dxfId="217" priority="195">
      <formula>$CM17&lt;$CB17</formula>
    </cfRule>
  </conditionalFormatting>
  <conditionalFormatting sqref="DF83:DF93 DF106:DF238 DF17:DF81">
    <cfRule type="expression" dxfId="216" priority="196">
      <formula>$DF17&lt;$CU17</formula>
    </cfRule>
  </conditionalFormatting>
  <conditionalFormatting sqref="DY83:DY93 DY106:DY238 DY17:DY81">
    <cfRule type="expression" dxfId="215" priority="197">
      <formula>$DY17&lt;$DN17</formula>
    </cfRule>
  </conditionalFormatting>
  <conditionalFormatting sqref="ER83:ER93 ER106:ER238 ER17:ER81">
    <cfRule type="expression" dxfId="214" priority="198">
      <formula>$ER17&lt;$EG17</formula>
    </cfRule>
  </conditionalFormatting>
  <conditionalFormatting sqref="FK83:FK93 FK106:FK238 FK17:FK81">
    <cfRule type="expression" dxfId="213" priority="199">
      <formula>$FK17&lt;$EZ17</formula>
    </cfRule>
  </conditionalFormatting>
  <conditionalFormatting sqref="GD83:GD93 GD106:GD238 GD17:GD81">
    <cfRule type="expression" dxfId="212" priority="200">
      <formula>$GD17&lt;$FS17</formula>
    </cfRule>
  </conditionalFormatting>
  <conditionalFormatting sqref="GW83:GW93 GW106:GW238 GW17:GW81">
    <cfRule type="expression" dxfId="211" priority="201">
      <formula>$GW17&lt;$GL17</formula>
    </cfRule>
  </conditionalFormatting>
  <conditionalFormatting sqref="HP83:HP93 HP106:HP238 HP17:HP81">
    <cfRule type="expression" dxfId="210" priority="202">
      <formula>$HP17&lt;$HE17</formula>
    </cfRule>
  </conditionalFormatting>
  <conditionalFormatting sqref="II83:II93 II106:II238 II17:II81">
    <cfRule type="expression" dxfId="209" priority="203">
      <formula>$II17&lt;$HX17</formula>
    </cfRule>
  </conditionalFormatting>
  <conditionalFormatting sqref="JB83:JB93 JB106:JB238 JB17:JB81">
    <cfRule type="expression" dxfId="208" priority="204">
      <formula>$JB17&lt;$IQ17</formula>
    </cfRule>
  </conditionalFormatting>
  <conditionalFormatting sqref="JU83:JU93 JU106:JU238 JU17:JU81">
    <cfRule type="expression" dxfId="207" priority="205">
      <formula>$JU17&lt;$JJ17</formula>
    </cfRule>
  </conditionalFormatting>
  <conditionalFormatting sqref="KN83:KN93 KN106:KN238 KN17:KN81">
    <cfRule type="expression" dxfId="206" priority="206">
      <formula>$KN17&lt;$KC17</formula>
    </cfRule>
  </conditionalFormatting>
  <conditionalFormatting sqref="CF17 BM17 CY17 DR17 EK17 FD17 FW17 GP17 HI17 IB17 IU17 JN17 KG17 AT106:AT239 AT17:AT100">
    <cfRule type="expression" dxfId="205" priority="207">
      <formula>$AT17&gt;$H17*0.1</formula>
    </cfRule>
  </conditionalFormatting>
  <conditionalFormatting sqref="CJ17 BQ17 DC17 DV17 EO17 FH17 GA17 GT17 HM17 IF17 IY17 JR17 KK17 AX106:AX239 AX17:AX100">
    <cfRule type="expression" dxfId="204" priority="208">
      <formula>$AX17&gt;$I17*0.1</formula>
    </cfRule>
  </conditionalFormatting>
  <conditionalFormatting sqref="DB239">
    <cfRule type="expression" dxfId="203" priority="209">
      <formula>$DB239&lt;$CR239</formula>
    </cfRule>
  </conditionalFormatting>
  <conditionalFormatting sqref="EN239">
    <cfRule type="expression" dxfId="202" priority="210">
      <formula>$EN239&lt;$ED239</formula>
    </cfRule>
  </conditionalFormatting>
  <conditionalFormatting sqref="FG239">
    <cfRule type="expression" dxfId="201" priority="211">
      <formula>$FG239&lt;$EW239</formula>
    </cfRule>
  </conditionalFormatting>
  <conditionalFormatting sqref="FZ239">
    <cfRule type="expression" dxfId="200" priority="212">
      <formula>$FZ239&lt;$FP239</formula>
    </cfRule>
  </conditionalFormatting>
  <conditionalFormatting sqref="GS239">
    <cfRule type="expression" dxfId="199" priority="213">
      <formula>$GS239&lt;$GI239</formula>
    </cfRule>
  </conditionalFormatting>
  <conditionalFormatting sqref="HL239">
    <cfRule type="expression" dxfId="198" priority="214">
      <formula>$HL239&lt;$HB239</formula>
    </cfRule>
  </conditionalFormatting>
  <conditionalFormatting sqref="IE239">
    <cfRule type="expression" dxfId="197" priority="215">
      <formula>$IE239&lt;$HU239</formula>
    </cfRule>
  </conditionalFormatting>
  <conditionalFormatting sqref="IX239">
    <cfRule type="expression" dxfId="196" priority="216">
      <formula>$IX239&lt;$IN239</formula>
    </cfRule>
  </conditionalFormatting>
  <conditionalFormatting sqref="JQ239">
    <cfRule type="expression" dxfId="195" priority="217">
      <formula>$JQ239&lt;$JG239</formula>
    </cfRule>
  </conditionalFormatting>
  <conditionalFormatting sqref="KJ239">
    <cfRule type="expression" dxfId="194" priority="218">
      <formula>$KJ239&lt;$JZ239</formula>
    </cfRule>
  </conditionalFormatting>
  <conditionalFormatting sqref="CI239">
    <cfRule type="expression" dxfId="193" priority="219">
      <formula>$CI239&lt;$BY239</formula>
    </cfRule>
  </conditionalFormatting>
  <conditionalFormatting sqref="DU239">
    <cfRule type="expression" dxfId="192" priority="220">
      <formula>$DU239&lt;$DK239</formula>
    </cfRule>
  </conditionalFormatting>
  <conditionalFormatting sqref="BA82">
    <cfRule type="expression" dxfId="191" priority="179">
      <formula>$BA82&lt;$AP82</formula>
    </cfRule>
  </conditionalFormatting>
  <conditionalFormatting sqref="BT82">
    <cfRule type="expression" dxfId="190" priority="180">
      <formula>$BT82&lt;$BI82</formula>
    </cfRule>
  </conditionalFormatting>
  <conditionalFormatting sqref="CM82">
    <cfRule type="expression" dxfId="189" priority="181">
      <formula>$CM82&lt;$CB82</formula>
    </cfRule>
  </conditionalFormatting>
  <conditionalFormatting sqref="DF82">
    <cfRule type="expression" dxfId="188" priority="182">
      <formula>$DF82&lt;$CU82</formula>
    </cfRule>
  </conditionalFormatting>
  <conditionalFormatting sqref="DY82">
    <cfRule type="expression" dxfId="187" priority="183">
      <formula>$DY82&lt;$DN82</formula>
    </cfRule>
  </conditionalFormatting>
  <conditionalFormatting sqref="ER82">
    <cfRule type="expression" dxfId="186" priority="184">
      <formula>$ER82&lt;$EG82</formula>
    </cfRule>
  </conditionalFormatting>
  <conditionalFormatting sqref="FK82">
    <cfRule type="expression" dxfId="185" priority="185">
      <formula>$FK82&lt;$EZ82</formula>
    </cfRule>
  </conditionalFormatting>
  <conditionalFormatting sqref="GD82">
    <cfRule type="expression" dxfId="184" priority="186">
      <formula>$GD82&lt;$FS82</formula>
    </cfRule>
  </conditionalFormatting>
  <conditionalFormatting sqref="GW82">
    <cfRule type="expression" dxfId="183" priority="187">
      <formula>$GW82&lt;$GL82</formula>
    </cfRule>
  </conditionalFormatting>
  <conditionalFormatting sqref="HP82">
    <cfRule type="expression" dxfId="182" priority="188">
      <formula>$HP82&lt;$HE82</formula>
    </cfRule>
  </conditionalFormatting>
  <conditionalFormatting sqref="II82">
    <cfRule type="expression" dxfId="181" priority="189">
      <formula>$II82&lt;$HX82</formula>
    </cfRule>
  </conditionalFormatting>
  <conditionalFormatting sqref="JB82">
    <cfRule type="expression" dxfId="180" priority="190">
      <formula>$JB82&lt;$IQ82</formula>
    </cfRule>
  </conditionalFormatting>
  <conditionalFormatting sqref="JU82">
    <cfRule type="expression" dxfId="179" priority="191">
      <formula>$JU82&lt;$JJ82</formula>
    </cfRule>
  </conditionalFormatting>
  <conditionalFormatting sqref="KN82">
    <cfRule type="expression" dxfId="178" priority="192">
      <formula>$KN82&lt;$KC82</formula>
    </cfRule>
  </conditionalFormatting>
  <conditionalFormatting sqref="BA94">
    <cfRule type="expression" dxfId="177" priority="165">
      <formula>$BA94&lt;$AP94</formula>
    </cfRule>
  </conditionalFormatting>
  <conditionalFormatting sqref="BT94">
    <cfRule type="expression" dxfId="176" priority="166">
      <formula>$BT94&lt;$BI94</formula>
    </cfRule>
  </conditionalFormatting>
  <conditionalFormatting sqref="CM94">
    <cfRule type="expression" dxfId="175" priority="167">
      <formula>$CM94&lt;$CB94</formula>
    </cfRule>
  </conditionalFormatting>
  <conditionalFormatting sqref="DF94">
    <cfRule type="expression" dxfId="174" priority="168">
      <formula>$DF94&lt;$CU94</formula>
    </cfRule>
  </conditionalFormatting>
  <conditionalFormatting sqref="DY94">
    <cfRule type="expression" dxfId="173" priority="169">
      <formula>$DY94&lt;$DN94</formula>
    </cfRule>
  </conditionalFormatting>
  <conditionalFormatting sqref="ER94">
    <cfRule type="expression" dxfId="172" priority="170">
      <formula>$ER94&lt;$EG94</formula>
    </cfRule>
  </conditionalFormatting>
  <conditionalFormatting sqref="FK94">
    <cfRule type="expression" dxfId="171" priority="171">
      <formula>$FK94&lt;$EZ94</formula>
    </cfRule>
  </conditionalFormatting>
  <conditionalFormatting sqref="GD94">
    <cfRule type="expression" dxfId="170" priority="172">
      <formula>$GD94&lt;$FS94</formula>
    </cfRule>
  </conditionalFormatting>
  <conditionalFormatting sqref="GW94">
    <cfRule type="expression" dxfId="169" priority="173">
      <formula>$GW94&lt;$GL94</formula>
    </cfRule>
  </conditionalFormatting>
  <conditionalFormatting sqref="HP94">
    <cfRule type="expression" dxfId="168" priority="174">
      <formula>$HP94&lt;$HE94</formula>
    </cfRule>
  </conditionalFormatting>
  <conditionalFormatting sqref="II94">
    <cfRule type="expression" dxfId="167" priority="175">
      <formula>$II94&lt;$HX94</formula>
    </cfRule>
  </conditionalFormatting>
  <conditionalFormatting sqref="JB94">
    <cfRule type="expression" dxfId="166" priority="176">
      <formula>$JB94&lt;$IQ94</formula>
    </cfRule>
  </conditionalFormatting>
  <conditionalFormatting sqref="JU94">
    <cfRule type="expression" dxfId="165" priority="177">
      <formula>$JU94&lt;$JJ94</formula>
    </cfRule>
  </conditionalFormatting>
  <conditionalFormatting sqref="KN94">
    <cfRule type="expression" dxfId="164" priority="178">
      <formula>$KN94&lt;$KC94</formula>
    </cfRule>
  </conditionalFormatting>
  <conditionalFormatting sqref="BA95">
    <cfRule type="expression" dxfId="163" priority="151">
      <formula>$BA95&lt;$AP95</formula>
    </cfRule>
  </conditionalFormatting>
  <conditionalFormatting sqref="BT95">
    <cfRule type="expression" dxfId="162" priority="152">
      <formula>$BT95&lt;$BI95</formula>
    </cfRule>
  </conditionalFormatting>
  <conditionalFormatting sqref="CM95">
    <cfRule type="expression" dxfId="161" priority="153">
      <formula>$CM95&lt;$CB95</formula>
    </cfRule>
  </conditionalFormatting>
  <conditionalFormatting sqref="DF95">
    <cfRule type="expression" dxfId="160" priority="154">
      <formula>$DF95&lt;$CU95</formula>
    </cfRule>
  </conditionalFormatting>
  <conditionalFormatting sqref="DY95">
    <cfRule type="expression" dxfId="159" priority="155">
      <formula>$DY95&lt;$DN95</formula>
    </cfRule>
  </conditionalFormatting>
  <conditionalFormatting sqref="ER95">
    <cfRule type="expression" dxfId="158" priority="156">
      <formula>$ER95&lt;$EG95</formula>
    </cfRule>
  </conditionalFormatting>
  <conditionalFormatting sqref="FK95">
    <cfRule type="expression" dxfId="157" priority="157">
      <formula>$FK95&lt;$EZ95</formula>
    </cfRule>
  </conditionalFormatting>
  <conditionalFormatting sqref="GD95">
    <cfRule type="expression" dxfId="156" priority="158">
      <formula>$GD95&lt;$FS95</formula>
    </cfRule>
  </conditionalFormatting>
  <conditionalFormatting sqref="GW95">
    <cfRule type="expression" dxfId="155" priority="159">
      <formula>$GW95&lt;$GL95</formula>
    </cfRule>
  </conditionalFormatting>
  <conditionalFormatting sqref="HP95">
    <cfRule type="expression" dxfId="154" priority="160">
      <formula>$HP95&lt;$HE95</formula>
    </cfRule>
  </conditionalFormatting>
  <conditionalFormatting sqref="II95">
    <cfRule type="expression" dxfId="153" priority="161">
      <formula>$II95&lt;$HX95</formula>
    </cfRule>
  </conditionalFormatting>
  <conditionalFormatting sqref="JB95">
    <cfRule type="expression" dxfId="152" priority="162">
      <formula>$JB95&lt;$IQ95</formula>
    </cfRule>
  </conditionalFormatting>
  <conditionalFormatting sqref="JU95">
    <cfRule type="expression" dxfId="151" priority="163">
      <formula>$JU95&lt;$JJ95</formula>
    </cfRule>
  </conditionalFormatting>
  <conditionalFormatting sqref="KN95">
    <cfRule type="expression" dxfId="150" priority="164">
      <formula>$KN95&lt;$KC95</formula>
    </cfRule>
  </conditionalFormatting>
  <conditionalFormatting sqref="BA96">
    <cfRule type="expression" dxfId="149" priority="137">
      <formula>$BA96&lt;$AP96</formula>
    </cfRule>
  </conditionalFormatting>
  <conditionalFormatting sqref="BT96">
    <cfRule type="expression" dxfId="148" priority="138">
      <formula>$BT96&lt;$BI96</formula>
    </cfRule>
  </conditionalFormatting>
  <conditionalFormatting sqref="CM96">
    <cfRule type="expression" dxfId="147" priority="139">
      <formula>$CM96&lt;$CB96</formula>
    </cfRule>
  </conditionalFormatting>
  <conditionalFormatting sqref="DF96">
    <cfRule type="expression" dxfId="146" priority="140">
      <formula>$DF96&lt;$CU96</formula>
    </cfRule>
  </conditionalFormatting>
  <conditionalFormatting sqref="DY96">
    <cfRule type="expression" dxfId="145" priority="141">
      <formula>$DY96&lt;$DN96</formula>
    </cfRule>
  </conditionalFormatting>
  <conditionalFormatting sqref="ER96">
    <cfRule type="expression" dxfId="144" priority="142">
      <formula>$ER96&lt;$EG96</formula>
    </cfRule>
  </conditionalFormatting>
  <conditionalFormatting sqref="FK96">
    <cfRule type="expression" dxfId="143" priority="143">
      <formula>$FK96&lt;$EZ96</formula>
    </cfRule>
  </conditionalFormatting>
  <conditionalFormatting sqref="GD96">
    <cfRule type="expression" dxfId="142" priority="144">
      <formula>$GD96&lt;$FS96</formula>
    </cfRule>
  </conditionalFormatting>
  <conditionalFormatting sqref="GW96">
    <cfRule type="expression" dxfId="141" priority="145">
      <formula>$GW96&lt;$GL96</formula>
    </cfRule>
  </conditionalFormatting>
  <conditionalFormatting sqref="HP96">
    <cfRule type="expression" dxfId="140" priority="146">
      <formula>$HP96&lt;$HE96</formula>
    </cfRule>
  </conditionalFormatting>
  <conditionalFormatting sqref="II96">
    <cfRule type="expression" dxfId="139" priority="147">
      <formula>$II96&lt;$HX96</formula>
    </cfRule>
  </conditionalFormatting>
  <conditionalFormatting sqref="JB96">
    <cfRule type="expression" dxfId="138" priority="148">
      <formula>$JB96&lt;$IQ96</formula>
    </cfRule>
  </conditionalFormatting>
  <conditionalFormatting sqref="JU96">
    <cfRule type="expression" dxfId="137" priority="149">
      <formula>$JU96&lt;$JJ96</formula>
    </cfRule>
  </conditionalFormatting>
  <conditionalFormatting sqref="KN96">
    <cfRule type="expression" dxfId="136" priority="150">
      <formula>$KN96&lt;$KC96</formula>
    </cfRule>
  </conditionalFormatting>
  <conditionalFormatting sqref="BA97">
    <cfRule type="expression" dxfId="135" priority="123">
      <formula>$BA97&lt;$AP97</formula>
    </cfRule>
  </conditionalFormatting>
  <conditionalFormatting sqref="BT97">
    <cfRule type="expression" dxfId="134" priority="124">
      <formula>$BT97&lt;$BI97</formula>
    </cfRule>
  </conditionalFormatting>
  <conditionalFormatting sqref="CM97">
    <cfRule type="expression" dxfId="133" priority="125">
      <formula>$CM97&lt;$CB97</formula>
    </cfRule>
  </conditionalFormatting>
  <conditionalFormatting sqref="DF97">
    <cfRule type="expression" dxfId="132" priority="126">
      <formula>$DF97&lt;$CU97</formula>
    </cfRule>
  </conditionalFormatting>
  <conditionalFormatting sqref="DY97">
    <cfRule type="expression" dxfId="131" priority="127">
      <formula>$DY97&lt;$DN97</formula>
    </cfRule>
  </conditionalFormatting>
  <conditionalFormatting sqref="ER97">
    <cfRule type="expression" dxfId="130" priority="128">
      <formula>$ER97&lt;$EG97</formula>
    </cfRule>
  </conditionalFormatting>
  <conditionalFormatting sqref="FK97">
    <cfRule type="expression" dxfId="129" priority="129">
      <formula>$FK97&lt;$EZ97</formula>
    </cfRule>
  </conditionalFormatting>
  <conditionalFormatting sqref="GD97">
    <cfRule type="expression" dxfId="128" priority="130">
      <formula>$GD97&lt;$FS97</formula>
    </cfRule>
  </conditionalFormatting>
  <conditionalFormatting sqref="GW97">
    <cfRule type="expression" dxfId="127" priority="131">
      <formula>$GW97&lt;$GL97</formula>
    </cfRule>
  </conditionalFormatting>
  <conditionalFormatting sqref="HP97">
    <cfRule type="expression" dxfId="126" priority="132">
      <formula>$HP97&lt;$HE97</formula>
    </cfRule>
  </conditionalFormatting>
  <conditionalFormatting sqref="II97">
    <cfRule type="expression" dxfId="125" priority="133">
      <formula>$II97&lt;$HX97</formula>
    </cfRule>
  </conditionalFormatting>
  <conditionalFormatting sqref="JB97">
    <cfRule type="expression" dxfId="124" priority="134">
      <formula>$JB97&lt;$IQ97</formula>
    </cfRule>
  </conditionalFormatting>
  <conditionalFormatting sqref="JU97">
    <cfRule type="expression" dxfId="123" priority="135">
      <formula>$JU97&lt;$JJ97</formula>
    </cfRule>
  </conditionalFormatting>
  <conditionalFormatting sqref="KN97">
    <cfRule type="expression" dxfId="122" priority="136">
      <formula>$KN97&lt;$KC97</formula>
    </cfRule>
  </conditionalFormatting>
  <conditionalFormatting sqref="BA98">
    <cfRule type="expression" dxfId="121" priority="109">
      <formula>$BA98&lt;$AP98</formula>
    </cfRule>
  </conditionalFormatting>
  <conditionalFormatting sqref="BT98">
    <cfRule type="expression" dxfId="120" priority="110">
      <formula>$BT98&lt;$BI98</formula>
    </cfRule>
  </conditionalFormatting>
  <conditionalFormatting sqref="CM98">
    <cfRule type="expression" dxfId="119" priority="111">
      <formula>$CM98&lt;$CB98</formula>
    </cfRule>
  </conditionalFormatting>
  <conditionalFormatting sqref="DF98">
    <cfRule type="expression" dxfId="118" priority="112">
      <formula>$DF98&lt;$CU98</formula>
    </cfRule>
  </conditionalFormatting>
  <conditionalFormatting sqref="DY98">
    <cfRule type="expression" dxfId="117" priority="113">
      <formula>$DY98&lt;$DN98</formula>
    </cfRule>
  </conditionalFormatting>
  <conditionalFormatting sqref="ER98">
    <cfRule type="expression" dxfId="116" priority="114">
      <formula>$ER98&lt;$EG98</formula>
    </cfRule>
  </conditionalFormatting>
  <conditionalFormatting sqref="FK98">
    <cfRule type="expression" dxfId="115" priority="115">
      <formula>$FK98&lt;$EZ98</formula>
    </cfRule>
  </conditionalFormatting>
  <conditionalFormatting sqref="GD98">
    <cfRule type="expression" dxfId="114" priority="116">
      <formula>$GD98&lt;$FS98</formula>
    </cfRule>
  </conditionalFormatting>
  <conditionalFormatting sqref="GW98">
    <cfRule type="expression" dxfId="113" priority="117">
      <formula>$GW98&lt;$GL98</formula>
    </cfRule>
  </conditionalFormatting>
  <conditionalFormatting sqref="HP98">
    <cfRule type="expression" dxfId="112" priority="118">
      <formula>$HP98&lt;$HE98</formula>
    </cfRule>
  </conditionalFormatting>
  <conditionalFormatting sqref="II98">
    <cfRule type="expression" dxfId="111" priority="119">
      <formula>$II98&lt;$HX98</formula>
    </cfRule>
  </conditionalFormatting>
  <conditionalFormatting sqref="JB98">
    <cfRule type="expression" dxfId="110" priority="120">
      <formula>$JB98&lt;$IQ98</formula>
    </cfRule>
  </conditionalFormatting>
  <conditionalFormatting sqref="JU98">
    <cfRule type="expression" dxfId="109" priority="121">
      <formula>$JU98&lt;$JJ98</formula>
    </cfRule>
  </conditionalFormatting>
  <conditionalFormatting sqref="KN98">
    <cfRule type="expression" dxfId="108" priority="122">
      <formula>$KN98&lt;$KC98</formula>
    </cfRule>
  </conditionalFormatting>
  <conditionalFormatting sqref="BA99">
    <cfRule type="expression" dxfId="107" priority="95">
      <formula>$BA99&lt;$AP99</formula>
    </cfRule>
  </conditionalFormatting>
  <conditionalFormatting sqref="BT99">
    <cfRule type="expression" dxfId="106" priority="96">
      <formula>$BT99&lt;$BI99</formula>
    </cfRule>
  </conditionalFormatting>
  <conditionalFormatting sqref="CM99">
    <cfRule type="expression" dxfId="105" priority="97">
      <formula>$CM99&lt;$CB99</formula>
    </cfRule>
  </conditionalFormatting>
  <conditionalFormatting sqref="DF99">
    <cfRule type="expression" dxfId="104" priority="98">
      <formula>$DF99&lt;$CU99</formula>
    </cfRule>
  </conditionalFormatting>
  <conditionalFormatting sqref="DY99">
    <cfRule type="expression" dxfId="103" priority="99">
      <formula>$DY99&lt;$DN99</formula>
    </cfRule>
  </conditionalFormatting>
  <conditionalFormatting sqref="ER99">
    <cfRule type="expression" dxfId="102" priority="100">
      <formula>$ER99&lt;$EG99</formula>
    </cfRule>
  </conditionalFormatting>
  <conditionalFormatting sqref="FK99">
    <cfRule type="expression" dxfId="101" priority="101">
      <formula>$FK99&lt;$EZ99</formula>
    </cfRule>
  </conditionalFormatting>
  <conditionalFormatting sqref="GD99">
    <cfRule type="expression" dxfId="100" priority="102">
      <formula>$GD99&lt;$FS99</formula>
    </cfRule>
  </conditionalFormatting>
  <conditionalFormatting sqref="GW99">
    <cfRule type="expression" dxfId="99" priority="103">
      <formula>$GW99&lt;$GL99</formula>
    </cfRule>
  </conditionalFormatting>
  <conditionalFormatting sqref="HP99">
    <cfRule type="expression" dxfId="98" priority="104">
      <formula>$HP99&lt;$HE99</formula>
    </cfRule>
  </conditionalFormatting>
  <conditionalFormatting sqref="II99">
    <cfRule type="expression" dxfId="97" priority="105">
      <formula>$II99&lt;$HX99</formula>
    </cfRule>
  </conditionalFormatting>
  <conditionalFormatting sqref="JB99">
    <cfRule type="expression" dxfId="96" priority="106">
      <formula>$JB99&lt;$IQ99</formula>
    </cfRule>
  </conditionalFormatting>
  <conditionalFormatting sqref="JU99">
    <cfRule type="expression" dxfId="95" priority="107">
      <formula>$JU99&lt;$JJ99</formula>
    </cfRule>
  </conditionalFormatting>
  <conditionalFormatting sqref="KN99">
    <cfRule type="expression" dxfId="94" priority="108">
      <formula>$KN99&lt;$KC99</formula>
    </cfRule>
  </conditionalFormatting>
  <conditionalFormatting sqref="BA100">
    <cfRule type="expression" dxfId="93" priority="81">
      <formula>$BA100&lt;$AP100</formula>
    </cfRule>
  </conditionalFormatting>
  <conditionalFormatting sqref="BT100">
    <cfRule type="expression" dxfId="92" priority="82">
      <formula>$BT100&lt;$BI100</formula>
    </cfRule>
  </conditionalFormatting>
  <conditionalFormatting sqref="CM100">
    <cfRule type="expression" dxfId="91" priority="83">
      <formula>$CM100&lt;$CB100</formula>
    </cfRule>
  </conditionalFormatting>
  <conditionalFormatting sqref="DF100">
    <cfRule type="expression" dxfId="90" priority="84">
      <formula>$DF100&lt;$CU100</formula>
    </cfRule>
  </conditionalFormatting>
  <conditionalFormatting sqref="DY100">
    <cfRule type="expression" dxfId="89" priority="85">
      <formula>$DY100&lt;$DN100</formula>
    </cfRule>
  </conditionalFormatting>
  <conditionalFormatting sqref="ER100">
    <cfRule type="expression" dxfId="88" priority="86">
      <formula>$ER100&lt;$EG100</formula>
    </cfRule>
  </conditionalFormatting>
  <conditionalFormatting sqref="FK100">
    <cfRule type="expression" dxfId="87" priority="87">
      <formula>$FK100&lt;$EZ100</formula>
    </cfRule>
  </conditionalFormatting>
  <conditionalFormatting sqref="GD100">
    <cfRule type="expression" dxfId="86" priority="88">
      <formula>$GD100&lt;$FS100</formula>
    </cfRule>
  </conditionalFormatting>
  <conditionalFormatting sqref="GW100">
    <cfRule type="expression" dxfId="85" priority="89">
      <formula>$GW100&lt;$GL100</formula>
    </cfRule>
  </conditionalFormatting>
  <conditionalFormatting sqref="HP100">
    <cfRule type="expression" dxfId="84" priority="90">
      <formula>$HP100&lt;$HE100</formula>
    </cfRule>
  </conditionalFormatting>
  <conditionalFormatting sqref="II100">
    <cfRule type="expression" dxfId="83" priority="91">
      <formula>$II100&lt;$HX100</formula>
    </cfRule>
  </conditionalFormatting>
  <conditionalFormatting sqref="JB100">
    <cfRule type="expression" dxfId="82" priority="92">
      <formula>$JB100&lt;$IQ100</formula>
    </cfRule>
  </conditionalFormatting>
  <conditionalFormatting sqref="JU100">
    <cfRule type="expression" dxfId="81" priority="93">
      <formula>$JU100&lt;$JJ100</formula>
    </cfRule>
  </conditionalFormatting>
  <conditionalFormatting sqref="KN100">
    <cfRule type="expression" dxfId="80" priority="94">
      <formula>$KN100&lt;$KC100</formula>
    </cfRule>
  </conditionalFormatting>
  <conditionalFormatting sqref="AT101">
    <cfRule type="expression" dxfId="79" priority="79">
      <formula>$AT101&gt;$H101*0.1</formula>
    </cfRule>
  </conditionalFormatting>
  <conditionalFormatting sqref="AX101">
    <cfRule type="expression" dxfId="78" priority="80">
      <formula>$AX101&gt;$I101*0.1</formula>
    </cfRule>
  </conditionalFormatting>
  <conditionalFormatting sqref="BA101">
    <cfRule type="expression" dxfId="77" priority="65">
      <formula>$BA101&lt;$AP101</formula>
    </cfRule>
  </conditionalFormatting>
  <conditionalFormatting sqref="BT101">
    <cfRule type="expression" dxfId="76" priority="66">
      <formula>$BT101&lt;$BI101</formula>
    </cfRule>
  </conditionalFormatting>
  <conditionalFormatting sqref="CM101">
    <cfRule type="expression" dxfId="75" priority="67">
      <formula>$CM101&lt;$CB101</formula>
    </cfRule>
  </conditionalFormatting>
  <conditionalFormatting sqref="DF101">
    <cfRule type="expression" dxfId="74" priority="68">
      <formula>$DF101&lt;$CU101</formula>
    </cfRule>
  </conditionalFormatting>
  <conditionalFormatting sqref="DY101">
    <cfRule type="expression" dxfId="73" priority="69">
      <formula>$DY101&lt;$DN101</formula>
    </cfRule>
  </conditionalFormatting>
  <conditionalFormatting sqref="ER101">
    <cfRule type="expression" dxfId="72" priority="70">
      <formula>$ER101&lt;$EG101</formula>
    </cfRule>
  </conditionalFormatting>
  <conditionalFormatting sqref="FK101">
    <cfRule type="expression" dxfId="71" priority="71">
      <formula>$FK101&lt;$EZ101</formula>
    </cfRule>
  </conditionalFormatting>
  <conditionalFormatting sqref="GD101">
    <cfRule type="expression" dxfId="70" priority="72">
      <formula>$GD101&lt;$FS101</formula>
    </cfRule>
  </conditionalFormatting>
  <conditionalFormatting sqref="GW101">
    <cfRule type="expression" dxfId="69" priority="73">
      <formula>$GW101&lt;$GL101</formula>
    </cfRule>
  </conditionalFormatting>
  <conditionalFormatting sqref="HP101">
    <cfRule type="expression" dxfId="68" priority="74">
      <formula>$HP101&lt;$HE101</formula>
    </cfRule>
  </conditionalFormatting>
  <conditionalFormatting sqref="II101">
    <cfRule type="expression" dxfId="67" priority="75">
      <formula>$II101&lt;$HX101</formula>
    </cfRule>
  </conditionalFormatting>
  <conditionalFormatting sqref="JB101">
    <cfRule type="expression" dxfId="66" priority="76">
      <formula>$JB101&lt;$IQ101</formula>
    </cfRule>
  </conditionalFormatting>
  <conditionalFormatting sqref="JU101">
    <cfRule type="expression" dxfId="65" priority="77">
      <formula>$JU101&lt;$JJ101</formula>
    </cfRule>
  </conditionalFormatting>
  <conditionalFormatting sqref="KN101">
    <cfRule type="expression" dxfId="64" priority="78">
      <formula>$KN101&lt;$KC101</formula>
    </cfRule>
  </conditionalFormatting>
  <conditionalFormatting sqref="AT102">
    <cfRule type="expression" dxfId="63" priority="63">
      <formula>$AT102&gt;$H102*0.1</formula>
    </cfRule>
  </conditionalFormatting>
  <conditionalFormatting sqref="AX102">
    <cfRule type="expression" dxfId="62" priority="64">
      <formula>$AX102&gt;$I102*0.1</formula>
    </cfRule>
  </conditionalFormatting>
  <conditionalFormatting sqref="BA102">
    <cfRule type="expression" dxfId="61" priority="49">
      <formula>$BA102&lt;$AP102</formula>
    </cfRule>
  </conditionalFormatting>
  <conditionalFormatting sqref="BT102">
    <cfRule type="expression" dxfId="60" priority="50">
      <formula>$BT102&lt;$BI102</formula>
    </cfRule>
  </conditionalFormatting>
  <conditionalFormatting sqref="CM102">
    <cfRule type="expression" dxfId="59" priority="51">
      <formula>$CM102&lt;$CB102</formula>
    </cfRule>
  </conditionalFormatting>
  <conditionalFormatting sqref="DF102">
    <cfRule type="expression" dxfId="58" priority="52">
      <formula>$DF102&lt;$CU102</formula>
    </cfRule>
  </conditionalFormatting>
  <conditionalFormatting sqref="DY102">
    <cfRule type="expression" dxfId="57" priority="53">
      <formula>$DY102&lt;$DN102</formula>
    </cfRule>
  </conditionalFormatting>
  <conditionalFormatting sqref="ER102">
    <cfRule type="expression" dxfId="56" priority="54">
      <formula>$ER102&lt;$EG102</formula>
    </cfRule>
  </conditionalFormatting>
  <conditionalFormatting sqref="FK102">
    <cfRule type="expression" dxfId="55" priority="55">
      <formula>$FK102&lt;$EZ102</formula>
    </cfRule>
  </conditionalFormatting>
  <conditionalFormatting sqref="GD102">
    <cfRule type="expression" dxfId="54" priority="56">
      <formula>$GD102&lt;$FS102</formula>
    </cfRule>
  </conditionalFormatting>
  <conditionalFormatting sqref="GW102">
    <cfRule type="expression" dxfId="53" priority="57">
      <formula>$GW102&lt;$GL102</formula>
    </cfRule>
  </conditionalFormatting>
  <conditionalFormatting sqref="HP102">
    <cfRule type="expression" dxfId="52" priority="58">
      <formula>$HP102&lt;$HE102</formula>
    </cfRule>
  </conditionalFormatting>
  <conditionalFormatting sqref="II102">
    <cfRule type="expression" dxfId="51" priority="59">
      <formula>$II102&lt;$HX102</formula>
    </cfRule>
  </conditionalFormatting>
  <conditionalFormatting sqref="JB102">
    <cfRule type="expression" dxfId="50" priority="60">
      <formula>$JB102&lt;$IQ102</formula>
    </cfRule>
  </conditionalFormatting>
  <conditionalFormatting sqref="JU102">
    <cfRule type="expression" dxfId="49" priority="61">
      <formula>$JU102&lt;$JJ102</formula>
    </cfRule>
  </conditionalFormatting>
  <conditionalFormatting sqref="KN102">
    <cfRule type="expression" dxfId="48" priority="62">
      <formula>$KN102&lt;$KC102</formula>
    </cfRule>
  </conditionalFormatting>
  <conditionalFormatting sqref="AT103">
    <cfRule type="expression" dxfId="47" priority="47">
      <formula>$AT103&gt;$H103*0.1</formula>
    </cfRule>
  </conditionalFormatting>
  <conditionalFormatting sqref="AX103">
    <cfRule type="expression" dxfId="46" priority="48">
      <formula>$AX103&gt;$I103*0.1</formula>
    </cfRule>
  </conditionalFormatting>
  <conditionalFormatting sqref="BA103">
    <cfRule type="expression" dxfId="45" priority="33">
      <formula>$BA103&lt;$AP103</formula>
    </cfRule>
  </conditionalFormatting>
  <conditionalFormatting sqref="BT103">
    <cfRule type="expression" dxfId="44" priority="34">
      <formula>$BT103&lt;$BI103</formula>
    </cfRule>
  </conditionalFormatting>
  <conditionalFormatting sqref="CM103">
    <cfRule type="expression" dxfId="43" priority="35">
      <formula>$CM103&lt;$CB103</formula>
    </cfRule>
  </conditionalFormatting>
  <conditionalFormatting sqref="DF103">
    <cfRule type="expression" dxfId="42" priority="36">
      <formula>$DF103&lt;$CU103</formula>
    </cfRule>
  </conditionalFormatting>
  <conditionalFormatting sqref="DY103">
    <cfRule type="expression" dxfId="41" priority="37">
      <formula>$DY103&lt;$DN103</formula>
    </cfRule>
  </conditionalFormatting>
  <conditionalFormatting sqref="ER103">
    <cfRule type="expression" dxfId="40" priority="38">
      <formula>$ER103&lt;$EG103</formula>
    </cfRule>
  </conditionalFormatting>
  <conditionalFormatting sqref="FK103">
    <cfRule type="expression" dxfId="39" priority="39">
      <formula>$FK103&lt;$EZ103</formula>
    </cfRule>
  </conditionalFormatting>
  <conditionalFormatting sqref="GD103">
    <cfRule type="expression" dxfId="38" priority="40">
      <formula>$GD103&lt;$FS103</formula>
    </cfRule>
  </conditionalFormatting>
  <conditionalFormatting sqref="GW103">
    <cfRule type="expression" dxfId="37" priority="41">
      <formula>$GW103&lt;$GL103</formula>
    </cfRule>
  </conditionalFormatting>
  <conditionalFormatting sqref="HP103">
    <cfRule type="expression" dxfId="36" priority="42">
      <formula>$HP103&lt;$HE103</formula>
    </cfRule>
  </conditionalFormatting>
  <conditionalFormatting sqref="II103">
    <cfRule type="expression" dxfId="35" priority="43">
      <formula>$II103&lt;$HX103</formula>
    </cfRule>
  </conditionalFormatting>
  <conditionalFormatting sqref="JB103">
    <cfRule type="expression" dxfId="34" priority="44">
      <formula>$JB103&lt;$IQ103</formula>
    </cfRule>
  </conditionalFormatting>
  <conditionalFormatting sqref="JU103">
    <cfRule type="expression" dxfId="33" priority="45">
      <formula>$JU103&lt;$JJ103</formula>
    </cfRule>
  </conditionalFormatting>
  <conditionalFormatting sqref="KN103">
    <cfRule type="expression" dxfId="32" priority="46">
      <formula>$KN103&lt;$KC103</formula>
    </cfRule>
  </conditionalFormatting>
  <conditionalFormatting sqref="AT104">
    <cfRule type="expression" dxfId="31" priority="31">
      <formula>$AT104&gt;$H104*0.1</formula>
    </cfRule>
  </conditionalFormatting>
  <conditionalFormatting sqref="AX104">
    <cfRule type="expression" dxfId="30" priority="32">
      <formula>$AX104&gt;$I104*0.1</formula>
    </cfRule>
  </conditionalFormatting>
  <conditionalFormatting sqref="BA104">
    <cfRule type="expression" dxfId="29" priority="17">
      <formula>$BA104&lt;$AP104</formula>
    </cfRule>
  </conditionalFormatting>
  <conditionalFormatting sqref="BT104">
    <cfRule type="expression" dxfId="28" priority="18">
      <formula>$BT104&lt;$BI104</formula>
    </cfRule>
  </conditionalFormatting>
  <conditionalFormatting sqref="CM104">
    <cfRule type="expression" dxfId="27" priority="19">
      <formula>$CM104&lt;$CB104</formula>
    </cfRule>
  </conditionalFormatting>
  <conditionalFormatting sqref="DF104">
    <cfRule type="expression" dxfId="26" priority="20">
      <formula>$DF104&lt;$CU104</formula>
    </cfRule>
  </conditionalFormatting>
  <conditionalFormatting sqref="DY104">
    <cfRule type="expression" dxfId="25" priority="21">
      <formula>$DY104&lt;$DN104</formula>
    </cfRule>
  </conditionalFormatting>
  <conditionalFormatting sqref="ER104">
    <cfRule type="expression" dxfId="24" priority="22">
      <formula>$ER104&lt;$EG104</formula>
    </cfRule>
  </conditionalFormatting>
  <conditionalFormatting sqref="FK104">
    <cfRule type="expression" dxfId="23" priority="23">
      <formula>$FK104&lt;$EZ104</formula>
    </cfRule>
  </conditionalFormatting>
  <conditionalFormatting sqref="GD104">
    <cfRule type="expression" dxfId="22" priority="24">
      <formula>$GD104&lt;$FS104</formula>
    </cfRule>
  </conditionalFormatting>
  <conditionalFormatting sqref="GW104">
    <cfRule type="expression" dxfId="21" priority="25">
      <formula>$GW104&lt;$GL104</formula>
    </cfRule>
  </conditionalFormatting>
  <conditionalFormatting sqref="HP104">
    <cfRule type="expression" dxfId="20" priority="26">
      <formula>$HP104&lt;$HE104</formula>
    </cfRule>
  </conditionalFormatting>
  <conditionalFormatting sqref="II104">
    <cfRule type="expression" dxfId="19" priority="27">
      <formula>$II104&lt;$HX104</formula>
    </cfRule>
  </conditionalFormatting>
  <conditionalFormatting sqref="JB104">
    <cfRule type="expression" dxfId="18" priority="28">
      <formula>$JB104&lt;$IQ104</formula>
    </cfRule>
  </conditionalFormatting>
  <conditionalFormatting sqref="JU104">
    <cfRule type="expression" dxfId="17" priority="29">
      <formula>$JU104&lt;$JJ104</formula>
    </cfRule>
  </conditionalFormatting>
  <conditionalFormatting sqref="KN104">
    <cfRule type="expression" dxfId="16" priority="30">
      <formula>$KN104&lt;$KC104</formula>
    </cfRule>
  </conditionalFormatting>
  <conditionalFormatting sqref="AT105">
    <cfRule type="expression" dxfId="15" priority="15">
      <formula>$AT105&gt;$H105*0.1</formula>
    </cfRule>
  </conditionalFormatting>
  <conditionalFormatting sqref="AX105">
    <cfRule type="expression" dxfId="14" priority="16">
      <formula>$AX105&gt;$I105*0.1</formula>
    </cfRule>
  </conditionalFormatting>
  <conditionalFormatting sqref="BA105">
    <cfRule type="expression" dxfId="13" priority="1">
      <formula>$BA105&lt;$AP105</formula>
    </cfRule>
  </conditionalFormatting>
  <conditionalFormatting sqref="BT105">
    <cfRule type="expression" dxfId="12" priority="2">
      <formula>$BT105&lt;$BI105</formula>
    </cfRule>
  </conditionalFormatting>
  <conditionalFormatting sqref="CM105">
    <cfRule type="expression" dxfId="11" priority="3">
      <formula>$CM105&lt;$CB105</formula>
    </cfRule>
  </conditionalFormatting>
  <conditionalFormatting sqref="DF105">
    <cfRule type="expression" dxfId="10" priority="4">
      <formula>$DF105&lt;$CU105</formula>
    </cfRule>
  </conditionalFormatting>
  <conditionalFormatting sqref="DY105">
    <cfRule type="expression" dxfId="9" priority="5">
      <formula>$DY105&lt;$DN105</formula>
    </cfRule>
  </conditionalFormatting>
  <conditionalFormatting sqref="ER105">
    <cfRule type="expression" dxfId="8" priority="6">
      <formula>$ER105&lt;$EG105</formula>
    </cfRule>
  </conditionalFormatting>
  <conditionalFormatting sqref="FK105">
    <cfRule type="expression" dxfId="7" priority="7">
      <formula>$FK105&lt;$EZ105</formula>
    </cfRule>
  </conditionalFormatting>
  <conditionalFormatting sqref="GD105">
    <cfRule type="expression" dxfId="6" priority="8">
      <formula>$GD105&lt;$FS105</formula>
    </cfRule>
  </conditionalFormatting>
  <conditionalFormatting sqref="GW105">
    <cfRule type="expression" dxfId="5" priority="9">
      <formula>$GW105&lt;$GL105</formula>
    </cfRule>
  </conditionalFormatting>
  <conditionalFormatting sqref="HP105">
    <cfRule type="expression" dxfId="4" priority="10">
      <formula>$HP105&lt;$HE105</formula>
    </cfRule>
  </conditionalFormatting>
  <conditionalFormatting sqref="II105">
    <cfRule type="expression" dxfId="3" priority="11">
      <formula>$II105&lt;$HX105</formula>
    </cfRule>
  </conditionalFormatting>
  <conditionalFormatting sqref="JB105">
    <cfRule type="expression" dxfId="2" priority="12">
      <formula>$JB105&lt;$IQ105</formula>
    </cfRule>
  </conditionalFormatting>
  <conditionalFormatting sqref="JU105">
    <cfRule type="expression" dxfId="1" priority="13">
      <formula>$JU105&lt;$JJ105</formula>
    </cfRule>
  </conditionalFormatting>
  <conditionalFormatting sqref="KN105">
    <cfRule type="expression" dxfId="0" priority="14">
      <formula>$KN105&lt;$KC105</formula>
    </cfRule>
  </conditionalFormatting>
  <pageMargins left="0.74803149606299213" right="0.74803149606299213" top="0.98425196850393704" bottom="0.98425196850393704" header="0.51181102362204722" footer="0.51181102362204722"/>
  <pageSetup paperSize="9" scale="10" orientation="landscape" r:id="rId1"/>
  <headerFooter alignWithMargins="0">
    <oddHeader>&amp;L&amp;F / &amp;A&amp;C &amp;R&amp;D</oddHeader>
    <oddFooter>&amp;LCONFIDENTIAL&amp;C BARKER JET&amp;RPage &amp;P/&amp;N</oddFooter>
  </headerFooter>
  <rowBreaks count="1" manualBreakCount="1">
    <brk id="179" max="16383" man="1"/>
  </row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M243"/>
  <sheetViews>
    <sheetView topLeftCell="A13" zoomScale="80" zoomScaleNormal="80" workbookViewId="0">
      <pane xSplit="1" ySplit="4" topLeftCell="B107" activePane="bottomRight" state="frozen"/>
      <selection activeCell="N11" sqref="N11"/>
      <selection pane="topRight" activeCell="N11" sqref="N11"/>
      <selection pane="bottomLeft" activeCell="N11" sqref="N11"/>
      <selection pane="bottomRight" activeCell="A16" sqref="A16:AM239"/>
    </sheetView>
  </sheetViews>
  <sheetFormatPr defaultColWidth="9.42578125" defaultRowHeight="15" customHeight="1"/>
  <cols>
    <col min="1" max="1" width="24.42578125" style="643" customWidth="1"/>
    <col min="2" max="2" width="9.5703125" style="637" customWidth="1"/>
    <col min="3" max="18" width="9.5703125" style="602" customWidth="1"/>
    <col min="19" max="19" width="9.5703125" style="680" customWidth="1"/>
    <col min="20" max="27" width="9.5703125" style="602" customWidth="1"/>
    <col min="28" max="32" width="9.42578125" style="602"/>
    <col min="33" max="36" width="9.5703125" style="602" bestFit="1" customWidth="1"/>
    <col min="37" max="37" width="10.5703125" style="602" bestFit="1" customWidth="1"/>
    <col min="38" max="38" width="9.5703125" style="602" bestFit="1" customWidth="1"/>
    <col min="39" max="16384" width="9.42578125" style="602"/>
  </cols>
  <sheetData>
    <row r="1" spans="1:39" ht="15" customHeight="1" thickTop="1">
      <c r="A1" s="744"/>
      <c r="B1" s="653"/>
      <c r="C1" s="729"/>
      <c r="D1" s="745"/>
      <c r="E1" s="746"/>
      <c r="F1" s="747"/>
      <c r="G1" s="747"/>
      <c r="H1" s="747"/>
      <c r="I1" s="747"/>
      <c r="J1" s="652"/>
      <c r="K1" s="652"/>
      <c r="L1" s="652"/>
      <c r="M1" s="652"/>
      <c r="N1" s="652"/>
      <c r="O1" s="652"/>
      <c r="P1" s="652"/>
      <c r="Q1" s="652"/>
      <c r="R1" s="652"/>
      <c r="S1" s="759"/>
      <c r="T1" s="652"/>
      <c r="U1" s="652"/>
      <c r="V1" s="652"/>
      <c r="W1" s="652"/>
      <c r="X1" s="652"/>
      <c r="Y1" s="652"/>
      <c r="Z1" s="652"/>
      <c r="AA1" s="652"/>
      <c r="AB1" s="652"/>
      <c r="AC1" s="652"/>
      <c r="AD1" s="652"/>
      <c r="AE1" s="652"/>
      <c r="AF1" s="652"/>
      <c r="AG1" s="652"/>
      <c r="AH1" s="652"/>
      <c r="AI1" s="652"/>
      <c r="AJ1" s="652"/>
      <c r="AK1" s="652"/>
      <c r="AL1" s="652"/>
      <c r="AM1" s="654"/>
    </row>
    <row r="2" spans="1:39" ht="15" customHeight="1">
      <c r="A2" s="752"/>
      <c r="B2" s="679"/>
      <c r="C2" s="600"/>
      <c r="D2" s="639"/>
      <c r="E2" s="640"/>
      <c r="F2" s="641"/>
      <c r="G2" s="641"/>
      <c r="H2" s="641"/>
      <c r="I2" s="641"/>
      <c r="J2" s="610"/>
      <c r="K2" s="610"/>
      <c r="L2" s="610"/>
      <c r="M2" s="610"/>
      <c r="N2" s="610"/>
      <c r="O2" s="610"/>
      <c r="P2" s="610"/>
      <c r="Q2" s="610"/>
      <c r="R2" s="610"/>
      <c r="S2" s="584"/>
      <c r="T2" s="610"/>
      <c r="U2" s="610"/>
      <c r="V2" s="610"/>
      <c r="W2" s="610"/>
      <c r="X2" s="610"/>
      <c r="Y2" s="610"/>
      <c r="Z2" s="610"/>
      <c r="AA2" s="610"/>
      <c r="AB2" s="610"/>
      <c r="AC2" s="610"/>
      <c r="AD2" s="610"/>
      <c r="AE2" s="610"/>
      <c r="AF2" s="610"/>
      <c r="AG2" s="610"/>
      <c r="AH2" s="610"/>
      <c r="AI2" s="610"/>
      <c r="AJ2" s="610"/>
      <c r="AK2" s="610"/>
      <c r="AL2" s="610"/>
      <c r="AM2" s="735"/>
    </row>
    <row r="3" spans="1:39" ht="15" customHeight="1">
      <c r="A3" s="752"/>
      <c r="B3" s="679"/>
      <c r="C3" s="600"/>
      <c r="D3" s="639"/>
      <c r="E3" s="640"/>
      <c r="F3" s="641"/>
      <c r="G3" s="641"/>
      <c r="H3" s="641"/>
      <c r="I3" s="641"/>
      <c r="J3" s="610"/>
      <c r="K3" s="610"/>
      <c r="L3" s="610"/>
      <c r="M3" s="610"/>
      <c r="N3" s="610"/>
      <c r="O3" s="610"/>
      <c r="P3" s="610"/>
      <c r="Q3" s="610"/>
      <c r="R3" s="610"/>
      <c r="S3" s="584"/>
      <c r="T3" s="610"/>
      <c r="U3" s="610"/>
      <c r="V3" s="610"/>
      <c r="W3" s="610"/>
      <c r="X3" s="610"/>
      <c r="Y3" s="610"/>
      <c r="Z3" s="610"/>
      <c r="AA3" s="610"/>
      <c r="AB3" s="610"/>
      <c r="AC3" s="610"/>
      <c r="AD3" s="610"/>
      <c r="AE3" s="610"/>
      <c r="AF3" s="610"/>
      <c r="AG3" s="610"/>
      <c r="AH3" s="610"/>
      <c r="AI3" s="610"/>
      <c r="AJ3" s="610"/>
      <c r="AK3" s="610"/>
      <c r="AL3" s="610"/>
      <c r="AM3" s="735"/>
    </row>
    <row r="4" spans="1:39" ht="15" customHeight="1">
      <c r="A4" s="752"/>
      <c r="B4" s="679"/>
      <c r="C4" s="600"/>
      <c r="D4" s="639"/>
      <c r="E4" s="640"/>
      <c r="F4" s="641"/>
      <c r="G4" s="641"/>
      <c r="H4" s="641"/>
      <c r="I4" s="641"/>
      <c r="J4" s="610"/>
      <c r="K4" s="610"/>
      <c r="L4" s="610"/>
      <c r="M4" s="610"/>
      <c r="N4" s="610"/>
      <c r="O4" s="610"/>
      <c r="P4" s="610"/>
      <c r="Q4" s="610"/>
      <c r="R4" s="610"/>
      <c r="S4" s="584"/>
      <c r="T4" s="610"/>
      <c r="U4" s="610"/>
      <c r="V4" s="610"/>
      <c r="W4" s="610"/>
      <c r="X4" s="610"/>
      <c r="Y4" s="610"/>
      <c r="Z4" s="610"/>
      <c r="AA4" s="610"/>
      <c r="AB4" s="610"/>
      <c r="AC4" s="610"/>
      <c r="AD4" s="610"/>
      <c r="AE4" s="610"/>
      <c r="AF4" s="610"/>
      <c r="AG4" s="610"/>
      <c r="AH4" s="610"/>
      <c r="AI4" s="610"/>
      <c r="AJ4" s="610"/>
      <c r="AK4" s="610"/>
      <c r="AL4" s="610"/>
      <c r="AM4" s="735"/>
    </row>
    <row r="5" spans="1:39" ht="3" customHeight="1">
      <c r="A5" s="750">
        <v>0</v>
      </c>
      <c r="C5" s="610"/>
      <c r="D5" s="610"/>
      <c r="E5" s="610"/>
      <c r="F5" s="610"/>
      <c r="G5" s="610"/>
      <c r="H5" s="610"/>
      <c r="I5" s="610"/>
      <c r="J5" s="610"/>
      <c r="K5" s="610"/>
      <c r="L5" s="610"/>
      <c r="M5" s="610"/>
      <c r="N5" s="610"/>
      <c r="O5" s="610"/>
      <c r="P5" s="610"/>
      <c r="Q5" s="610"/>
      <c r="R5" s="610"/>
      <c r="S5" s="584"/>
      <c r="T5" s="610"/>
      <c r="U5" s="610"/>
      <c r="V5" s="610"/>
      <c r="W5" s="610"/>
      <c r="X5" s="610"/>
      <c r="Y5" s="610"/>
      <c r="Z5" s="610"/>
      <c r="AA5" s="610"/>
      <c r="AB5" s="610"/>
      <c r="AC5" s="610"/>
      <c r="AD5" s="610"/>
      <c r="AE5" s="610"/>
      <c r="AF5" s="610"/>
      <c r="AG5" s="610"/>
      <c r="AH5" s="610"/>
      <c r="AI5" s="610"/>
      <c r="AJ5" s="610"/>
      <c r="AK5" s="610"/>
      <c r="AL5" s="610"/>
      <c r="AM5" s="735"/>
    </row>
    <row r="6" spans="1:39" ht="3" customHeight="1">
      <c r="A6" s="753"/>
      <c r="B6" s="681"/>
      <c r="C6" s="610"/>
      <c r="D6" s="610"/>
      <c r="E6" s="610"/>
      <c r="F6" s="610"/>
      <c r="G6" s="610"/>
      <c r="H6" s="610"/>
      <c r="I6" s="610"/>
      <c r="J6" s="610"/>
      <c r="K6" s="610"/>
      <c r="L6" s="610"/>
      <c r="M6" s="610"/>
      <c r="N6" s="610"/>
      <c r="O6" s="610"/>
      <c r="P6" s="610"/>
      <c r="Q6" s="610"/>
      <c r="R6" s="610"/>
      <c r="S6" s="584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610"/>
      <c r="AH6" s="610"/>
      <c r="AI6" s="610"/>
      <c r="AJ6" s="610"/>
      <c r="AK6" s="610"/>
      <c r="AL6" s="610"/>
      <c r="AM6" s="735"/>
    </row>
    <row r="7" spans="1:39" ht="3" customHeight="1">
      <c r="A7" s="750"/>
      <c r="C7" s="610"/>
      <c r="D7" s="610"/>
      <c r="E7" s="610"/>
      <c r="F7" s="610"/>
      <c r="G7" s="610"/>
      <c r="H7" s="610"/>
      <c r="I7" s="610"/>
      <c r="J7" s="610"/>
      <c r="K7" s="610"/>
      <c r="L7" s="610"/>
      <c r="M7" s="610"/>
      <c r="N7" s="610"/>
      <c r="O7" s="610"/>
      <c r="P7" s="610"/>
      <c r="Q7" s="610"/>
      <c r="R7" s="610"/>
      <c r="S7" s="584"/>
      <c r="T7" s="610"/>
      <c r="U7" s="610"/>
      <c r="V7" s="610"/>
      <c r="W7" s="610"/>
      <c r="X7" s="610"/>
      <c r="Y7" s="610"/>
      <c r="Z7" s="610"/>
      <c r="AA7" s="610"/>
      <c r="AB7" s="610"/>
      <c r="AC7" s="610"/>
      <c r="AD7" s="610"/>
      <c r="AE7" s="610"/>
      <c r="AF7" s="610"/>
      <c r="AG7" s="610"/>
      <c r="AH7" s="610"/>
      <c r="AI7" s="610"/>
      <c r="AJ7" s="610"/>
      <c r="AK7" s="610"/>
      <c r="AL7" s="610"/>
      <c r="AM7" s="735"/>
    </row>
    <row r="8" spans="1:39" ht="3" customHeight="1">
      <c r="A8" s="750"/>
      <c r="C8" s="610"/>
      <c r="D8" s="610"/>
      <c r="E8" s="610"/>
      <c r="F8" s="610"/>
      <c r="G8" s="610"/>
      <c r="H8" s="610"/>
      <c r="I8" s="610"/>
      <c r="J8" s="610"/>
      <c r="K8" s="610"/>
      <c r="L8" s="610"/>
      <c r="M8" s="610"/>
      <c r="N8" s="610"/>
      <c r="O8" s="610"/>
      <c r="P8" s="610"/>
      <c r="Q8" s="610"/>
      <c r="R8" s="610"/>
      <c r="S8" s="584"/>
      <c r="T8" s="610"/>
      <c r="U8" s="610"/>
      <c r="V8" s="610"/>
      <c r="W8" s="610"/>
      <c r="X8" s="610"/>
      <c r="Y8" s="610"/>
      <c r="Z8" s="610"/>
      <c r="AA8" s="610"/>
      <c r="AB8" s="610"/>
      <c r="AC8" s="610"/>
      <c r="AD8" s="610"/>
      <c r="AE8" s="610"/>
      <c r="AF8" s="610"/>
      <c r="AG8" s="610"/>
      <c r="AH8" s="610"/>
      <c r="AI8" s="610"/>
      <c r="AJ8" s="610"/>
      <c r="AK8" s="610"/>
      <c r="AL8" s="610"/>
      <c r="AM8" s="735"/>
    </row>
    <row r="9" spans="1:39" ht="3" customHeight="1">
      <c r="A9" s="750"/>
      <c r="C9" s="610"/>
      <c r="D9" s="610"/>
      <c r="E9" s="610"/>
      <c r="F9" s="610"/>
      <c r="G9" s="610"/>
      <c r="H9" s="610"/>
      <c r="I9" s="610"/>
      <c r="J9" s="610"/>
      <c r="K9" s="610"/>
      <c r="L9" s="610"/>
      <c r="M9" s="610"/>
      <c r="N9" s="610"/>
      <c r="O9" s="610"/>
      <c r="P9" s="610"/>
      <c r="Q9" s="610"/>
      <c r="R9" s="610"/>
      <c r="S9" s="584"/>
      <c r="T9" s="610"/>
      <c r="U9" s="610"/>
      <c r="V9" s="610"/>
      <c r="W9" s="610"/>
      <c r="X9" s="610"/>
      <c r="Y9" s="610"/>
      <c r="Z9" s="610"/>
      <c r="AA9" s="610"/>
      <c r="AB9" s="610"/>
      <c r="AC9" s="610"/>
      <c r="AD9" s="610"/>
      <c r="AE9" s="610"/>
      <c r="AF9" s="610"/>
      <c r="AG9" s="610"/>
      <c r="AH9" s="610"/>
      <c r="AI9" s="610"/>
      <c r="AJ9" s="610"/>
      <c r="AK9" s="610"/>
      <c r="AL9" s="610"/>
      <c r="AM9" s="735"/>
    </row>
    <row r="10" spans="1:39" ht="3" customHeight="1">
      <c r="A10" s="750"/>
      <c r="C10" s="610"/>
      <c r="D10" s="610"/>
      <c r="E10" s="610"/>
      <c r="F10" s="610"/>
      <c r="G10" s="610"/>
      <c r="H10" s="610"/>
      <c r="I10" s="610"/>
      <c r="J10" s="610"/>
      <c r="K10" s="610"/>
      <c r="L10" s="610"/>
      <c r="M10" s="610"/>
      <c r="N10" s="610"/>
      <c r="O10" s="610"/>
      <c r="P10" s="610"/>
      <c r="Q10" s="610"/>
      <c r="R10" s="610"/>
      <c r="S10" s="584"/>
      <c r="T10" s="610"/>
      <c r="U10" s="610"/>
      <c r="V10" s="610"/>
      <c r="W10" s="610"/>
      <c r="X10" s="610"/>
      <c r="Y10" s="610"/>
      <c r="Z10" s="610"/>
      <c r="AA10" s="610"/>
      <c r="AB10" s="610"/>
      <c r="AC10" s="610"/>
      <c r="AD10" s="610"/>
      <c r="AE10" s="610"/>
      <c r="AF10" s="610"/>
      <c r="AG10" s="610"/>
      <c r="AH10" s="610"/>
      <c r="AI10" s="610"/>
      <c r="AJ10" s="610"/>
      <c r="AK10" s="610"/>
      <c r="AL10" s="610"/>
      <c r="AM10" s="735"/>
    </row>
    <row r="11" spans="1:39" ht="3" customHeight="1">
      <c r="A11" s="752"/>
      <c r="B11" s="679"/>
      <c r="C11" s="610"/>
      <c r="D11" s="610"/>
      <c r="E11" s="610"/>
      <c r="F11" s="610"/>
      <c r="G11" s="610"/>
      <c r="H11" s="610"/>
      <c r="I11" s="610"/>
      <c r="J11" s="610"/>
      <c r="K11" s="610"/>
      <c r="L11" s="610"/>
      <c r="M11" s="610"/>
      <c r="N11" s="610"/>
      <c r="O11" s="610"/>
      <c r="P11" s="610"/>
      <c r="Q11" s="610"/>
      <c r="R11" s="610"/>
      <c r="S11" s="584"/>
      <c r="T11" s="610"/>
      <c r="U11" s="610"/>
      <c r="V11" s="610"/>
      <c r="W11" s="610"/>
      <c r="X11" s="610"/>
      <c r="Y11" s="610"/>
      <c r="Z11" s="610"/>
      <c r="AA11" s="610"/>
      <c r="AB11" s="610"/>
      <c r="AC11" s="610"/>
      <c r="AD11" s="610"/>
      <c r="AE11" s="610"/>
      <c r="AF11" s="610"/>
      <c r="AG11" s="610"/>
      <c r="AH11" s="610"/>
      <c r="AI11" s="610"/>
      <c r="AJ11" s="610"/>
      <c r="AK11" s="610"/>
      <c r="AL11" s="610"/>
      <c r="AM11" s="735"/>
    </row>
    <row r="12" spans="1:39" ht="15" customHeight="1" thickBot="1">
      <c r="A12" s="750"/>
      <c r="C12" s="610"/>
      <c r="D12" s="610"/>
      <c r="E12" s="610"/>
      <c r="F12" s="610"/>
      <c r="G12" s="610"/>
      <c r="H12" s="610"/>
      <c r="I12" s="610"/>
      <c r="J12" s="610"/>
      <c r="K12" s="610"/>
      <c r="L12" s="610"/>
      <c r="M12" s="610"/>
      <c r="N12" s="610"/>
      <c r="O12" s="610"/>
      <c r="P12" s="610"/>
      <c r="Q12" s="610"/>
      <c r="R12" s="610"/>
      <c r="S12" s="584"/>
      <c r="T12" s="610"/>
      <c r="U12" s="610"/>
      <c r="V12" s="610"/>
      <c r="W12" s="610"/>
      <c r="X12" s="610"/>
      <c r="Y12" s="610"/>
      <c r="Z12" s="610"/>
      <c r="AA12" s="610"/>
      <c r="AB12" s="610"/>
      <c r="AC12" s="610"/>
      <c r="AD12" s="610"/>
      <c r="AE12" s="610"/>
      <c r="AF12" s="610"/>
      <c r="AG12" s="610"/>
      <c r="AH12" s="610"/>
      <c r="AI12" s="610"/>
      <c r="AJ12" s="610"/>
      <c r="AK12" s="610"/>
      <c r="AL12" s="610"/>
      <c r="AM12" s="735"/>
    </row>
    <row r="13" spans="1:39" ht="15" customHeight="1" thickTop="1">
      <c r="A13" s="651">
        <v>1</v>
      </c>
      <c r="B13" s="613">
        <f>A13+1</f>
        <v>2</v>
      </c>
      <c r="C13" s="613">
        <f t="shared" ref="C13:AM13" si="0">B13+1</f>
        <v>3</v>
      </c>
      <c r="D13" s="613">
        <f t="shared" si="0"/>
        <v>4</v>
      </c>
      <c r="E13" s="613">
        <f t="shared" si="0"/>
        <v>5</v>
      </c>
      <c r="F13" s="613">
        <f t="shared" si="0"/>
        <v>6</v>
      </c>
      <c r="G13" s="613">
        <f t="shared" si="0"/>
        <v>7</v>
      </c>
      <c r="H13" s="613">
        <f t="shared" si="0"/>
        <v>8</v>
      </c>
      <c r="I13" s="613">
        <f t="shared" si="0"/>
        <v>9</v>
      </c>
      <c r="J13" s="613">
        <f t="shared" si="0"/>
        <v>10</v>
      </c>
      <c r="K13" s="613">
        <f t="shared" si="0"/>
        <v>11</v>
      </c>
      <c r="L13" s="613">
        <f t="shared" si="0"/>
        <v>12</v>
      </c>
      <c r="M13" s="613">
        <f t="shared" si="0"/>
        <v>13</v>
      </c>
      <c r="N13" s="613">
        <f t="shared" si="0"/>
        <v>14</v>
      </c>
      <c r="O13" s="613">
        <f t="shared" si="0"/>
        <v>15</v>
      </c>
      <c r="P13" s="613">
        <f t="shared" si="0"/>
        <v>16</v>
      </c>
      <c r="Q13" s="613">
        <f t="shared" si="0"/>
        <v>17</v>
      </c>
      <c r="R13" s="613">
        <f t="shared" si="0"/>
        <v>18</v>
      </c>
      <c r="S13" s="613">
        <f t="shared" si="0"/>
        <v>19</v>
      </c>
      <c r="T13" s="613">
        <f t="shared" si="0"/>
        <v>20</v>
      </c>
      <c r="U13" s="613">
        <f t="shared" si="0"/>
        <v>21</v>
      </c>
      <c r="V13" s="613">
        <f t="shared" si="0"/>
        <v>22</v>
      </c>
      <c r="W13" s="613">
        <f t="shared" si="0"/>
        <v>23</v>
      </c>
      <c r="X13" s="613">
        <f t="shared" si="0"/>
        <v>24</v>
      </c>
      <c r="Y13" s="613">
        <f t="shared" si="0"/>
        <v>25</v>
      </c>
      <c r="Z13" s="613">
        <f t="shared" si="0"/>
        <v>26</v>
      </c>
      <c r="AA13" s="613">
        <f t="shared" si="0"/>
        <v>27</v>
      </c>
      <c r="AB13" s="613">
        <f t="shared" si="0"/>
        <v>28</v>
      </c>
      <c r="AC13" s="613">
        <f t="shared" si="0"/>
        <v>29</v>
      </c>
      <c r="AD13" s="613">
        <f t="shared" si="0"/>
        <v>30</v>
      </c>
      <c r="AE13" s="613">
        <f t="shared" si="0"/>
        <v>31</v>
      </c>
      <c r="AF13" s="613">
        <f t="shared" si="0"/>
        <v>32</v>
      </c>
      <c r="AG13" s="613">
        <f t="shared" si="0"/>
        <v>33</v>
      </c>
      <c r="AH13" s="613">
        <f t="shared" si="0"/>
        <v>34</v>
      </c>
      <c r="AI13" s="613">
        <f t="shared" si="0"/>
        <v>35</v>
      </c>
      <c r="AJ13" s="613">
        <f t="shared" si="0"/>
        <v>36</v>
      </c>
      <c r="AK13" s="613">
        <f t="shared" si="0"/>
        <v>37</v>
      </c>
      <c r="AL13" s="613">
        <f t="shared" si="0"/>
        <v>38</v>
      </c>
      <c r="AM13" s="738">
        <f t="shared" si="0"/>
        <v>39</v>
      </c>
    </row>
    <row r="14" spans="1:39" ht="15" customHeight="1">
      <c r="A14" s="614" t="s">
        <v>1008</v>
      </c>
      <c r="C14" s="765"/>
      <c r="D14" s="610"/>
      <c r="E14" s="610"/>
      <c r="F14" s="610"/>
      <c r="G14" s="610"/>
      <c r="H14" s="610"/>
      <c r="I14" s="610"/>
      <c r="J14" s="610"/>
      <c r="K14" s="610"/>
      <c r="L14" s="610"/>
      <c r="M14" s="765"/>
      <c r="N14" s="610"/>
      <c r="O14" s="610"/>
      <c r="P14" s="610"/>
      <c r="Q14" s="610"/>
      <c r="R14" s="610"/>
      <c r="S14" s="584"/>
      <c r="T14" s="610"/>
      <c r="U14" s="610"/>
      <c r="V14" s="610"/>
      <c r="W14" s="765"/>
      <c r="Y14" s="610"/>
      <c r="Z14" s="610"/>
      <c r="AA14" s="610"/>
      <c r="AB14" s="610"/>
      <c r="AC14" s="610"/>
      <c r="AD14" s="610"/>
      <c r="AE14" s="610"/>
      <c r="AF14" s="610"/>
      <c r="AG14" s="610"/>
      <c r="AH14" s="610"/>
      <c r="AI14" s="610"/>
      <c r="AJ14" s="610"/>
      <c r="AK14" s="610"/>
      <c r="AL14" s="610"/>
      <c r="AM14" s="735"/>
    </row>
    <row r="15" spans="1:39" ht="15" customHeight="1" thickBot="1">
      <c r="A15" s="785"/>
      <c r="B15" s="645"/>
      <c r="C15" s="764"/>
      <c r="D15" s="645"/>
      <c r="E15" s="645"/>
      <c r="F15" s="645"/>
      <c r="G15" s="645"/>
      <c r="H15" s="645"/>
      <c r="I15" s="645"/>
      <c r="J15" s="645"/>
      <c r="K15" s="645"/>
      <c r="L15" s="645"/>
      <c r="M15" s="764"/>
      <c r="N15" s="645"/>
      <c r="O15" s="645"/>
      <c r="P15" s="645"/>
      <c r="Q15" s="645"/>
      <c r="R15" s="645"/>
      <c r="S15" s="645"/>
      <c r="T15" s="645"/>
      <c r="U15" s="645"/>
      <c r="V15" s="645"/>
      <c r="W15" s="764"/>
      <c r="Y15" s="760"/>
      <c r="Z15" s="760"/>
      <c r="AA15" s="760"/>
      <c r="AB15" s="760"/>
      <c r="AC15" s="645"/>
      <c r="AD15" s="645"/>
      <c r="AE15" s="645"/>
      <c r="AF15" s="645"/>
      <c r="AG15" s="761"/>
      <c r="AH15" s="761"/>
      <c r="AI15" s="761"/>
      <c r="AJ15" s="761"/>
      <c r="AK15" s="761"/>
      <c r="AL15" s="761"/>
      <c r="AM15" s="739"/>
    </row>
    <row r="16" spans="1:39" s="621" customFormat="1" ht="60" customHeight="1" thickBot="1">
      <c r="A16" s="822" t="s">
        <v>1656</v>
      </c>
      <c r="B16" s="579" t="s">
        <v>647</v>
      </c>
      <c r="C16" s="579" t="s">
        <v>648</v>
      </c>
      <c r="D16" s="579" t="s">
        <v>649</v>
      </c>
      <c r="E16" s="579" t="s">
        <v>650</v>
      </c>
      <c r="F16" s="579" t="s">
        <v>651</v>
      </c>
      <c r="G16" s="579" t="s">
        <v>652</v>
      </c>
      <c r="H16" s="579" t="s">
        <v>653</v>
      </c>
      <c r="I16" s="579" t="s">
        <v>671</v>
      </c>
      <c r="J16" s="579" t="s">
        <v>672</v>
      </c>
      <c r="K16" s="579" t="s">
        <v>673</v>
      </c>
      <c r="L16" s="579" t="s">
        <v>674</v>
      </c>
      <c r="M16" s="579" t="s">
        <v>654</v>
      </c>
      <c r="N16" s="579" t="s">
        <v>655</v>
      </c>
      <c r="O16" s="579" t="s">
        <v>656</v>
      </c>
      <c r="P16" s="579" t="s">
        <v>657</v>
      </c>
      <c r="Q16" s="579" t="s">
        <v>658</v>
      </c>
      <c r="R16" s="579" t="s">
        <v>659</v>
      </c>
      <c r="S16" s="579" t="s">
        <v>720</v>
      </c>
      <c r="T16" s="580" t="s">
        <v>721</v>
      </c>
      <c r="U16" s="579" t="s">
        <v>722</v>
      </c>
      <c r="V16" s="579" t="s">
        <v>723</v>
      </c>
      <c r="W16" s="579" t="s">
        <v>660</v>
      </c>
      <c r="X16" s="579" t="s">
        <v>661</v>
      </c>
      <c r="Y16" s="579" t="s">
        <v>724</v>
      </c>
      <c r="Z16" s="579" t="s">
        <v>662</v>
      </c>
      <c r="AA16" s="579" t="s">
        <v>663</v>
      </c>
      <c r="AB16" s="579" t="s">
        <v>664</v>
      </c>
      <c r="AC16" s="780" t="s">
        <v>725</v>
      </c>
      <c r="AD16" s="780" t="s">
        <v>726</v>
      </c>
      <c r="AE16" s="780" t="s">
        <v>727</v>
      </c>
      <c r="AF16" s="780" t="s">
        <v>728</v>
      </c>
      <c r="AG16" s="579" t="s">
        <v>665</v>
      </c>
      <c r="AH16" s="579" t="s">
        <v>666</v>
      </c>
      <c r="AI16" s="579" t="s">
        <v>667</v>
      </c>
      <c r="AJ16" s="579" t="s">
        <v>668</v>
      </c>
      <c r="AK16" s="579" t="s">
        <v>669</v>
      </c>
      <c r="AL16" s="579" t="s">
        <v>670</v>
      </c>
      <c r="AM16" s="762" t="s">
        <v>1583</v>
      </c>
    </row>
    <row r="17" spans="1:39" ht="15" customHeight="1" thickBot="1">
      <c r="A17" s="661" t="s">
        <v>794</v>
      </c>
      <c r="B17" s="582">
        <v>0</v>
      </c>
      <c r="C17" s="582">
        <v>0</v>
      </c>
      <c r="D17" s="582">
        <v>0</v>
      </c>
      <c r="E17" s="582">
        <v>0</v>
      </c>
      <c r="F17" s="582">
        <v>0</v>
      </c>
      <c r="G17" s="582">
        <v>0</v>
      </c>
      <c r="H17" s="582">
        <v>0</v>
      </c>
      <c r="I17" s="582">
        <v>0</v>
      </c>
      <c r="J17" s="582">
        <v>0</v>
      </c>
      <c r="K17" s="582">
        <v>0</v>
      </c>
      <c r="L17" s="582">
        <v>0</v>
      </c>
      <c r="M17" s="582">
        <v>0</v>
      </c>
      <c r="N17" s="582">
        <v>0</v>
      </c>
      <c r="O17" s="582">
        <v>0</v>
      </c>
      <c r="P17" s="582">
        <v>0</v>
      </c>
      <c r="Q17" s="582">
        <v>0</v>
      </c>
      <c r="R17" s="582">
        <v>0</v>
      </c>
      <c r="S17" s="582">
        <v>0</v>
      </c>
      <c r="T17" s="582">
        <v>0</v>
      </c>
      <c r="U17" s="582">
        <v>0</v>
      </c>
      <c r="V17" s="582">
        <v>0</v>
      </c>
      <c r="W17" s="582">
        <v>0</v>
      </c>
      <c r="X17" s="582">
        <v>0</v>
      </c>
      <c r="Y17" s="582">
        <v>0</v>
      </c>
      <c r="Z17" s="582">
        <v>0</v>
      </c>
      <c r="AA17" s="582">
        <v>0</v>
      </c>
      <c r="AB17" s="582">
        <v>0</v>
      </c>
      <c r="AC17" s="582">
        <v>0</v>
      </c>
      <c r="AD17" s="582">
        <v>0</v>
      </c>
      <c r="AE17" s="582">
        <v>0</v>
      </c>
      <c r="AF17" s="582">
        <v>0</v>
      </c>
      <c r="AG17" s="770">
        <v>0</v>
      </c>
      <c r="AH17" s="582">
        <v>0</v>
      </c>
      <c r="AI17" s="582">
        <v>0</v>
      </c>
      <c r="AJ17" s="582">
        <v>0</v>
      </c>
      <c r="AK17" s="582">
        <v>0</v>
      </c>
      <c r="AL17" s="582">
        <v>0</v>
      </c>
      <c r="AM17" s="763">
        <v>0</v>
      </c>
    </row>
    <row r="18" spans="1:39" ht="15" customHeight="1">
      <c r="A18" s="663" t="s">
        <v>795</v>
      </c>
      <c r="B18" s="682">
        <v>2400</v>
      </c>
      <c r="C18" s="682">
        <v>350</v>
      </c>
      <c r="D18" s="682">
        <v>338.35</v>
      </c>
      <c r="E18" s="682">
        <v>305</v>
      </c>
      <c r="F18" s="682">
        <v>264.60000000000002</v>
      </c>
      <c r="G18" s="682">
        <v>213.4</v>
      </c>
      <c r="H18" s="682">
        <v>150</v>
      </c>
      <c r="I18" s="682">
        <v>150</v>
      </c>
      <c r="J18" s="682">
        <v>150</v>
      </c>
      <c r="K18" s="682">
        <v>150</v>
      </c>
      <c r="L18" s="682">
        <v>150</v>
      </c>
      <c r="M18" s="682">
        <v>3200</v>
      </c>
      <c r="N18" s="682">
        <v>4874.1896762436299</v>
      </c>
      <c r="O18" s="682">
        <v>6400</v>
      </c>
      <c r="P18" s="682">
        <v>7622.6111011909798</v>
      </c>
      <c r="Q18" s="682">
        <v>8790.1055881030206</v>
      </c>
      <c r="R18" s="682">
        <v>10000</v>
      </c>
      <c r="S18" s="682">
        <v>10000</v>
      </c>
      <c r="T18" s="682">
        <v>10000</v>
      </c>
      <c r="U18" s="682">
        <v>10000</v>
      </c>
      <c r="V18" s="682">
        <v>10000</v>
      </c>
      <c r="W18" s="683">
        <v>0.67801481481481496</v>
      </c>
      <c r="X18" s="683">
        <v>0.81684488023826396</v>
      </c>
      <c r="Y18" s="683">
        <v>0.85767311827957005</v>
      </c>
      <c r="Z18" s="683">
        <v>0.82007292680588495</v>
      </c>
      <c r="AA18" s="683">
        <v>0.73000215389837797</v>
      </c>
      <c r="AB18" s="683">
        <v>0.58374999999999999</v>
      </c>
      <c r="AC18" s="683">
        <v>0.58374999999999999</v>
      </c>
      <c r="AD18" s="683">
        <v>0.58374999999999999</v>
      </c>
      <c r="AE18" s="683">
        <v>0.58374999999999999</v>
      </c>
      <c r="AF18" s="683">
        <v>0.58374999999999999</v>
      </c>
      <c r="AG18" s="790">
        <v>3600</v>
      </c>
      <c r="AH18" s="781">
        <v>700</v>
      </c>
      <c r="AI18" s="781">
        <v>787.5</v>
      </c>
      <c r="AJ18" s="781">
        <v>12.76041666666667</v>
      </c>
      <c r="AK18" s="781">
        <v>15000</v>
      </c>
      <c r="AL18" s="781">
        <v>933.33333333333337</v>
      </c>
      <c r="AM18" s="819">
        <v>0.85767311827957005</v>
      </c>
    </row>
    <row r="19" spans="1:39" ht="15" customHeight="1">
      <c r="A19" s="663" t="s">
        <v>796</v>
      </c>
      <c r="B19" s="682">
        <v>2500</v>
      </c>
      <c r="C19" s="682">
        <v>665</v>
      </c>
      <c r="D19" s="682">
        <v>660</v>
      </c>
      <c r="E19" s="682">
        <v>635</v>
      </c>
      <c r="F19" s="682">
        <v>595</v>
      </c>
      <c r="G19" s="682">
        <v>500</v>
      </c>
      <c r="H19" s="682">
        <v>350</v>
      </c>
      <c r="I19" s="682">
        <v>350</v>
      </c>
      <c r="J19" s="682">
        <v>350</v>
      </c>
      <c r="K19" s="682">
        <v>350</v>
      </c>
      <c r="L19" s="682">
        <v>350</v>
      </c>
      <c r="M19" s="682">
        <v>3235</v>
      </c>
      <c r="N19" s="682">
        <v>5315</v>
      </c>
      <c r="O19" s="682">
        <v>7170</v>
      </c>
      <c r="P19" s="682">
        <v>8730</v>
      </c>
      <c r="Q19" s="682">
        <v>10875</v>
      </c>
      <c r="R19" s="682">
        <v>13170</v>
      </c>
      <c r="S19" s="682">
        <v>13170</v>
      </c>
      <c r="T19" s="682">
        <v>13170</v>
      </c>
      <c r="U19" s="682">
        <v>13170</v>
      </c>
      <c r="V19" s="682">
        <v>13170</v>
      </c>
      <c r="W19" s="683">
        <v>0.58604316458333305</v>
      </c>
      <c r="X19" s="683">
        <v>0.73508494230769195</v>
      </c>
      <c r="Y19" s="683">
        <v>0.80019320161290297</v>
      </c>
      <c r="Z19" s="683">
        <v>0.81793497832369899</v>
      </c>
      <c r="AA19" s="683">
        <v>0.75962339743589702</v>
      </c>
      <c r="AB19" s="683">
        <v>0.59795458333333296</v>
      </c>
      <c r="AC19" s="683">
        <v>0.59795458333333296</v>
      </c>
      <c r="AD19" s="683">
        <v>0.59795458333333296</v>
      </c>
      <c r="AE19" s="683">
        <v>0.59795458333333296</v>
      </c>
      <c r="AF19" s="683">
        <v>0.59795458333333296</v>
      </c>
      <c r="AG19" s="790">
        <v>3600</v>
      </c>
      <c r="AH19" s="781">
        <v>700</v>
      </c>
      <c r="AI19" s="781">
        <v>1378.944</v>
      </c>
      <c r="AJ19" s="781">
        <v>27.440000000000005</v>
      </c>
      <c r="AK19" s="781">
        <v>18964.8</v>
      </c>
      <c r="AL19" s="781">
        <v>905.80000000000007</v>
      </c>
      <c r="AM19" s="819">
        <v>0.81793497832369899</v>
      </c>
    </row>
    <row r="20" spans="1:39" ht="15" customHeight="1">
      <c r="A20" s="663" t="s">
        <v>797</v>
      </c>
      <c r="B20" s="682">
        <v>2500</v>
      </c>
      <c r="C20" s="682">
        <v>615</v>
      </c>
      <c r="D20" s="682">
        <v>585</v>
      </c>
      <c r="E20" s="682">
        <v>545</v>
      </c>
      <c r="F20" s="682">
        <v>495</v>
      </c>
      <c r="G20" s="682">
        <v>396</v>
      </c>
      <c r="H20" s="682">
        <v>280</v>
      </c>
      <c r="I20" s="682">
        <v>280</v>
      </c>
      <c r="J20" s="682">
        <v>280</v>
      </c>
      <c r="K20" s="682">
        <v>280</v>
      </c>
      <c r="L20" s="682">
        <v>280</v>
      </c>
      <c r="M20" s="682">
        <v>6860</v>
      </c>
      <c r="N20" s="682">
        <v>9000</v>
      </c>
      <c r="O20" s="682">
        <v>11275</v>
      </c>
      <c r="P20" s="682">
        <v>13450</v>
      </c>
      <c r="Q20" s="682">
        <v>16616.290199680599</v>
      </c>
      <c r="R20" s="682">
        <v>19625</v>
      </c>
      <c r="S20" s="682">
        <v>19625</v>
      </c>
      <c r="T20" s="682">
        <v>19625</v>
      </c>
      <c r="U20" s="682">
        <v>19625</v>
      </c>
      <c r="V20" s="682">
        <v>19625</v>
      </c>
      <c r="W20" s="683">
        <v>0.77134139261745005</v>
      </c>
      <c r="X20" s="683">
        <v>0.82905997109826601</v>
      </c>
      <c r="Y20" s="683">
        <v>0.87185748155382004</v>
      </c>
      <c r="Z20" s="683">
        <v>0.851493926056338</v>
      </c>
      <c r="AA20" s="683">
        <v>0.75954048214870296</v>
      </c>
      <c r="AB20" s="683">
        <v>0.63429219632768397</v>
      </c>
      <c r="AC20" s="683">
        <v>0.63429219632768397</v>
      </c>
      <c r="AD20" s="683">
        <v>0.63429219632768397</v>
      </c>
      <c r="AE20" s="683">
        <v>0.63429219632768397</v>
      </c>
      <c r="AF20" s="683">
        <v>0.63429219632768397</v>
      </c>
      <c r="AG20" s="790">
        <v>3600</v>
      </c>
      <c r="AH20" s="781">
        <v>700</v>
      </c>
      <c r="AI20" s="781">
        <v>1275.2639999999999</v>
      </c>
      <c r="AJ20" s="781">
        <v>21.952000000000002</v>
      </c>
      <c r="AK20" s="781">
        <v>28260</v>
      </c>
      <c r="AL20" s="781">
        <v>1920.8000000000002</v>
      </c>
      <c r="AM20" s="819">
        <v>0.87185748155382004</v>
      </c>
    </row>
    <row r="21" spans="1:39" ht="15" customHeight="1">
      <c r="A21" s="663" t="s">
        <v>798</v>
      </c>
      <c r="B21" s="682">
        <v>2400</v>
      </c>
      <c r="C21" s="682">
        <v>465</v>
      </c>
      <c r="D21" s="682">
        <v>464.6</v>
      </c>
      <c r="E21" s="682">
        <v>440</v>
      </c>
      <c r="F21" s="682">
        <v>400.95</v>
      </c>
      <c r="G21" s="682">
        <v>343</v>
      </c>
      <c r="H21" s="682">
        <v>270</v>
      </c>
      <c r="I21" s="682">
        <v>270</v>
      </c>
      <c r="J21" s="682">
        <v>270</v>
      </c>
      <c r="K21" s="682">
        <v>270</v>
      </c>
      <c r="L21" s="682">
        <v>270</v>
      </c>
      <c r="M21" s="682">
        <v>5000</v>
      </c>
      <c r="N21" s="682">
        <v>10049.8756211209</v>
      </c>
      <c r="O21" s="682">
        <v>14200</v>
      </c>
      <c r="P21" s="682">
        <v>17760.525752353198</v>
      </c>
      <c r="Q21" s="682">
        <v>21036.426740299801</v>
      </c>
      <c r="R21" s="682">
        <v>24250</v>
      </c>
      <c r="S21" s="682">
        <v>24250</v>
      </c>
      <c r="T21" s="682">
        <v>24250</v>
      </c>
      <c r="U21" s="682">
        <v>24250</v>
      </c>
      <c r="V21" s="682">
        <v>24250</v>
      </c>
      <c r="W21" s="683">
        <v>0.39585546874999999</v>
      </c>
      <c r="X21" s="683">
        <v>0.61151938967024699</v>
      </c>
      <c r="Y21" s="683">
        <v>0.72737578347578402</v>
      </c>
      <c r="Z21" s="683">
        <v>0.78538527916758505</v>
      </c>
      <c r="AA21" s="683">
        <v>0.79579794540538895</v>
      </c>
      <c r="AB21" s="683">
        <v>0.76224278846153903</v>
      </c>
      <c r="AC21" s="683">
        <v>0.76224278846153903</v>
      </c>
      <c r="AD21" s="683">
        <v>0.76224278846153903</v>
      </c>
      <c r="AE21" s="683">
        <v>0.76224278846153903</v>
      </c>
      <c r="AF21" s="683">
        <v>0.76224278846153903</v>
      </c>
      <c r="AG21" s="790">
        <v>3600</v>
      </c>
      <c r="AH21" s="781">
        <v>700</v>
      </c>
      <c r="AI21" s="781">
        <v>1046.25</v>
      </c>
      <c r="AJ21" s="781">
        <v>22.968750000000004</v>
      </c>
      <c r="AK21" s="781">
        <v>36375</v>
      </c>
      <c r="AL21" s="781">
        <v>1458.3333333333335</v>
      </c>
      <c r="AM21" s="819">
        <v>0.79579794540538895</v>
      </c>
    </row>
    <row r="22" spans="1:39" ht="15" customHeight="1">
      <c r="A22" s="663" t="s">
        <v>799</v>
      </c>
      <c r="B22" s="682">
        <v>2400</v>
      </c>
      <c r="C22" s="682">
        <v>465</v>
      </c>
      <c r="D22" s="682">
        <v>464.6</v>
      </c>
      <c r="E22" s="682">
        <v>440</v>
      </c>
      <c r="F22" s="682">
        <v>400.95</v>
      </c>
      <c r="G22" s="682">
        <v>343</v>
      </c>
      <c r="H22" s="682">
        <v>270</v>
      </c>
      <c r="I22" s="682">
        <v>270</v>
      </c>
      <c r="J22" s="682">
        <v>270</v>
      </c>
      <c r="K22" s="682">
        <v>270</v>
      </c>
      <c r="L22" s="682">
        <v>270</v>
      </c>
      <c r="M22" s="682">
        <v>5000</v>
      </c>
      <c r="N22" s="682">
        <v>10049.8756211209</v>
      </c>
      <c r="O22" s="682">
        <v>14200</v>
      </c>
      <c r="P22" s="682">
        <v>17760.525752353198</v>
      </c>
      <c r="Q22" s="682">
        <v>21036.426740299801</v>
      </c>
      <c r="R22" s="682">
        <v>24250</v>
      </c>
      <c r="S22" s="682">
        <v>24250</v>
      </c>
      <c r="T22" s="682">
        <v>24250</v>
      </c>
      <c r="U22" s="682">
        <v>24250</v>
      </c>
      <c r="V22" s="682">
        <v>24250</v>
      </c>
      <c r="W22" s="683">
        <v>0.39585546874999999</v>
      </c>
      <c r="X22" s="683">
        <v>0.61151938967024699</v>
      </c>
      <c r="Y22" s="683">
        <v>0.72737578347578402</v>
      </c>
      <c r="Z22" s="683">
        <v>0.78538527916758505</v>
      </c>
      <c r="AA22" s="683">
        <v>0.79579794540538895</v>
      </c>
      <c r="AB22" s="683">
        <v>0.76224278846153903</v>
      </c>
      <c r="AC22" s="683">
        <v>0.76224278846153903</v>
      </c>
      <c r="AD22" s="683">
        <v>0.76224278846153903</v>
      </c>
      <c r="AE22" s="683">
        <v>0.76224278846153903</v>
      </c>
      <c r="AF22" s="683">
        <v>0.76224278846153903</v>
      </c>
      <c r="AG22" s="790">
        <v>3600</v>
      </c>
      <c r="AH22" s="781">
        <v>700</v>
      </c>
      <c r="AI22" s="781">
        <v>1046.25</v>
      </c>
      <c r="AJ22" s="781">
        <v>22.968750000000004</v>
      </c>
      <c r="AK22" s="781">
        <v>36375</v>
      </c>
      <c r="AL22" s="781">
        <v>1458.3333333333335</v>
      </c>
      <c r="AM22" s="819">
        <v>0.79579794540538895</v>
      </c>
    </row>
    <row r="23" spans="1:39" ht="15" customHeight="1">
      <c r="A23" s="663" t="s">
        <v>800</v>
      </c>
      <c r="B23" s="682">
        <v>0</v>
      </c>
      <c r="C23" s="682">
        <v>0</v>
      </c>
      <c r="D23" s="682">
        <v>0</v>
      </c>
      <c r="E23" s="682">
        <v>0</v>
      </c>
      <c r="F23" s="682">
        <v>0</v>
      </c>
      <c r="G23" s="682">
        <v>0</v>
      </c>
      <c r="H23" s="682">
        <v>0</v>
      </c>
      <c r="I23" s="682">
        <v>0</v>
      </c>
      <c r="J23" s="682">
        <v>0</v>
      </c>
      <c r="K23" s="682">
        <v>0</v>
      </c>
      <c r="L23" s="682">
        <v>0</v>
      </c>
      <c r="M23" s="682">
        <v>0</v>
      </c>
      <c r="N23" s="682">
        <v>0</v>
      </c>
      <c r="O23" s="682">
        <v>0</v>
      </c>
      <c r="P23" s="682">
        <v>0</v>
      </c>
      <c r="Q23" s="682">
        <v>0</v>
      </c>
      <c r="R23" s="682">
        <v>0</v>
      </c>
      <c r="S23" s="682">
        <v>0</v>
      </c>
      <c r="T23" s="682">
        <v>0</v>
      </c>
      <c r="U23" s="682">
        <v>0</v>
      </c>
      <c r="V23" s="682">
        <v>0</v>
      </c>
      <c r="W23" s="683">
        <v>0</v>
      </c>
      <c r="X23" s="683">
        <v>0</v>
      </c>
      <c r="Y23" s="683">
        <v>0</v>
      </c>
      <c r="Z23" s="683">
        <v>0</v>
      </c>
      <c r="AA23" s="683">
        <v>0</v>
      </c>
      <c r="AB23" s="683">
        <v>0</v>
      </c>
      <c r="AC23" s="683">
        <v>0</v>
      </c>
      <c r="AD23" s="683">
        <v>0</v>
      </c>
      <c r="AE23" s="683">
        <v>0</v>
      </c>
      <c r="AF23" s="683">
        <v>0</v>
      </c>
      <c r="AG23" s="790">
        <v>3600</v>
      </c>
      <c r="AH23" s="781">
        <v>0</v>
      </c>
      <c r="AI23" s="781">
        <v>0</v>
      </c>
      <c r="AJ23" s="781">
        <v>0</v>
      </c>
      <c r="AK23" s="781">
        <v>0</v>
      </c>
      <c r="AL23" s="781">
        <v>0</v>
      </c>
      <c r="AM23" s="819">
        <v>0</v>
      </c>
    </row>
    <row r="24" spans="1:39" ht="15" customHeight="1">
      <c r="A24" s="663" t="s">
        <v>801</v>
      </c>
      <c r="B24" s="682">
        <v>2400</v>
      </c>
      <c r="C24" s="682">
        <v>820</v>
      </c>
      <c r="D24" s="682">
        <v>790</v>
      </c>
      <c r="E24" s="682">
        <v>730</v>
      </c>
      <c r="F24" s="682">
        <v>640</v>
      </c>
      <c r="G24" s="682">
        <v>525</v>
      </c>
      <c r="H24" s="682">
        <v>395</v>
      </c>
      <c r="I24" s="682">
        <v>395</v>
      </c>
      <c r="J24" s="682">
        <v>395</v>
      </c>
      <c r="K24" s="682">
        <v>395</v>
      </c>
      <c r="L24" s="682">
        <v>395</v>
      </c>
      <c r="M24" s="682">
        <v>7290</v>
      </c>
      <c r="N24" s="682">
        <v>10730</v>
      </c>
      <c r="O24" s="682">
        <v>13600</v>
      </c>
      <c r="P24" s="682">
        <v>16150</v>
      </c>
      <c r="Q24" s="682">
        <v>18400</v>
      </c>
      <c r="R24" s="682">
        <v>20300</v>
      </c>
      <c r="S24" s="682">
        <v>20300</v>
      </c>
      <c r="T24" s="682">
        <v>20300</v>
      </c>
      <c r="U24" s="682">
        <v>20300</v>
      </c>
      <c r="V24" s="682">
        <v>20300</v>
      </c>
      <c r="W24" s="683">
        <v>0.70802276086956495</v>
      </c>
      <c r="X24" s="683">
        <v>0.79627391666666703</v>
      </c>
      <c r="Y24" s="683">
        <v>0.81956141414141404</v>
      </c>
      <c r="Z24" s="683">
        <v>0.76099963963964001</v>
      </c>
      <c r="AA24" s="683">
        <v>0.67475512820512795</v>
      </c>
      <c r="AB24" s="683">
        <v>0.56009565170940201</v>
      </c>
      <c r="AC24" s="683">
        <v>0.56009565170940201</v>
      </c>
      <c r="AD24" s="683">
        <v>0.56009565170940201</v>
      </c>
      <c r="AE24" s="683">
        <v>0.56009565170940201</v>
      </c>
      <c r="AF24" s="683">
        <v>0.56009565170940201</v>
      </c>
      <c r="AG24" s="790">
        <v>3600</v>
      </c>
      <c r="AH24" s="781">
        <v>700</v>
      </c>
      <c r="AI24" s="781">
        <v>1845</v>
      </c>
      <c r="AJ24" s="781">
        <v>33.602430555555564</v>
      </c>
      <c r="AK24" s="781">
        <v>30450</v>
      </c>
      <c r="AL24" s="781">
        <v>2126.25</v>
      </c>
      <c r="AM24" s="819">
        <v>0.81956141414141404</v>
      </c>
    </row>
    <row r="25" spans="1:39" ht="15" customHeight="1">
      <c r="A25" s="663" t="s">
        <v>802</v>
      </c>
      <c r="B25" s="682">
        <v>2200</v>
      </c>
      <c r="C25" s="682">
        <v>660</v>
      </c>
      <c r="D25" s="682">
        <v>635</v>
      </c>
      <c r="E25" s="682">
        <v>590.85</v>
      </c>
      <c r="F25" s="682">
        <v>530.25</v>
      </c>
      <c r="G25" s="682">
        <v>440</v>
      </c>
      <c r="H25" s="682">
        <v>330</v>
      </c>
      <c r="I25" s="682">
        <v>330</v>
      </c>
      <c r="J25" s="682">
        <v>330</v>
      </c>
      <c r="K25" s="682">
        <v>330</v>
      </c>
      <c r="L25" s="682">
        <v>330</v>
      </c>
      <c r="M25" s="682">
        <v>7710</v>
      </c>
      <c r="N25" s="682">
        <v>11395</v>
      </c>
      <c r="O25" s="682">
        <v>14873.815919258899</v>
      </c>
      <c r="P25" s="682">
        <v>17738.030471278398</v>
      </c>
      <c r="Q25" s="682">
        <v>20420</v>
      </c>
      <c r="R25" s="682">
        <v>22960</v>
      </c>
      <c r="S25" s="682">
        <v>22960</v>
      </c>
      <c r="T25" s="682">
        <v>22960</v>
      </c>
      <c r="U25" s="682">
        <v>22960</v>
      </c>
      <c r="V25" s="682">
        <v>22960</v>
      </c>
      <c r="W25" s="683">
        <v>0.66010449999999998</v>
      </c>
      <c r="X25" s="683">
        <v>0.75813820272435894</v>
      </c>
      <c r="Y25" s="683">
        <v>0.798016850839942</v>
      </c>
      <c r="Z25" s="683">
        <v>0.753599898505525</v>
      </c>
      <c r="AA25" s="683">
        <v>0.699316933333333</v>
      </c>
      <c r="AB25" s="683">
        <v>0.57334627777777802</v>
      </c>
      <c r="AC25" s="683">
        <v>0.57334627777777802</v>
      </c>
      <c r="AD25" s="683">
        <v>0.57334627777777802</v>
      </c>
      <c r="AE25" s="683">
        <v>0.57334627777777802</v>
      </c>
      <c r="AF25" s="683">
        <v>0.57334627777777802</v>
      </c>
      <c r="AG25" s="790">
        <v>3600</v>
      </c>
      <c r="AH25" s="781">
        <v>700</v>
      </c>
      <c r="AI25" s="781">
        <v>1767.2727272727275</v>
      </c>
      <c r="AJ25" s="781">
        <v>33.409090909090907</v>
      </c>
      <c r="AK25" s="781">
        <v>37570.909090909096</v>
      </c>
      <c r="AL25" s="781">
        <v>2453.181818181818</v>
      </c>
      <c r="AM25" s="819">
        <v>0.798016850839942</v>
      </c>
    </row>
    <row r="26" spans="1:39" ht="15" customHeight="1">
      <c r="A26" s="663" t="s">
        <v>803</v>
      </c>
      <c r="B26" s="682">
        <v>2975</v>
      </c>
      <c r="C26" s="682">
        <v>1064.2151519264594</v>
      </c>
      <c r="D26" s="682">
        <v>1071.7359750245248</v>
      </c>
      <c r="E26" s="682">
        <v>1062.9922130759171</v>
      </c>
      <c r="F26" s="682">
        <v>1013.2506058322788</v>
      </c>
      <c r="G26" s="682">
        <v>949.19493914860186</v>
      </c>
      <c r="H26" s="682">
        <v>779.02571864518256</v>
      </c>
      <c r="I26" s="682">
        <v>651.96132958460919</v>
      </c>
      <c r="J26" s="682">
        <v>528.26141994109594</v>
      </c>
      <c r="K26" s="682">
        <v>395.95431793468987</v>
      </c>
      <c r="L26" s="682">
        <v>395.95431793468987</v>
      </c>
      <c r="M26" s="682">
        <v>10589.715904805327</v>
      </c>
      <c r="N26" s="682">
        <v>12752.482633693728</v>
      </c>
      <c r="O26" s="682">
        <v>15663.771792649861</v>
      </c>
      <c r="P26" s="682">
        <v>20252.75446985185</v>
      </c>
      <c r="Q26" s="682">
        <v>23602.570321133997</v>
      </c>
      <c r="R26" s="682">
        <v>29355.568699297706</v>
      </c>
      <c r="S26" s="682">
        <v>32491.261660969176</v>
      </c>
      <c r="T26" s="682">
        <v>34917.238595878494</v>
      </c>
      <c r="U26" s="682">
        <v>36947.763982076154</v>
      </c>
      <c r="V26" s="682">
        <v>36947.763982076154</v>
      </c>
      <c r="W26" s="683">
        <v>0.70465352819452087</v>
      </c>
      <c r="X26" s="683">
        <v>0.76174068341585388</v>
      </c>
      <c r="Y26" s="683">
        <v>0.83522618824223971</v>
      </c>
      <c r="Z26" s="683">
        <v>0.87854128383527363</v>
      </c>
      <c r="AA26" s="683">
        <v>0.87209985369432519</v>
      </c>
      <c r="AB26" s="683">
        <v>0.82260378947077117</v>
      </c>
      <c r="AC26" s="683">
        <v>0.74562798546339049</v>
      </c>
      <c r="AD26" s="683">
        <v>0.64557959967164436</v>
      </c>
      <c r="AE26" s="683">
        <v>0.53993818773974089</v>
      </c>
      <c r="AF26" s="683">
        <v>0.53993818773974089</v>
      </c>
      <c r="AG26" s="790">
        <v>3600</v>
      </c>
      <c r="AH26" s="781">
        <v>700</v>
      </c>
      <c r="AI26" s="781">
        <v>1569.3465982704995</v>
      </c>
      <c r="AJ26" s="781">
        <v>21.921346321643732</v>
      </c>
      <c r="AK26" s="781">
        <v>44709.899272428287</v>
      </c>
      <c r="AL26" s="781">
        <v>2491.6978599541944</v>
      </c>
      <c r="AM26" s="819">
        <v>0.87854128383527363</v>
      </c>
    </row>
    <row r="27" spans="1:39" ht="15" customHeight="1">
      <c r="A27" s="663" t="s">
        <v>804</v>
      </c>
      <c r="B27" s="682">
        <v>2965</v>
      </c>
      <c r="C27" s="682">
        <v>952.07421066665336</v>
      </c>
      <c r="D27" s="682">
        <v>910.59945205963197</v>
      </c>
      <c r="E27" s="682">
        <v>809.88194659399664</v>
      </c>
      <c r="F27" s="682">
        <v>687.09925655827817</v>
      </c>
      <c r="G27" s="682">
        <v>549.16740456553134</v>
      </c>
      <c r="H27" s="682">
        <v>418.83352953085591</v>
      </c>
      <c r="I27" s="682">
        <v>260.45814227943407</v>
      </c>
      <c r="J27" s="682">
        <v>260.45814227943407</v>
      </c>
      <c r="K27" s="682">
        <v>260.45814227943407</v>
      </c>
      <c r="L27" s="682">
        <v>260.45814227943407</v>
      </c>
      <c r="M27" s="682">
        <v>15192.427120533881</v>
      </c>
      <c r="N27" s="682">
        <v>22534.379047947885</v>
      </c>
      <c r="O27" s="682">
        <v>28958.299454873417</v>
      </c>
      <c r="P27" s="682">
        <v>34416.779750979622</v>
      </c>
      <c r="Q27" s="682">
        <v>38845.816660448683</v>
      </c>
      <c r="R27" s="682">
        <v>42657.455663269677</v>
      </c>
      <c r="S27" s="682">
        <v>46352.9655287723</v>
      </c>
      <c r="T27" s="682">
        <v>46352.9655287723</v>
      </c>
      <c r="U27" s="682">
        <v>46352.9655287723</v>
      </c>
      <c r="V27" s="682">
        <v>46352.9655287723</v>
      </c>
      <c r="W27" s="683">
        <v>0.65331411544596918</v>
      </c>
      <c r="X27" s="683">
        <v>0.81971071235020876</v>
      </c>
      <c r="Y27" s="683">
        <v>0.87884739896607633</v>
      </c>
      <c r="Z27" s="683">
        <v>0.86483822300084945</v>
      </c>
      <c r="AA27" s="683">
        <v>0.77763687939402304</v>
      </c>
      <c r="AB27" s="683">
        <v>0.67128947785227755</v>
      </c>
      <c r="AC27" s="683">
        <v>0.50977335863558193</v>
      </c>
      <c r="AD27" s="683">
        <v>0.50977335863558193</v>
      </c>
      <c r="AE27" s="683">
        <v>0.50977335863558193</v>
      </c>
      <c r="AF27" s="683">
        <v>0.50977335863558193</v>
      </c>
      <c r="AG27" s="790">
        <v>3600</v>
      </c>
      <c r="AH27" s="781">
        <v>700</v>
      </c>
      <c r="AI27" s="781">
        <v>1403.5452135782928</v>
      </c>
      <c r="AJ27" s="781">
        <v>14.517258939103787</v>
      </c>
      <c r="AK27" s="781">
        <v>56280.160507109707</v>
      </c>
      <c r="AL27" s="781">
        <v>3586.7450200248622</v>
      </c>
      <c r="AM27" s="819">
        <v>0.87884739896607633</v>
      </c>
    </row>
    <row r="28" spans="1:39" ht="15" customHeight="1">
      <c r="A28" s="663" t="s">
        <v>805</v>
      </c>
      <c r="B28" s="682">
        <v>2400</v>
      </c>
      <c r="C28" s="682">
        <v>1000</v>
      </c>
      <c r="D28" s="682">
        <v>960</v>
      </c>
      <c r="E28" s="682">
        <v>890</v>
      </c>
      <c r="F28" s="682">
        <v>805</v>
      </c>
      <c r="G28" s="682">
        <v>650</v>
      </c>
      <c r="H28" s="682">
        <v>500</v>
      </c>
      <c r="I28" s="682">
        <v>500</v>
      </c>
      <c r="J28" s="682">
        <v>500</v>
      </c>
      <c r="K28" s="682">
        <v>500</v>
      </c>
      <c r="L28" s="682">
        <v>500</v>
      </c>
      <c r="M28" s="682">
        <v>12500</v>
      </c>
      <c r="N28" s="682">
        <v>18500</v>
      </c>
      <c r="O28" s="682">
        <v>24400</v>
      </c>
      <c r="P28" s="682">
        <v>28500</v>
      </c>
      <c r="Q28" s="682">
        <v>33000</v>
      </c>
      <c r="R28" s="682">
        <v>36000</v>
      </c>
      <c r="S28" s="682">
        <v>36000</v>
      </c>
      <c r="T28" s="682">
        <v>36000</v>
      </c>
      <c r="U28" s="682">
        <v>36000</v>
      </c>
      <c r="V28" s="682">
        <v>36000</v>
      </c>
      <c r="W28" s="683">
        <v>0.70941840277777801</v>
      </c>
      <c r="X28" s="683">
        <v>0.79313442622950803</v>
      </c>
      <c r="Y28" s="683">
        <v>0.82163893518518505</v>
      </c>
      <c r="Z28" s="683">
        <v>0.80127171474359005</v>
      </c>
      <c r="AA28" s="683">
        <v>0.69563541666666695</v>
      </c>
      <c r="AB28" s="683">
        <v>0.57017441860465101</v>
      </c>
      <c r="AC28" s="683">
        <v>0.57017441860465101</v>
      </c>
      <c r="AD28" s="683">
        <v>0.57017441860465101</v>
      </c>
      <c r="AE28" s="683">
        <v>0.57017441860465101</v>
      </c>
      <c r="AF28" s="683">
        <v>0.57017441860465101</v>
      </c>
      <c r="AG28" s="790">
        <v>3600</v>
      </c>
      <c r="AH28" s="781">
        <v>700</v>
      </c>
      <c r="AI28" s="781">
        <v>2250</v>
      </c>
      <c r="AJ28" s="781">
        <v>42.534722222222229</v>
      </c>
      <c r="AK28" s="781">
        <v>54000</v>
      </c>
      <c r="AL28" s="781">
        <v>3645.8333333333335</v>
      </c>
      <c r="AM28" s="819">
        <v>0.82163893518518505</v>
      </c>
    </row>
    <row r="29" spans="1:39" ht="15" customHeight="1">
      <c r="A29" s="663" t="s">
        <v>806</v>
      </c>
      <c r="B29" s="682">
        <v>2400</v>
      </c>
      <c r="C29" s="682">
        <v>930</v>
      </c>
      <c r="D29" s="682">
        <v>930</v>
      </c>
      <c r="E29" s="682">
        <v>890</v>
      </c>
      <c r="F29" s="682">
        <v>816.75</v>
      </c>
      <c r="G29" s="682">
        <v>725</v>
      </c>
      <c r="H29" s="682">
        <v>605</v>
      </c>
      <c r="I29" s="682">
        <v>605</v>
      </c>
      <c r="J29" s="682">
        <v>605</v>
      </c>
      <c r="K29" s="682">
        <v>605</v>
      </c>
      <c r="L29" s="682">
        <v>605</v>
      </c>
      <c r="M29" s="682">
        <v>9405</v>
      </c>
      <c r="N29" s="682">
        <v>16625</v>
      </c>
      <c r="O29" s="682">
        <v>24400</v>
      </c>
      <c r="P29" s="682">
        <v>31158.031592993801</v>
      </c>
      <c r="Q29" s="682">
        <v>37420</v>
      </c>
      <c r="R29" s="682">
        <v>42710</v>
      </c>
      <c r="S29" s="682">
        <v>42710</v>
      </c>
      <c r="T29" s="682">
        <v>42710</v>
      </c>
      <c r="U29" s="682">
        <v>42710</v>
      </c>
      <c r="V29" s="682">
        <v>42710</v>
      </c>
      <c r="W29" s="683">
        <v>0.49640275781249998</v>
      </c>
      <c r="X29" s="683">
        <v>0.70198369791666704</v>
      </c>
      <c r="Y29" s="683">
        <v>0.833211314553991</v>
      </c>
      <c r="Z29" s="683">
        <v>0.87753761192400304</v>
      </c>
      <c r="AA29" s="683">
        <v>0.85936371608527096</v>
      </c>
      <c r="AB29" s="683">
        <v>0.799900463541667</v>
      </c>
      <c r="AC29" s="683">
        <v>0.799900463541667</v>
      </c>
      <c r="AD29" s="683">
        <v>0.799900463541667</v>
      </c>
      <c r="AE29" s="683">
        <v>0.799900463541667</v>
      </c>
      <c r="AF29" s="683">
        <v>0.799900463541667</v>
      </c>
      <c r="AG29" s="790">
        <v>3600</v>
      </c>
      <c r="AH29" s="781">
        <v>700</v>
      </c>
      <c r="AI29" s="781">
        <v>2092.5</v>
      </c>
      <c r="AJ29" s="781">
        <v>51.4670138888889</v>
      </c>
      <c r="AK29" s="781">
        <v>64065</v>
      </c>
      <c r="AL29" s="781">
        <v>2743.125</v>
      </c>
      <c r="AM29" s="819">
        <v>0.87753761192400304</v>
      </c>
    </row>
    <row r="30" spans="1:39" ht="15" customHeight="1">
      <c r="A30" s="663" t="s">
        <v>807</v>
      </c>
      <c r="B30" s="682">
        <v>1700</v>
      </c>
      <c r="C30" s="682">
        <v>430</v>
      </c>
      <c r="D30" s="682">
        <v>419.15</v>
      </c>
      <c r="E30" s="682">
        <v>385</v>
      </c>
      <c r="F30" s="682">
        <v>333.2</v>
      </c>
      <c r="G30" s="682">
        <v>279.3</v>
      </c>
      <c r="H30" s="682">
        <v>235</v>
      </c>
      <c r="I30" s="682">
        <v>235</v>
      </c>
      <c r="J30" s="682">
        <v>235</v>
      </c>
      <c r="K30" s="682">
        <v>235</v>
      </c>
      <c r="L30" s="682">
        <v>235</v>
      </c>
      <c r="M30" s="682">
        <v>15100</v>
      </c>
      <c r="N30" s="682">
        <v>21406.2350729875</v>
      </c>
      <c r="O30" s="682">
        <v>26840</v>
      </c>
      <c r="P30" s="682">
        <v>31297.253242097799</v>
      </c>
      <c r="Q30" s="682">
        <v>34648.2322781408</v>
      </c>
      <c r="R30" s="682">
        <v>37150</v>
      </c>
      <c r="S30" s="682">
        <v>37150</v>
      </c>
      <c r="T30" s="682">
        <v>37150</v>
      </c>
      <c r="U30" s="682">
        <v>37150</v>
      </c>
      <c r="V30" s="682">
        <v>37150</v>
      </c>
      <c r="W30" s="683">
        <v>0.70752056666666696</v>
      </c>
      <c r="X30" s="683">
        <v>0.842840580328299</v>
      </c>
      <c r="Y30" s="683">
        <v>0.85302738888888896</v>
      </c>
      <c r="Z30" s="683">
        <v>0.81166505206411299</v>
      </c>
      <c r="AA30" s="683">
        <v>0.75321272425966201</v>
      </c>
      <c r="AB30" s="683">
        <v>0.67950445833333295</v>
      </c>
      <c r="AC30" s="683">
        <v>0.67950445833333295</v>
      </c>
      <c r="AD30" s="683">
        <v>0.67950445833333295</v>
      </c>
      <c r="AE30" s="683">
        <v>0.67950445833333295</v>
      </c>
      <c r="AF30" s="683">
        <v>0.67950445833333295</v>
      </c>
      <c r="AG30" s="790">
        <v>3600</v>
      </c>
      <c r="AH30" s="781">
        <v>700</v>
      </c>
      <c r="AI30" s="781">
        <v>1928.3044982698964</v>
      </c>
      <c r="AJ30" s="781">
        <v>39.844290657439444</v>
      </c>
      <c r="AK30" s="781">
        <v>78670.588235294112</v>
      </c>
      <c r="AL30" s="781">
        <v>6217.6470588235288</v>
      </c>
      <c r="AM30" s="819">
        <v>0.85302738888888896</v>
      </c>
    </row>
    <row r="31" spans="1:39" ht="15" customHeight="1">
      <c r="A31" s="663" t="s">
        <v>808</v>
      </c>
      <c r="B31" s="682">
        <v>1800</v>
      </c>
      <c r="C31" s="682">
        <v>450</v>
      </c>
      <c r="D31" s="682">
        <v>430</v>
      </c>
      <c r="E31" s="682">
        <v>390</v>
      </c>
      <c r="F31" s="682">
        <v>328.68</v>
      </c>
      <c r="G31" s="682">
        <v>267.3</v>
      </c>
      <c r="H31" s="682">
        <v>185</v>
      </c>
      <c r="I31" s="682">
        <v>185</v>
      </c>
      <c r="J31" s="682">
        <v>185</v>
      </c>
      <c r="K31" s="682">
        <v>185</v>
      </c>
      <c r="L31" s="682">
        <v>185</v>
      </c>
      <c r="M31" s="682">
        <v>15860</v>
      </c>
      <c r="N31" s="682">
        <v>22540</v>
      </c>
      <c r="O31" s="682">
        <v>28210</v>
      </c>
      <c r="P31" s="682">
        <v>33516.151818936502</v>
      </c>
      <c r="Q31" s="682">
        <v>37923.946165318797</v>
      </c>
      <c r="R31" s="682">
        <v>42580</v>
      </c>
      <c r="S31" s="682">
        <v>42580</v>
      </c>
      <c r="T31" s="682">
        <v>42580</v>
      </c>
      <c r="U31" s="682">
        <v>42580</v>
      </c>
      <c r="V31" s="682">
        <v>42580</v>
      </c>
      <c r="W31" s="683">
        <v>0.72008805555555599</v>
      </c>
      <c r="X31" s="683">
        <v>0.81240517435897397</v>
      </c>
      <c r="Y31" s="683">
        <v>0.84425378169014098</v>
      </c>
      <c r="Z31" s="683">
        <v>0.81107194192169496</v>
      </c>
      <c r="AA31" s="683">
        <v>0.74635325400577501</v>
      </c>
      <c r="AB31" s="683">
        <v>0.631149355392157</v>
      </c>
      <c r="AC31" s="683">
        <v>0.631149355392157</v>
      </c>
      <c r="AD31" s="683">
        <v>0.631149355392157</v>
      </c>
      <c r="AE31" s="683">
        <v>0.631149355392157</v>
      </c>
      <c r="AF31" s="683">
        <v>0.631149355392157</v>
      </c>
      <c r="AG31" s="790">
        <v>3600</v>
      </c>
      <c r="AH31" s="781">
        <v>700</v>
      </c>
      <c r="AI31" s="781">
        <v>1800</v>
      </c>
      <c r="AJ31" s="781">
        <v>27.978395061728396</v>
      </c>
      <c r="AK31" s="781">
        <v>85160</v>
      </c>
      <c r="AL31" s="781">
        <v>6167.7777777777783</v>
      </c>
      <c r="AM31" s="819">
        <v>0.84425378169014098</v>
      </c>
    </row>
    <row r="32" spans="1:39" ht="15" customHeight="1">
      <c r="A32" s="663" t="s">
        <v>809</v>
      </c>
      <c r="B32" s="682">
        <v>2800</v>
      </c>
      <c r="C32" s="682">
        <v>1630</v>
      </c>
      <c r="D32" s="682">
        <v>1570</v>
      </c>
      <c r="E32" s="682">
        <v>1475</v>
      </c>
      <c r="F32" s="682">
        <v>1340</v>
      </c>
      <c r="G32" s="682">
        <v>1148.4000000000001</v>
      </c>
      <c r="H32" s="682">
        <v>905</v>
      </c>
      <c r="I32" s="682">
        <v>905</v>
      </c>
      <c r="J32" s="682">
        <v>905</v>
      </c>
      <c r="K32" s="682">
        <v>905</v>
      </c>
      <c r="L32" s="682">
        <v>905</v>
      </c>
      <c r="M32" s="682">
        <v>8410</v>
      </c>
      <c r="N32" s="682">
        <v>11305</v>
      </c>
      <c r="O32" s="682">
        <v>14200</v>
      </c>
      <c r="P32" s="682">
        <v>16950</v>
      </c>
      <c r="Q32" s="682">
        <v>19700.7512547111</v>
      </c>
      <c r="R32" s="682">
        <v>22550</v>
      </c>
      <c r="S32" s="682">
        <v>22550</v>
      </c>
      <c r="T32" s="682">
        <v>22550</v>
      </c>
      <c r="U32" s="682">
        <v>22550</v>
      </c>
      <c r="V32" s="682">
        <v>22550</v>
      </c>
      <c r="W32" s="683">
        <v>0.64385679166666698</v>
      </c>
      <c r="X32" s="683">
        <v>0.74385885448717903</v>
      </c>
      <c r="Y32" s="683">
        <v>0.78161192922374401</v>
      </c>
      <c r="Z32" s="683">
        <v>0.80355840909090903</v>
      </c>
      <c r="AA32" s="683">
        <v>0.77040600437536899</v>
      </c>
      <c r="AB32" s="683">
        <v>0.67797697916666699</v>
      </c>
      <c r="AC32" s="683">
        <v>0.67797697916666699</v>
      </c>
      <c r="AD32" s="683">
        <v>0.67797697916666699</v>
      </c>
      <c r="AE32" s="683">
        <v>0.67797697916666699</v>
      </c>
      <c r="AF32" s="683">
        <v>0.67797697916666699</v>
      </c>
      <c r="AG32" s="790">
        <v>3600</v>
      </c>
      <c r="AH32" s="781">
        <v>700</v>
      </c>
      <c r="AI32" s="781">
        <v>2694.4897959183677</v>
      </c>
      <c r="AJ32" s="781">
        <v>56.5625</v>
      </c>
      <c r="AK32" s="781">
        <v>28992.857142857145</v>
      </c>
      <c r="AL32" s="781">
        <v>2102.5</v>
      </c>
      <c r="AM32" s="819">
        <v>0.80355840909090903</v>
      </c>
    </row>
    <row r="33" spans="1:39" ht="15" customHeight="1">
      <c r="A33" s="663" t="s">
        <v>810</v>
      </c>
      <c r="B33" s="682">
        <v>2200</v>
      </c>
      <c r="C33" s="682">
        <v>1045</v>
      </c>
      <c r="D33" s="682">
        <v>1040.3</v>
      </c>
      <c r="E33" s="682">
        <v>984.75</v>
      </c>
      <c r="F33" s="682">
        <v>860</v>
      </c>
      <c r="G33" s="682">
        <v>693</v>
      </c>
      <c r="H33" s="682">
        <v>475</v>
      </c>
      <c r="I33" s="682">
        <v>475</v>
      </c>
      <c r="J33" s="682">
        <v>475</v>
      </c>
      <c r="K33" s="682">
        <v>475</v>
      </c>
      <c r="L33" s="682">
        <v>475</v>
      </c>
      <c r="M33" s="682">
        <v>7300</v>
      </c>
      <c r="N33" s="682">
        <v>10954.364427021799</v>
      </c>
      <c r="O33" s="682">
        <v>14069.8258695692</v>
      </c>
      <c r="P33" s="682">
        <v>17160</v>
      </c>
      <c r="Q33" s="682">
        <v>19521.6535160319</v>
      </c>
      <c r="R33" s="682">
        <v>22100</v>
      </c>
      <c r="S33" s="682">
        <v>22100</v>
      </c>
      <c r="T33" s="682">
        <v>22100</v>
      </c>
      <c r="U33" s="682">
        <v>22100</v>
      </c>
      <c r="V33" s="682">
        <v>22100</v>
      </c>
      <c r="W33" s="683">
        <v>0.670364690860215</v>
      </c>
      <c r="X33" s="683">
        <v>0.79600326815395495</v>
      </c>
      <c r="Y33" s="683">
        <v>0.82052261396586301</v>
      </c>
      <c r="Z33" s="683">
        <v>0.75853135849056597</v>
      </c>
      <c r="AA33" s="683">
        <v>0.65810544260905401</v>
      </c>
      <c r="AB33" s="683">
        <v>0.48469389124293799</v>
      </c>
      <c r="AC33" s="683">
        <v>0.48469389124293799</v>
      </c>
      <c r="AD33" s="683">
        <v>0.48469389124293799</v>
      </c>
      <c r="AE33" s="683">
        <v>0.48469389124293799</v>
      </c>
      <c r="AF33" s="683">
        <v>0.48469389124293799</v>
      </c>
      <c r="AG33" s="790">
        <v>3600</v>
      </c>
      <c r="AH33" s="781">
        <v>700</v>
      </c>
      <c r="AI33" s="781">
        <v>2798.1818181818185</v>
      </c>
      <c r="AJ33" s="781">
        <v>48.08884297520661</v>
      </c>
      <c r="AK33" s="781">
        <v>36163.636363636368</v>
      </c>
      <c r="AL33" s="781">
        <v>2322.7272727272725</v>
      </c>
      <c r="AM33" s="819">
        <v>0.82052261396586301</v>
      </c>
    </row>
    <row r="34" spans="1:39" ht="15" customHeight="1">
      <c r="A34" s="663" t="s">
        <v>811</v>
      </c>
      <c r="B34" s="682">
        <v>0</v>
      </c>
      <c r="C34" s="682">
        <v>0</v>
      </c>
      <c r="D34" s="682">
        <v>0</v>
      </c>
      <c r="E34" s="682">
        <v>0</v>
      </c>
      <c r="F34" s="682">
        <v>0</v>
      </c>
      <c r="G34" s="682">
        <v>0</v>
      </c>
      <c r="H34" s="682">
        <v>0</v>
      </c>
      <c r="I34" s="682">
        <v>0</v>
      </c>
      <c r="J34" s="682">
        <v>0</v>
      </c>
      <c r="K34" s="682">
        <v>0</v>
      </c>
      <c r="L34" s="682">
        <v>0</v>
      </c>
      <c r="M34" s="682">
        <v>0</v>
      </c>
      <c r="N34" s="682">
        <v>0</v>
      </c>
      <c r="O34" s="682">
        <v>0</v>
      </c>
      <c r="P34" s="682">
        <v>0</v>
      </c>
      <c r="Q34" s="682">
        <v>0</v>
      </c>
      <c r="R34" s="682">
        <v>0</v>
      </c>
      <c r="S34" s="682">
        <v>0</v>
      </c>
      <c r="T34" s="682">
        <v>0</v>
      </c>
      <c r="U34" s="682">
        <v>0</v>
      </c>
      <c r="V34" s="682">
        <v>0</v>
      </c>
      <c r="W34" s="683">
        <v>0</v>
      </c>
      <c r="X34" s="683">
        <v>0</v>
      </c>
      <c r="Y34" s="683">
        <v>0</v>
      </c>
      <c r="Z34" s="683">
        <v>0</v>
      </c>
      <c r="AA34" s="683">
        <v>0</v>
      </c>
      <c r="AB34" s="683">
        <v>0</v>
      </c>
      <c r="AC34" s="683">
        <v>0</v>
      </c>
      <c r="AD34" s="683">
        <v>0</v>
      </c>
      <c r="AE34" s="683">
        <v>0</v>
      </c>
      <c r="AF34" s="683">
        <v>0</v>
      </c>
      <c r="AG34" s="790">
        <v>3600</v>
      </c>
      <c r="AH34" s="781">
        <v>0</v>
      </c>
      <c r="AI34" s="781">
        <v>0</v>
      </c>
      <c r="AJ34" s="781">
        <v>0</v>
      </c>
      <c r="AK34" s="781">
        <v>0</v>
      </c>
      <c r="AL34" s="781">
        <v>0</v>
      </c>
      <c r="AM34" s="819">
        <v>0</v>
      </c>
    </row>
    <row r="35" spans="1:39" ht="15" customHeight="1">
      <c r="A35" s="663" t="s">
        <v>812</v>
      </c>
      <c r="B35" s="682">
        <v>2100</v>
      </c>
      <c r="C35" s="682">
        <v>900</v>
      </c>
      <c r="D35" s="682">
        <v>870</v>
      </c>
      <c r="E35" s="682">
        <v>825</v>
      </c>
      <c r="F35" s="682">
        <v>750</v>
      </c>
      <c r="G35" s="682">
        <v>594</v>
      </c>
      <c r="H35" s="682">
        <v>420.75</v>
      </c>
      <c r="I35" s="682">
        <v>420.75</v>
      </c>
      <c r="J35" s="682">
        <v>420.75</v>
      </c>
      <c r="K35" s="682">
        <v>420.75</v>
      </c>
      <c r="L35" s="682">
        <v>420.75</v>
      </c>
      <c r="M35" s="682">
        <v>10340</v>
      </c>
      <c r="N35" s="682">
        <v>14525</v>
      </c>
      <c r="O35" s="682">
        <v>17435</v>
      </c>
      <c r="P35" s="682">
        <v>20000</v>
      </c>
      <c r="Q35" s="682">
        <v>23382.2047720056</v>
      </c>
      <c r="R35" s="682">
        <v>26267.6683396148</v>
      </c>
      <c r="S35" s="682">
        <v>26267.6683396148</v>
      </c>
      <c r="T35" s="682">
        <v>26267.6683396148</v>
      </c>
      <c r="U35" s="682">
        <v>26267.6683396148</v>
      </c>
      <c r="V35" s="682">
        <v>26267.6683396148</v>
      </c>
      <c r="W35" s="683">
        <v>0.65002807692307696</v>
      </c>
      <c r="X35" s="683">
        <v>0.73243857712766003</v>
      </c>
      <c r="Y35" s="683">
        <v>0.76831515318627497</v>
      </c>
      <c r="Z35" s="683">
        <v>0.72968750000000004</v>
      </c>
      <c r="AA35" s="683">
        <v>0.63060052604741101</v>
      </c>
      <c r="AB35" s="683">
        <v>0.48561001388139702</v>
      </c>
      <c r="AC35" s="683">
        <v>0.48561001388139702</v>
      </c>
      <c r="AD35" s="683">
        <v>0.48561001388139702</v>
      </c>
      <c r="AE35" s="683">
        <v>0.48561001388139702</v>
      </c>
      <c r="AF35" s="683">
        <v>0.48561001388139702</v>
      </c>
      <c r="AG35" s="790">
        <v>3600</v>
      </c>
      <c r="AH35" s="781">
        <v>700</v>
      </c>
      <c r="AI35" s="781">
        <v>2644.8979591836733</v>
      </c>
      <c r="AJ35" s="781">
        <v>46.75</v>
      </c>
      <c r="AK35" s="781">
        <v>45030.288582196743</v>
      </c>
      <c r="AL35" s="781">
        <v>3446.6666666666665</v>
      </c>
      <c r="AM35" s="819">
        <v>0.76831515318627497</v>
      </c>
    </row>
    <row r="36" spans="1:39" ht="15" customHeight="1">
      <c r="A36" s="663" t="s">
        <v>813</v>
      </c>
      <c r="B36" s="682">
        <v>2200</v>
      </c>
      <c r="C36" s="682">
        <v>1025</v>
      </c>
      <c r="D36" s="682">
        <v>1020</v>
      </c>
      <c r="E36" s="682">
        <v>970</v>
      </c>
      <c r="F36" s="682">
        <v>875</v>
      </c>
      <c r="G36" s="682">
        <v>740</v>
      </c>
      <c r="H36" s="682">
        <v>590</v>
      </c>
      <c r="I36" s="682">
        <v>590</v>
      </c>
      <c r="J36" s="682">
        <v>590</v>
      </c>
      <c r="K36" s="682">
        <v>590</v>
      </c>
      <c r="L36" s="682">
        <v>590</v>
      </c>
      <c r="M36" s="682">
        <v>13310</v>
      </c>
      <c r="N36" s="682">
        <v>18775</v>
      </c>
      <c r="O36" s="682">
        <v>23805</v>
      </c>
      <c r="P36" s="682">
        <v>28590</v>
      </c>
      <c r="Q36" s="682">
        <v>32875</v>
      </c>
      <c r="R36" s="682">
        <v>36550</v>
      </c>
      <c r="S36" s="682">
        <v>36550</v>
      </c>
      <c r="T36" s="682">
        <v>36550</v>
      </c>
      <c r="U36" s="682">
        <v>36550</v>
      </c>
      <c r="V36" s="682">
        <v>36550</v>
      </c>
      <c r="W36" s="683">
        <v>0.70122876965408798</v>
      </c>
      <c r="X36" s="683">
        <v>0.82808180555555599</v>
      </c>
      <c r="Y36" s="683">
        <v>0.87365727604166699</v>
      </c>
      <c r="Z36" s="683">
        <v>0.85185542968750005</v>
      </c>
      <c r="AA36" s="683">
        <v>0.77967252450980395</v>
      </c>
      <c r="AB36" s="683">
        <v>0.67523324233716497</v>
      </c>
      <c r="AC36" s="683">
        <v>0.67523324233716497</v>
      </c>
      <c r="AD36" s="683">
        <v>0.67523324233716497</v>
      </c>
      <c r="AE36" s="683">
        <v>0.67523324233716497</v>
      </c>
      <c r="AF36" s="683">
        <v>0.67523324233716497</v>
      </c>
      <c r="AG36" s="790">
        <v>3600</v>
      </c>
      <c r="AH36" s="781">
        <v>700</v>
      </c>
      <c r="AI36" s="781">
        <v>2744.6280991735543</v>
      </c>
      <c r="AJ36" s="781">
        <v>59.731404958677686</v>
      </c>
      <c r="AK36" s="781">
        <v>59809.090909090912</v>
      </c>
      <c r="AL36" s="781">
        <v>4235</v>
      </c>
      <c r="AM36" s="819">
        <v>0.87365727604166699</v>
      </c>
    </row>
    <row r="37" spans="1:39" ht="15" customHeight="1">
      <c r="A37" s="663" t="s">
        <v>814</v>
      </c>
      <c r="B37" s="682">
        <v>2100</v>
      </c>
      <c r="C37" s="682">
        <v>880</v>
      </c>
      <c r="D37" s="682">
        <v>858.5</v>
      </c>
      <c r="E37" s="682">
        <v>787.8</v>
      </c>
      <c r="F37" s="682">
        <v>680</v>
      </c>
      <c r="G37" s="682">
        <v>520</v>
      </c>
      <c r="H37" s="682">
        <v>380</v>
      </c>
      <c r="I37" s="682">
        <v>380</v>
      </c>
      <c r="J37" s="682">
        <v>380</v>
      </c>
      <c r="K37" s="682">
        <v>380</v>
      </c>
      <c r="L37" s="682">
        <v>380</v>
      </c>
      <c r="M37" s="682">
        <v>13080</v>
      </c>
      <c r="N37" s="682">
        <v>20461.546764602099</v>
      </c>
      <c r="O37" s="682">
        <v>27310.537000396002</v>
      </c>
      <c r="P37" s="682">
        <v>33015</v>
      </c>
      <c r="Q37" s="682">
        <v>38685</v>
      </c>
      <c r="R37" s="682">
        <v>42110</v>
      </c>
      <c r="S37" s="682">
        <v>42110</v>
      </c>
      <c r="T37" s="682">
        <v>42110</v>
      </c>
      <c r="U37" s="682">
        <v>42110</v>
      </c>
      <c r="V37" s="682">
        <v>42110</v>
      </c>
      <c r="W37" s="683">
        <v>0.63992342857142903</v>
      </c>
      <c r="X37" s="683">
        <v>0.81107389387904405</v>
      </c>
      <c r="Y37" s="683">
        <v>0.84943626798180305</v>
      </c>
      <c r="Z37" s="683">
        <v>0.79426086363636395</v>
      </c>
      <c r="AA37" s="683">
        <v>0.66829123780487798</v>
      </c>
      <c r="AB37" s="683">
        <v>0.53816753292181096</v>
      </c>
      <c r="AC37" s="683">
        <v>0.53816753292181096</v>
      </c>
      <c r="AD37" s="683">
        <v>0.53816753292181096</v>
      </c>
      <c r="AE37" s="683">
        <v>0.53816753292181096</v>
      </c>
      <c r="AF37" s="683">
        <v>0.53816753292181096</v>
      </c>
      <c r="AG37" s="790">
        <v>3600</v>
      </c>
      <c r="AH37" s="781">
        <v>700</v>
      </c>
      <c r="AI37" s="781">
        <v>2444.4444444444448</v>
      </c>
      <c r="AJ37" s="781">
        <v>42.222222222222221</v>
      </c>
      <c r="AK37" s="781">
        <v>70183.333333333343</v>
      </c>
      <c r="AL37" s="781">
        <v>4360</v>
      </c>
      <c r="AM37" s="819">
        <v>0.84943626798180305</v>
      </c>
    </row>
    <row r="38" spans="1:39" ht="15" customHeight="1">
      <c r="A38" s="663" t="s">
        <v>815</v>
      </c>
      <c r="B38" s="682">
        <v>1600</v>
      </c>
      <c r="C38" s="682">
        <v>485</v>
      </c>
      <c r="D38" s="682">
        <v>478</v>
      </c>
      <c r="E38" s="682">
        <v>465</v>
      </c>
      <c r="F38" s="682">
        <v>435.6</v>
      </c>
      <c r="G38" s="682">
        <v>367.5</v>
      </c>
      <c r="H38" s="682">
        <v>277.2</v>
      </c>
      <c r="I38" s="682">
        <v>277.2</v>
      </c>
      <c r="J38" s="682">
        <v>277.2</v>
      </c>
      <c r="K38" s="682">
        <v>277.2</v>
      </c>
      <c r="L38" s="682">
        <v>277.2</v>
      </c>
      <c r="M38" s="682">
        <v>13250</v>
      </c>
      <c r="N38" s="682">
        <v>18400</v>
      </c>
      <c r="O38" s="682">
        <v>22935</v>
      </c>
      <c r="P38" s="682">
        <v>27496.477824441401</v>
      </c>
      <c r="Q38" s="682">
        <v>33410.795411064399</v>
      </c>
      <c r="R38" s="682">
        <v>38854.259419013499</v>
      </c>
      <c r="S38" s="682">
        <v>38854.259419013499</v>
      </c>
      <c r="T38" s="682">
        <v>38854.259419013499</v>
      </c>
      <c r="U38" s="682">
        <v>38854.259419013499</v>
      </c>
      <c r="V38" s="682">
        <v>38854.259419013499</v>
      </c>
      <c r="W38" s="683">
        <v>0.67331446314102605</v>
      </c>
      <c r="X38" s="683">
        <v>0.79865302222222201</v>
      </c>
      <c r="Y38" s="683">
        <v>0.85448895772058797</v>
      </c>
      <c r="Z38" s="683">
        <v>0.88185440326864795</v>
      </c>
      <c r="AA38" s="683">
        <v>0.82589114502155903</v>
      </c>
      <c r="AB38" s="683">
        <v>0.71561869764425501</v>
      </c>
      <c r="AC38" s="683">
        <v>0.71561869764425501</v>
      </c>
      <c r="AD38" s="683">
        <v>0.71561869764425501</v>
      </c>
      <c r="AE38" s="683">
        <v>0.71561869764425501</v>
      </c>
      <c r="AF38" s="683">
        <v>0.71561869764425501</v>
      </c>
      <c r="AG38" s="790">
        <v>3600</v>
      </c>
      <c r="AH38" s="781">
        <v>700</v>
      </c>
      <c r="AI38" s="781">
        <v>2455.3125</v>
      </c>
      <c r="AJ38" s="781">
        <v>53.057812499999997</v>
      </c>
      <c r="AK38" s="781">
        <v>87422.083692780405</v>
      </c>
      <c r="AL38" s="781">
        <v>5796.875</v>
      </c>
      <c r="AM38" s="819">
        <v>0.88185440326864795</v>
      </c>
    </row>
    <row r="39" spans="1:39" ht="15" customHeight="1">
      <c r="A39" s="663" t="s">
        <v>816</v>
      </c>
      <c r="B39" s="682">
        <v>1500</v>
      </c>
      <c r="C39" s="682">
        <v>405</v>
      </c>
      <c r="D39" s="682">
        <v>400</v>
      </c>
      <c r="E39" s="682">
        <v>385</v>
      </c>
      <c r="F39" s="682">
        <v>355</v>
      </c>
      <c r="G39" s="682">
        <v>297</v>
      </c>
      <c r="H39" s="682">
        <v>222.75</v>
      </c>
      <c r="I39" s="682">
        <v>222.75</v>
      </c>
      <c r="J39" s="682">
        <v>222.75</v>
      </c>
      <c r="K39" s="682">
        <v>222.75</v>
      </c>
      <c r="L39" s="682">
        <v>222.75</v>
      </c>
      <c r="M39" s="682">
        <v>13300</v>
      </c>
      <c r="N39" s="682">
        <v>20100</v>
      </c>
      <c r="O39" s="682">
        <v>27220</v>
      </c>
      <c r="P39" s="682">
        <v>33590</v>
      </c>
      <c r="Q39" s="682">
        <v>40107.943589767798</v>
      </c>
      <c r="R39" s="682">
        <v>45341.5775089487</v>
      </c>
      <c r="S39" s="682">
        <v>45341.5775089487</v>
      </c>
      <c r="T39" s="682">
        <v>45341.5775089487</v>
      </c>
      <c r="U39" s="682">
        <v>45341.5775089487</v>
      </c>
      <c r="V39" s="682">
        <v>45341.5775089487</v>
      </c>
      <c r="W39" s="683">
        <v>0.66698744318181802</v>
      </c>
      <c r="X39" s="683">
        <v>0.78222499999999995</v>
      </c>
      <c r="Y39" s="683">
        <v>0.86510452777777802</v>
      </c>
      <c r="Z39" s="683">
        <v>0.85484708442982504</v>
      </c>
      <c r="AA39" s="683">
        <v>0.797307978617946</v>
      </c>
      <c r="AB39" s="683">
        <v>0.69654778817081797</v>
      </c>
      <c r="AC39" s="683">
        <v>0.69654778817081797</v>
      </c>
      <c r="AD39" s="683">
        <v>0.69654778817081797</v>
      </c>
      <c r="AE39" s="683">
        <v>0.69654778817081797</v>
      </c>
      <c r="AF39" s="683">
        <v>0.69654778817081797</v>
      </c>
      <c r="AG39" s="790">
        <v>3200</v>
      </c>
      <c r="AH39" s="781">
        <v>700</v>
      </c>
      <c r="AI39" s="781">
        <v>1843.2</v>
      </c>
      <c r="AJ39" s="781">
        <v>48.510000000000005</v>
      </c>
      <c r="AK39" s="781">
        <v>96728.698685757161</v>
      </c>
      <c r="AL39" s="781">
        <v>6206.666666666667</v>
      </c>
      <c r="AM39" s="819">
        <v>0.86510452777777802</v>
      </c>
    </row>
    <row r="40" spans="1:39" ht="15" customHeight="1">
      <c r="A40" s="663" t="s">
        <v>817</v>
      </c>
      <c r="B40" s="682">
        <v>1600</v>
      </c>
      <c r="C40" s="682">
        <v>420</v>
      </c>
      <c r="D40" s="682">
        <v>405.9</v>
      </c>
      <c r="E40" s="682">
        <v>377.3</v>
      </c>
      <c r="F40" s="682">
        <v>333.2</v>
      </c>
      <c r="G40" s="682">
        <v>279.3</v>
      </c>
      <c r="H40" s="682">
        <v>217.8</v>
      </c>
      <c r="I40" s="682">
        <v>217.8</v>
      </c>
      <c r="J40" s="682">
        <v>217.8</v>
      </c>
      <c r="K40" s="682">
        <v>217.8</v>
      </c>
      <c r="L40" s="682">
        <v>217.8</v>
      </c>
      <c r="M40" s="682">
        <v>15080</v>
      </c>
      <c r="N40" s="682">
        <v>23805.074432775898</v>
      </c>
      <c r="O40" s="682">
        <v>31628.8863224743</v>
      </c>
      <c r="P40" s="682">
        <v>38979.261312908398</v>
      </c>
      <c r="Q40" s="682">
        <v>44795.214588167801</v>
      </c>
      <c r="R40" s="682">
        <v>49455.850561384497</v>
      </c>
      <c r="S40" s="682">
        <v>49455.850561384497</v>
      </c>
      <c r="T40" s="682">
        <v>49455.850561384497</v>
      </c>
      <c r="U40" s="682">
        <v>49455.850561384497</v>
      </c>
      <c r="V40" s="682">
        <v>49455.850561384497</v>
      </c>
      <c r="W40" s="683">
        <v>0.63902896296296297</v>
      </c>
      <c r="X40" s="683">
        <v>0.77418250439681702</v>
      </c>
      <c r="Y40" s="683">
        <v>0.85550151596833202</v>
      </c>
      <c r="Z40" s="683">
        <v>0.88452941631809001</v>
      </c>
      <c r="AA40" s="683">
        <v>0.85207189431874197</v>
      </c>
      <c r="AB40" s="683">
        <v>0.75239277821942696</v>
      </c>
      <c r="AC40" s="683">
        <v>0.75239277821942696</v>
      </c>
      <c r="AD40" s="683">
        <v>0.75239277821942696</v>
      </c>
      <c r="AE40" s="683">
        <v>0.75239277821942696</v>
      </c>
      <c r="AF40" s="683">
        <v>0.75239277821942696</v>
      </c>
      <c r="AG40" s="790">
        <v>3600</v>
      </c>
      <c r="AH40" s="781">
        <v>700</v>
      </c>
      <c r="AI40" s="781">
        <v>1841.19140625</v>
      </c>
      <c r="AJ40" s="781">
        <v>41.688281250000003</v>
      </c>
      <c r="AK40" s="781">
        <v>103548.1871128989</v>
      </c>
      <c r="AL40" s="781">
        <v>6597.5</v>
      </c>
      <c r="AM40" s="819">
        <v>0.88452941631809001</v>
      </c>
    </row>
    <row r="41" spans="1:39" ht="15" customHeight="1">
      <c r="A41" s="663" t="s">
        <v>818</v>
      </c>
      <c r="B41" s="682">
        <v>2000</v>
      </c>
      <c r="C41" s="682">
        <v>1165</v>
      </c>
      <c r="D41" s="682">
        <v>1125</v>
      </c>
      <c r="E41" s="682">
        <v>1035</v>
      </c>
      <c r="F41" s="682">
        <v>910</v>
      </c>
      <c r="G41" s="682">
        <v>710</v>
      </c>
      <c r="H41" s="682">
        <v>540</v>
      </c>
      <c r="I41" s="682">
        <v>540</v>
      </c>
      <c r="J41" s="682">
        <v>540</v>
      </c>
      <c r="K41" s="682">
        <v>540</v>
      </c>
      <c r="L41" s="682">
        <v>540</v>
      </c>
      <c r="M41" s="682">
        <v>6895</v>
      </c>
      <c r="N41" s="682">
        <v>11000</v>
      </c>
      <c r="O41" s="682">
        <v>15000</v>
      </c>
      <c r="P41" s="682">
        <v>18250</v>
      </c>
      <c r="Q41" s="682">
        <v>21500</v>
      </c>
      <c r="R41" s="682">
        <v>23425</v>
      </c>
      <c r="S41" s="682">
        <v>23425</v>
      </c>
      <c r="T41" s="682">
        <v>23425</v>
      </c>
      <c r="U41" s="682">
        <v>23425</v>
      </c>
      <c r="V41" s="682">
        <v>23425</v>
      </c>
      <c r="W41" s="683">
        <v>0.60784292997685196</v>
      </c>
      <c r="X41" s="683">
        <v>0.75756320224719098</v>
      </c>
      <c r="Y41" s="683">
        <v>0.79797523584905705</v>
      </c>
      <c r="Z41" s="683">
        <v>0.74166553961748605</v>
      </c>
      <c r="AA41" s="683">
        <v>0.63006672979797995</v>
      </c>
      <c r="AB41" s="683">
        <v>0.499410815217391</v>
      </c>
      <c r="AC41" s="683">
        <v>0.499410815217391</v>
      </c>
      <c r="AD41" s="683">
        <v>0.499410815217391</v>
      </c>
      <c r="AE41" s="683">
        <v>0.499410815217391</v>
      </c>
      <c r="AF41" s="683">
        <v>0.499410815217391</v>
      </c>
      <c r="AG41" s="790">
        <v>3600</v>
      </c>
      <c r="AH41" s="781">
        <v>700</v>
      </c>
      <c r="AI41" s="781">
        <v>3774.6000000000004</v>
      </c>
      <c r="AJ41" s="781">
        <v>66.149999999999991</v>
      </c>
      <c r="AK41" s="781">
        <v>42165</v>
      </c>
      <c r="AL41" s="781">
        <v>2413.25</v>
      </c>
      <c r="AM41" s="819">
        <v>0.79797523584905705</v>
      </c>
    </row>
    <row r="42" spans="1:39" ht="15" customHeight="1">
      <c r="A42" s="663" t="s">
        <v>819</v>
      </c>
      <c r="B42" s="682">
        <v>2000</v>
      </c>
      <c r="C42" s="682">
        <v>1115</v>
      </c>
      <c r="D42" s="682">
        <v>1095</v>
      </c>
      <c r="E42" s="682">
        <v>1045</v>
      </c>
      <c r="F42" s="682">
        <v>975</v>
      </c>
      <c r="G42" s="682">
        <v>846.45</v>
      </c>
      <c r="H42" s="682">
        <v>670</v>
      </c>
      <c r="I42" s="682">
        <v>670</v>
      </c>
      <c r="J42" s="682">
        <v>670</v>
      </c>
      <c r="K42" s="682">
        <v>670</v>
      </c>
      <c r="L42" s="682">
        <v>670</v>
      </c>
      <c r="M42" s="682">
        <v>15000</v>
      </c>
      <c r="N42" s="682">
        <v>19400</v>
      </c>
      <c r="O42" s="682">
        <v>24000</v>
      </c>
      <c r="P42" s="682">
        <v>28000</v>
      </c>
      <c r="Q42" s="682">
        <v>31839.597987411798</v>
      </c>
      <c r="R42" s="682">
        <v>35750</v>
      </c>
      <c r="S42" s="682">
        <v>35750</v>
      </c>
      <c r="T42" s="682">
        <v>35750</v>
      </c>
      <c r="U42" s="682">
        <v>35750</v>
      </c>
      <c r="V42" s="682">
        <v>35750</v>
      </c>
      <c r="W42" s="683">
        <v>0.69032859848484796</v>
      </c>
      <c r="X42" s="683">
        <v>0.76144042763157904</v>
      </c>
      <c r="Y42" s="683">
        <v>0.80378941176470597</v>
      </c>
      <c r="Z42" s="683">
        <v>0.79967473118279597</v>
      </c>
      <c r="AA42" s="683">
        <v>0.73418001670881605</v>
      </c>
      <c r="AB42" s="683">
        <v>0.62143430555555601</v>
      </c>
      <c r="AC42" s="683">
        <v>0.62143430555555601</v>
      </c>
      <c r="AD42" s="683">
        <v>0.62143430555555601</v>
      </c>
      <c r="AE42" s="683">
        <v>0.62143430555555601</v>
      </c>
      <c r="AF42" s="683">
        <v>0.62143430555555601</v>
      </c>
      <c r="AG42" s="790">
        <v>3600</v>
      </c>
      <c r="AH42" s="781">
        <v>700</v>
      </c>
      <c r="AI42" s="781">
        <v>3612.6000000000004</v>
      </c>
      <c r="AJ42" s="781">
        <v>82.074999999999989</v>
      </c>
      <c r="AK42" s="781">
        <v>64350</v>
      </c>
      <c r="AL42" s="781">
        <v>5250</v>
      </c>
      <c r="AM42" s="819">
        <v>0.80378941176470597</v>
      </c>
    </row>
    <row r="43" spans="1:39" ht="15" customHeight="1">
      <c r="A43" s="663" t="s">
        <v>820</v>
      </c>
      <c r="B43" s="682">
        <v>2000</v>
      </c>
      <c r="C43" s="682">
        <v>1120</v>
      </c>
      <c r="D43" s="682">
        <v>1120</v>
      </c>
      <c r="E43" s="682">
        <v>1060</v>
      </c>
      <c r="F43" s="682">
        <v>935</v>
      </c>
      <c r="G43" s="682">
        <v>740</v>
      </c>
      <c r="H43" s="682">
        <v>530</v>
      </c>
      <c r="I43" s="682">
        <v>530</v>
      </c>
      <c r="J43" s="682">
        <v>530</v>
      </c>
      <c r="K43" s="682">
        <v>530</v>
      </c>
      <c r="L43" s="682">
        <v>530</v>
      </c>
      <c r="M43" s="682">
        <v>12500</v>
      </c>
      <c r="N43" s="682">
        <v>20000</v>
      </c>
      <c r="O43" s="682">
        <v>27500</v>
      </c>
      <c r="P43" s="682">
        <v>35000</v>
      </c>
      <c r="Q43" s="682">
        <v>42500</v>
      </c>
      <c r="R43" s="682">
        <v>47500</v>
      </c>
      <c r="S43" s="682">
        <v>47500</v>
      </c>
      <c r="T43" s="682">
        <v>47500</v>
      </c>
      <c r="U43" s="682">
        <v>47500</v>
      </c>
      <c r="V43" s="682">
        <v>47500</v>
      </c>
      <c r="W43" s="683">
        <v>0.65193732193732201</v>
      </c>
      <c r="X43" s="683">
        <v>0.78232478632478597</v>
      </c>
      <c r="Y43" s="683">
        <v>0.82718185763888896</v>
      </c>
      <c r="Z43" s="683">
        <v>0.79596744791666696</v>
      </c>
      <c r="AA43" s="683">
        <v>0.67460662729658805</v>
      </c>
      <c r="AB43" s="683">
        <v>0.54000705380577396</v>
      </c>
      <c r="AC43" s="683">
        <v>0.54000705380577396</v>
      </c>
      <c r="AD43" s="683">
        <v>0.54000705380577396</v>
      </c>
      <c r="AE43" s="683">
        <v>0.54000705380577396</v>
      </c>
      <c r="AF43" s="683">
        <v>0.54000705380577396</v>
      </c>
      <c r="AG43" s="790">
        <v>3600</v>
      </c>
      <c r="AH43" s="781">
        <v>700</v>
      </c>
      <c r="AI43" s="781">
        <v>3628.8</v>
      </c>
      <c r="AJ43" s="781">
        <v>64.924999999999997</v>
      </c>
      <c r="AK43" s="781">
        <v>85500</v>
      </c>
      <c r="AL43" s="781">
        <v>4375</v>
      </c>
      <c r="AM43" s="819">
        <v>0.82718185763888896</v>
      </c>
    </row>
    <row r="44" spans="1:39" ht="15" customHeight="1">
      <c r="A44" s="663" t="s">
        <v>821</v>
      </c>
      <c r="B44" s="682">
        <v>2200</v>
      </c>
      <c r="C44" s="682">
        <v>1296.9000000000001</v>
      </c>
      <c r="D44" s="682">
        <v>1287</v>
      </c>
      <c r="E44" s="682">
        <v>1212.75</v>
      </c>
      <c r="F44" s="682">
        <v>1048.5999999999999</v>
      </c>
      <c r="G44" s="682">
        <v>862.4</v>
      </c>
      <c r="H44" s="682">
        <v>640</v>
      </c>
      <c r="I44" s="682">
        <v>640</v>
      </c>
      <c r="J44" s="682">
        <v>640</v>
      </c>
      <c r="K44" s="682">
        <v>640</v>
      </c>
      <c r="L44" s="682">
        <v>640</v>
      </c>
      <c r="M44" s="682">
        <v>15631.252636945001</v>
      </c>
      <c r="N44" s="682">
        <v>25869.673364772101</v>
      </c>
      <c r="O44" s="682">
        <v>36182.718150382199</v>
      </c>
      <c r="P44" s="682">
        <v>47200.791857764401</v>
      </c>
      <c r="Q44" s="682">
        <v>55437.171645025301</v>
      </c>
      <c r="R44" s="682">
        <v>62850</v>
      </c>
      <c r="S44" s="682">
        <v>62850</v>
      </c>
      <c r="T44" s="682">
        <v>62850</v>
      </c>
      <c r="U44" s="682">
        <v>62850</v>
      </c>
      <c r="V44" s="682">
        <v>62850</v>
      </c>
      <c r="W44" s="683">
        <v>0.62755424981181496</v>
      </c>
      <c r="X44" s="683">
        <v>0.81710936478445495</v>
      </c>
      <c r="Y44" s="683">
        <v>0.878956209602622</v>
      </c>
      <c r="Z44" s="683">
        <v>0.83229598183213604</v>
      </c>
      <c r="AA44" s="683">
        <v>0.75720773258906804</v>
      </c>
      <c r="AB44" s="683">
        <v>0.62975218390804599</v>
      </c>
      <c r="AC44" s="683">
        <v>0.62975218390804599</v>
      </c>
      <c r="AD44" s="683">
        <v>0.62975218390804599</v>
      </c>
      <c r="AE44" s="683">
        <v>0.62975218390804599</v>
      </c>
      <c r="AF44" s="683">
        <v>0.62975218390804599</v>
      </c>
      <c r="AG44" s="790">
        <v>3600</v>
      </c>
      <c r="AH44" s="781">
        <v>700</v>
      </c>
      <c r="AI44" s="781">
        <v>3472.6909090909098</v>
      </c>
      <c r="AJ44" s="781">
        <v>64.793388429752071</v>
      </c>
      <c r="AK44" s="781">
        <v>102845.45454545456</v>
      </c>
      <c r="AL44" s="781">
        <v>4973.5803844824995</v>
      </c>
      <c r="AM44" s="819">
        <v>0.878956209602622</v>
      </c>
    </row>
    <row r="45" spans="1:39" ht="15" customHeight="1">
      <c r="A45" s="663" t="s">
        <v>822</v>
      </c>
      <c r="B45" s="682">
        <v>1800</v>
      </c>
      <c r="C45" s="682">
        <v>747.45</v>
      </c>
      <c r="D45" s="682">
        <v>737.55</v>
      </c>
      <c r="E45" s="682">
        <v>712.8</v>
      </c>
      <c r="F45" s="682">
        <v>666.4</v>
      </c>
      <c r="G45" s="682">
        <v>582</v>
      </c>
      <c r="H45" s="682">
        <v>480.15</v>
      </c>
      <c r="I45" s="682">
        <v>480.15</v>
      </c>
      <c r="J45" s="682">
        <v>480.15</v>
      </c>
      <c r="K45" s="682">
        <v>480.15</v>
      </c>
      <c r="L45" s="682">
        <v>480.15</v>
      </c>
      <c r="M45" s="682">
        <v>22387.217334898902</v>
      </c>
      <c r="N45" s="682">
        <v>30158.069218701701</v>
      </c>
      <c r="O45" s="682">
        <v>38366.715574831302</v>
      </c>
      <c r="P45" s="682">
        <v>45468.380243857398</v>
      </c>
      <c r="Q45" s="682">
        <v>52799.726675428901</v>
      </c>
      <c r="R45" s="682">
        <v>59500.248738975897</v>
      </c>
      <c r="S45" s="682">
        <v>59500.248738975897</v>
      </c>
      <c r="T45" s="682">
        <v>59500.248738975897</v>
      </c>
      <c r="U45" s="682">
        <v>59500.248738975897</v>
      </c>
      <c r="V45" s="682">
        <v>59500.248738975897</v>
      </c>
      <c r="W45" s="683">
        <v>0.69067223960221802</v>
      </c>
      <c r="X45" s="683">
        <v>0.78693334891684397</v>
      </c>
      <c r="Y45" s="683">
        <v>0.84659035419533302</v>
      </c>
      <c r="Z45" s="683">
        <v>0.859818753259045</v>
      </c>
      <c r="AA45" s="683">
        <v>0.82070704562214603</v>
      </c>
      <c r="AB45" s="683">
        <v>0.74833498596370995</v>
      </c>
      <c r="AC45" s="683">
        <v>0.74833498596370995</v>
      </c>
      <c r="AD45" s="683">
        <v>0.74833498596370995</v>
      </c>
      <c r="AE45" s="683">
        <v>0.74833498596370995</v>
      </c>
      <c r="AF45" s="683">
        <v>0.74833498596370995</v>
      </c>
      <c r="AG45" s="790">
        <v>3600</v>
      </c>
      <c r="AH45" s="781">
        <v>700</v>
      </c>
      <c r="AI45" s="781">
        <v>2666.827777777778</v>
      </c>
      <c r="AJ45" s="781">
        <v>72.615277777777777</v>
      </c>
      <c r="AK45" s="781">
        <v>112389.35872917665</v>
      </c>
      <c r="AL45" s="781">
        <v>8706.140074682924</v>
      </c>
      <c r="AM45" s="819">
        <v>0.859818753259045</v>
      </c>
    </row>
    <row r="46" spans="1:39" ht="15" customHeight="1">
      <c r="A46" s="663" t="s">
        <v>823</v>
      </c>
      <c r="B46" s="682">
        <v>1500</v>
      </c>
      <c r="C46" s="682">
        <v>480</v>
      </c>
      <c r="D46" s="682">
        <v>485</v>
      </c>
      <c r="E46" s="682">
        <v>469.65</v>
      </c>
      <c r="F46" s="682">
        <v>420</v>
      </c>
      <c r="G46" s="682">
        <v>340</v>
      </c>
      <c r="H46" s="682">
        <v>265</v>
      </c>
      <c r="I46" s="682">
        <v>265</v>
      </c>
      <c r="J46" s="682">
        <v>265</v>
      </c>
      <c r="K46" s="682">
        <v>265</v>
      </c>
      <c r="L46" s="682">
        <v>265</v>
      </c>
      <c r="M46" s="682">
        <v>20490</v>
      </c>
      <c r="N46" s="682">
        <v>30000</v>
      </c>
      <c r="O46" s="682">
        <v>40199.502484483601</v>
      </c>
      <c r="P46" s="682">
        <v>50000</v>
      </c>
      <c r="Q46" s="682">
        <v>60000</v>
      </c>
      <c r="R46" s="682">
        <v>66350</v>
      </c>
      <c r="S46" s="682">
        <v>66350</v>
      </c>
      <c r="T46" s="682">
        <v>66350</v>
      </c>
      <c r="U46" s="682">
        <v>66350</v>
      </c>
      <c r="V46" s="682">
        <v>66350</v>
      </c>
      <c r="W46" s="683">
        <v>0.65348107317073201</v>
      </c>
      <c r="X46" s="683">
        <v>0.79273249999999995</v>
      </c>
      <c r="Y46" s="683">
        <v>0.85719065752038104</v>
      </c>
      <c r="Z46" s="683">
        <v>0.85384328358209005</v>
      </c>
      <c r="AA46" s="683">
        <v>0.78271830985915503</v>
      </c>
      <c r="AB46" s="683">
        <v>0.694178861714976</v>
      </c>
      <c r="AC46" s="683">
        <v>0.694178861714976</v>
      </c>
      <c r="AD46" s="683">
        <v>0.694178861714976</v>
      </c>
      <c r="AE46" s="683">
        <v>0.694178861714976</v>
      </c>
      <c r="AF46" s="683">
        <v>0.694178861714976</v>
      </c>
      <c r="AG46" s="790">
        <v>3600</v>
      </c>
      <c r="AH46" s="781">
        <v>700</v>
      </c>
      <c r="AI46" s="781">
        <v>1750.85</v>
      </c>
      <c r="AJ46" s="781">
        <v>57.711111111111116</v>
      </c>
      <c r="AK46" s="781">
        <v>126065</v>
      </c>
      <c r="AL46" s="781">
        <v>9562</v>
      </c>
      <c r="AM46" s="819">
        <v>0.85719065752038104</v>
      </c>
    </row>
    <row r="47" spans="1:39" ht="15" customHeight="1">
      <c r="A47" s="663" t="s">
        <v>824</v>
      </c>
      <c r="B47" s="682">
        <v>1500</v>
      </c>
      <c r="C47" s="682">
        <v>470</v>
      </c>
      <c r="D47" s="682">
        <v>455</v>
      </c>
      <c r="E47" s="682">
        <v>425</v>
      </c>
      <c r="F47" s="682">
        <v>380</v>
      </c>
      <c r="G47" s="682">
        <v>330</v>
      </c>
      <c r="H47" s="682">
        <v>265</v>
      </c>
      <c r="I47" s="682">
        <v>265</v>
      </c>
      <c r="J47" s="682">
        <v>265</v>
      </c>
      <c r="K47" s="682">
        <v>265</v>
      </c>
      <c r="L47" s="682">
        <v>265</v>
      </c>
      <c r="M47" s="682">
        <v>25950</v>
      </c>
      <c r="N47" s="682">
        <v>35385</v>
      </c>
      <c r="O47" s="682">
        <v>43970</v>
      </c>
      <c r="P47" s="682">
        <v>52190</v>
      </c>
      <c r="Q47" s="682">
        <v>58220</v>
      </c>
      <c r="R47" s="682">
        <v>63685</v>
      </c>
      <c r="S47" s="682">
        <v>63685</v>
      </c>
      <c r="T47" s="682">
        <v>63685</v>
      </c>
      <c r="U47" s="682">
        <v>63685</v>
      </c>
      <c r="V47" s="682">
        <v>63685</v>
      </c>
      <c r="W47" s="683">
        <v>0.70692124999999995</v>
      </c>
      <c r="X47" s="683">
        <v>0.81221407523148204</v>
      </c>
      <c r="Y47" s="683">
        <v>0.86283361935028302</v>
      </c>
      <c r="Z47" s="683">
        <v>0.87139061559139797</v>
      </c>
      <c r="AA47" s="683">
        <v>0.84416652419354798</v>
      </c>
      <c r="AB47" s="683">
        <v>0.77922825176553701</v>
      </c>
      <c r="AC47" s="683">
        <v>0.77922825176553701</v>
      </c>
      <c r="AD47" s="683">
        <v>0.77922825176553701</v>
      </c>
      <c r="AE47" s="683">
        <v>0.77922825176553701</v>
      </c>
      <c r="AF47" s="683">
        <v>0.77922825176553701</v>
      </c>
      <c r="AG47" s="790">
        <v>3550</v>
      </c>
      <c r="AH47" s="781">
        <v>700</v>
      </c>
      <c r="AI47" s="781">
        <v>1358.3</v>
      </c>
      <c r="AJ47" s="781">
        <v>57.711111111111116</v>
      </c>
      <c r="AK47" s="781">
        <v>108264.5</v>
      </c>
      <c r="AL47" s="781">
        <v>12110</v>
      </c>
      <c r="AM47" s="819">
        <v>0.87139061559139797</v>
      </c>
    </row>
    <row r="48" spans="1:39" ht="15" customHeight="1">
      <c r="A48" s="663" t="s">
        <v>825</v>
      </c>
      <c r="B48" s="682">
        <v>1500</v>
      </c>
      <c r="C48" s="682">
        <v>765</v>
      </c>
      <c r="D48" s="682">
        <v>770</v>
      </c>
      <c r="E48" s="682">
        <v>760</v>
      </c>
      <c r="F48" s="682">
        <v>722.7</v>
      </c>
      <c r="G48" s="682">
        <v>656.6</v>
      </c>
      <c r="H48" s="682">
        <v>564.29999999999995</v>
      </c>
      <c r="I48" s="682">
        <v>564.29999999999995</v>
      </c>
      <c r="J48" s="682">
        <v>564.29999999999995</v>
      </c>
      <c r="K48" s="682">
        <v>564.29999999999995</v>
      </c>
      <c r="L48" s="682">
        <v>564.29999999999995</v>
      </c>
      <c r="M48" s="682">
        <v>8925</v>
      </c>
      <c r="N48" s="682">
        <v>14485</v>
      </c>
      <c r="O48" s="682">
        <v>19700</v>
      </c>
      <c r="P48" s="682">
        <v>24675.688440244201</v>
      </c>
      <c r="Q48" s="682">
        <v>28941.173447184199</v>
      </c>
      <c r="R48" s="682">
        <v>33083.332283795098</v>
      </c>
      <c r="S48" s="682">
        <v>33083.332283795098</v>
      </c>
      <c r="T48" s="682">
        <v>33083.332283795098</v>
      </c>
      <c r="U48" s="682">
        <v>33083.332283795098</v>
      </c>
      <c r="V48" s="682">
        <v>33083.332283795098</v>
      </c>
      <c r="W48" s="683">
        <v>0.51665523437500005</v>
      </c>
      <c r="X48" s="683">
        <v>0.64646503634751795</v>
      </c>
      <c r="Y48" s="683">
        <v>0.69129192090395497</v>
      </c>
      <c r="Z48" s="683">
        <v>0.69400558805850099</v>
      </c>
      <c r="AA48" s="683">
        <v>0.65527499781478604</v>
      </c>
      <c r="AB48" s="683">
        <v>0.58456622498965805</v>
      </c>
      <c r="AC48" s="683">
        <v>0.58456622498965805</v>
      </c>
      <c r="AD48" s="683">
        <v>0.58456622498965805</v>
      </c>
      <c r="AE48" s="683">
        <v>0.58456622498965805</v>
      </c>
      <c r="AF48" s="683">
        <v>0.58456622498965805</v>
      </c>
      <c r="AG48" s="790">
        <v>3600</v>
      </c>
      <c r="AH48" s="781">
        <v>700</v>
      </c>
      <c r="AI48" s="781">
        <v>4312.8555555555558</v>
      </c>
      <c r="AJ48" s="781">
        <v>122.892</v>
      </c>
      <c r="AK48" s="781">
        <v>78297.219738315107</v>
      </c>
      <c r="AL48" s="781">
        <v>4165</v>
      </c>
      <c r="AM48" s="819">
        <v>0.69400558805850099</v>
      </c>
    </row>
    <row r="49" spans="1:39" ht="15" customHeight="1">
      <c r="A49" s="663" t="s">
        <v>826</v>
      </c>
      <c r="B49" s="682">
        <v>1700</v>
      </c>
      <c r="C49" s="682">
        <v>955</v>
      </c>
      <c r="D49" s="682">
        <v>950</v>
      </c>
      <c r="E49" s="682">
        <v>915.75</v>
      </c>
      <c r="F49" s="682">
        <v>823.2</v>
      </c>
      <c r="G49" s="682">
        <v>679</v>
      </c>
      <c r="H49" s="682">
        <v>525</v>
      </c>
      <c r="I49" s="682">
        <v>525</v>
      </c>
      <c r="J49" s="682">
        <v>525</v>
      </c>
      <c r="K49" s="682">
        <v>525</v>
      </c>
      <c r="L49" s="682">
        <v>525</v>
      </c>
      <c r="M49" s="682">
        <v>12500</v>
      </c>
      <c r="N49" s="682">
        <v>20000</v>
      </c>
      <c r="O49" s="682">
        <v>27362.154520432101</v>
      </c>
      <c r="P49" s="682">
        <v>34648.2322781408</v>
      </c>
      <c r="Q49" s="682">
        <v>40109.473397814603</v>
      </c>
      <c r="R49" s="682">
        <v>43800</v>
      </c>
      <c r="S49" s="682">
        <v>43800</v>
      </c>
      <c r="T49" s="682">
        <v>43800</v>
      </c>
      <c r="U49" s="682">
        <v>43800</v>
      </c>
      <c r="V49" s="682">
        <v>43800</v>
      </c>
      <c r="W49" s="683">
        <v>0.63764195261437895</v>
      </c>
      <c r="X49" s="683">
        <v>0.77252487562189098</v>
      </c>
      <c r="Y49" s="683">
        <v>0.84270558872240797</v>
      </c>
      <c r="Z49" s="683">
        <v>0.82659403110242802</v>
      </c>
      <c r="AA49" s="683">
        <v>0.72029961761272399</v>
      </c>
      <c r="AB49" s="683">
        <v>0.59096426886792497</v>
      </c>
      <c r="AC49" s="683">
        <v>0.59096426886792497</v>
      </c>
      <c r="AD49" s="683">
        <v>0.59096426886792497</v>
      </c>
      <c r="AE49" s="683">
        <v>0.59096426886792497</v>
      </c>
      <c r="AF49" s="683">
        <v>0.59096426886792497</v>
      </c>
      <c r="AG49" s="790">
        <v>3600</v>
      </c>
      <c r="AH49" s="781">
        <v>700</v>
      </c>
      <c r="AI49" s="781">
        <v>3074.0095155709346</v>
      </c>
      <c r="AJ49" s="781">
        <v>89.013840830449823</v>
      </c>
      <c r="AK49" s="781">
        <v>78582.352941176476</v>
      </c>
      <c r="AL49" s="781">
        <v>5147.0588235294117</v>
      </c>
      <c r="AM49" s="819">
        <v>0.84270558872240797</v>
      </c>
    </row>
    <row r="50" spans="1:39" ht="15" customHeight="1">
      <c r="A50" s="663" t="s">
        <v>827</v>
      </c>
      <c r="B50" s="682">
        <v>1700</v>
      </c>
      <c r="C50" s="682">
        <v>1020</v>
      </c>
      <c r="D50" s="682">
        <v>995</v>
      </c>
      <c r="E50" s="682">
        <v>945</v>
      </c>
      <c r="F50" s="682">
        <v>865</v>
      </c>
      <c r="G50" s="682">
        <v>750</v>
      </c>
      <c r="H50" s="682">
        <v>615</v>
      </c>
      <c r="I50" s="682">
        <v>615</v>
      </c>
      <c r="J50" s="682">
        <v>615</v>
      </c>
      <c r="K50" s="682">
        <v>615</v>
      </c>
      <c r="L50" s="682">
        <v>615</v>
      </c>
      <c r="M50" s="682">
        <v>21340</v>
      </c>
      <c r="N50" s="682">
        <v>31340</v>
      </c>
      <c r="O50" s="682">
        <v>38250</v>
      </c>
      <c r="P50" s="682">
        <v>44380</v>
      </c>
      <c r="Q50" s="682">
        <v>50825</v>
      </c>
      <c r="R50" s="682">
        <v>56700</v>
      </c>
      <c r="S50" s="682">
        <v>56700</v>
      </c>
      <c r="T50" s="682">
        <v>56700</v>
      </c>
      <c r="U50" s="682">
        <v>56700</v>
      </c>
      <c r="V50" s="682">
        <v>56700</v>
      </c>
      <c r="W50" s="683">
        <v>0.74120488750000002</v>
      </c>
      <c r="X50" s="683">
        <v>0.80140100393081803</v>
      </c>
      <c r="Y50" s="683">
        <v>0.79410007560483897</v>
      </c>
      <c r="Z50" s="683">
        <v>0.75235407853716996</v>
      </c>
      <c r="AA50" s="683">
        <v>0.66994727822580602</v>
      </c>
      <c r="AB50" s="683">
        <v>0.57571547727272698</v>
      </c>
      <c r="AC50" s="683">
        <v>0.57571547727272698</v>
      </c>
      <c r="AD50" s="683">
        <v>0.57571547727272698</v>
      </c>
      <c r="AE50" s="683">
        <v>0.57571547727272698</v>
      </c>
      <c r="AF50" s="683">
        <v>0.57571547727272698</v>
      </c>
      <c r="AG50" s="790">
        <v>3600</v>
      </c>
      <c r="AH50" s="781">
        <v>700</v>
      </c>
      <c r="AI50" s="781">
        <v>4574.1176470588234</v>
      </c>
      <c r="AJ50" s="781">
        <v>104.27335640138408</v>
      </c>
      <c r="AK50" s="781">
        <v>120070.58823529413</v>
      </c>
      <c r="AL50" s="781">
        <v>8787.0588235294108</v>
      </c>
      <c r="AM50" s="819">
        <v>0.80140100393081803</v>
      </c>
    </row>
    <row r="51" spans="1:39" ht="15" customHeight="1">
      <c r="A51" s="663" t="s">
        <v>828</v>
      </c>
      <c r="B51" s="682">
        <v>1600</v>
      </c>
      <c r="C51" s="682">
        <v>820</v>
      </c>
      <c r="D51" s="682">
        <v>800</v>
      </c>
      <c r="E51" s="682">
        <v>735</v>
      </c>
      <c r="F51" s="682">
        <v>660</v>
      </c>
      <c r="G51" s="682">
        <v>535</v>
      </c>
      <c r="H51" s="682">
        <v>400</v>
      </c>
      <c r="I51" s="682">
        <v>400</v>
      </c>
      <c r="J51" s="682">
        <v>400</v>
      </c>
      <c r="K51" s="682">
        <v>400</v>
      </c>
      <c r="L51" s="682">
        <v>400</v>
      </c>
      <c r="M51" s="682">
        <v>18220</v>
      </c>
      <c r="N51" s="682">
        <v>31340</v>
      </c>
      <c r="O51" s="682">
        <v>41625</v>
      </c>
      <c r="P51" s="682">
        <v>49355</v>
      </c>
      <c r="Q51" s="682">
        <v>58500</v>
      </c>
      <c r="R51" s="682">
        <v>66300</v>
      </c>
      <c r="S51" s="682">
        <v>66300</v>
      </c>
      <c r="T51" s="682">
        <v>66300</v>
      </c>
      <c r="U51" s="682">
        <v>66300</v>
      </c>
      <c r="V51" s="682">
        <v>66300</v>
      </c>
      <c r="W51" s="683">
        <v>0.61666878282828297</v>
      </c>
      <c r="X51" s="683">
        <v>0.80353301960784296</v>
      </c>
      <c r="Y51" s="683">
        <v>0.85045078124999995</v>
      </c>
      <c r="Z51" s="683">
        <v>0.82164650231481495</v>
      </c>
      <c r="AA51" s="683">
        <v>0.74138788043478299</v>
      </c>
      <c r="AB51" s="683">
        <v>0.61747777777777801</v>
      </c>
      <c r="AC51" s="683">
        <v>0.61747777777777801</v>
      </c>
      <c r="AD51" s="683">
        <v>0.61747777777777801</v>
      </c>
      <c r="AE51" s="683">
        <v>0.61747777777777801</v>
      </c>
      <c r="AF51" s="683">
        <v>0.61747777777777801</v>
      </c>
      <c r="AG51" s="790">
        <v>3600</v>
      </c>
      <c r="AH51" s="781">
        <v>700</v>
      </c>
      <c r="AI51" s="781">
        <v>3923.828125</v>
      </c>
      <c r="AJ51" s="781">
        <v>76.5625</v>
      </c>
      <c r="AK51" s="781">
        <v>145031.25</v>
      </c>
      <c r="AL51" s="781">
        <v>7971.25</v>
      </c>
      <c r="AM51" s="819">
        <v>0.85045078124999995</v>
      </c>
    </row>
    <row r="52" spans="1:39" ht="15" customHeight="1">
      <c r="A52" s="663" t="s">
        <v>829</v>
      </c>
      <c r="B52" s="682">
        <v>1500</v>
      </c>
      <c r="C52" s="682">
        <v>675</v>
      </c>
      <c r="D52" s="682">
        <v>665</v>
      </c>
      <c r="E52" s="682">
        <v>630</v>
      </c>
      <c r="F52" s="682">
        <v>554.4</v>
      </c>
      <c r="G52" s="682">
        <v>441</v>
      </c>
      <c r="H52" s="682">
        <v>345</v>
      </c>
      <c r="I52" s="682">
        <v>345</v>
      </c>
      <c r="J52" s="682">
        <v>345</v>
      </c>
      <c r="K52" s="682">
        <v>345</v>
      </c>
      <c r="L52" s="682">
        <v>345</v>
      </c>
      <c r="M52" s="682">
        <v>22500</v>
      </c>
      <c r="N52" s="682">
        <v>35000</v>
      </c>
      <c r="O52" s="682">
        <v>47750</v>
      </c>
      <c r="P52" s="682">
        <v>59699.246226397197</v>
      </c>
      <c r="Q52" s="682">
        <v>71771.338290434607</v>
      </c>
      <c r="R52" s="682">
        <v>80000</v>
      </c>
      <c r="S52" s="682">
        <v>80000</v>
      </c>
      <c r="T52" s="682">
        <v>80000</v>
      </c>
      <c r="U52" s="682">
        <v>80000</v>
      </c>
      <c r="V52" s="682">
        <v>80000</v>
      </c>
      <c r="W52" s="683">
        <v>0.68955468750000004</v>
      </c>
      <c r="X52" s="683">
        <v>0.82344128787878801</v>
      </c>
      <c r="Y52" s="683">
        <v>0.88118004032258102</v>
      </c>
      <c r="Z52" s="683">
        <v>0.88394566855206602</v>
      </c>
      <c r="AA52" s="683">
        <v>0.81342486358727095</v>
      </c>
      <c r="AB52" s="683">
        <v>0.70931132075471703</v>
      </c>
      <c r="AC52" s="683">
        <v>0.70931132075471703</v>
      </c>
      <c r="AD52" s="683">
        <v>0.70931132075471703</v>
      </c>
      <c r="AE52" s="683">
        <v>0.70931132075471703</v>
      </c>
      <c r="AF52" s="683">
        <v>0.70931132075471703</v>
      </c>
      <c r="AG52" s="790">
        <v>3500</v>
      </c>
      <c r="AH52" s="781">
        <v>700</v>
      </c>
      <c r="AI52" s="781">
        <v>2976.75</v>
      </c>
      <c r="AJ52" s="781">
        <v>75.13333333333334</v>
      </c>
      <c r="AK52" s="781">
        <v>168000</v>
      </c>
      <c r="AL52" s="781">
        <v>10500</v>
      </c>
      <c r="AM52" s="819">
        <v>0.88394566855206602</v>
      </c>
    </row>
    <row r="53" spans="1:39" ht="15" customHeight="1">
      <c r="A53" s="663" t="s">
        <v>830</v>
      </c>
      <c r="B53" s="682">
        <v>1300</v>
      </c>
      <c r="C53" s="682">
        <v>485</v>
      </c>
      <c r="D53" s="682">
        <v>475</v>
      </c>
      <c r="E53" s="682">
        <v>460</v>
      </c>
      <c r="F53" s="682">
        <v>425.7</v>
      </c>
      <c r="G53" s="682">
        <v>362.6</v>
      </c>
      <c r="H53" s="682">
        <v>294</v>
      </c>
      <c r="I53" s="682">
        <v>294</v>
      </c>
      <c r="J53" s="682">
        <v>294</v>
      </c>
      <c r="K53" s="682">
        <v>294</v>
      </c>
      <c r="L53" s="682">
        <v>294</v>
      </c>
      <c r="M53" s="682">
        <v>30000</v>
      </c>
      <c r="N53" s="682">
        <v>40000</v>
      </c>
      <c r="O53" s="682">
        <v>50000</v>
      </c>
      <c r="P53" s="682">
        <v>59699.246226397197</v>
      </c>
      <c r="Q53" s="682">
        <v>69296.464556281702</v>
      </c>
      <c r="R53" s="682">
        <v>76721.085758740403</v>
      </c>
      <c r="S53" s="682">
        <v>76721.085758740403</v>
      </c>
      <c r="T53" s="682">
        <v>76721.085758740403</v>
      </c>
      <c r="U53" s="682">
        <v>76721.085758740403</v>
      </c>
      <c r="V53" s="682">
        <v>76721.085758740403</v>
      </c>
      <c r="W53" s="683">
        <v>0.73401157407407402</v>
      </c>
      <c r="X53" s="683">
        <v>0.80873697916666698</v>
      </c>
      <c r="Y53" s="683">
        <v>0.85829908675799105</v>
      </c>
      <c r="Z53" s="683">
        <v>0.87635300684207995</v>
      </c>
      <c r="AA53" s="683">
        <v>0.81975877963337496</v>
      </c>
      <c r="AB53" s="683">
        <v>0.72545810141209</v>
      </c>
      <c r="AC53" s="683">
        <v>0.72545810141209</v>
      </c>
      <c r="AD53" s="683">
        <v>0.72545810141209</v>
      </c>
      <c r="AE53" s="683">
        <v>0.72545810141209</v>
      </c>
      <c r="AF53" s="683">
        <v>0.72545810141209</v>
      </c>
      <c r="AG53" s="790">
        <v>3300</v>
      </c>
      <c r="AH53" s="781">
        <v>700</v>
      </c>
      <c r="AI53" s="781">
        <v>2170.3032544378698</v>
      </c>
      <c r="AJ53" s="781">
        <v>85.242603550295854</v>
      </c>
      <c r="AK53" s="781">
        <v>162294.60448964318</v>
      </c>
      <c r="AL53" s="781">
        <v>16153.846153846152</v>
      </c>
      <c r="AM53" s="819">
        <v>0.87635300684207995</v>
      </c>
    </row>
    <row r="54" spans="1:39" ht="15" customHeight="1">
      <c r="A54" s="663" t="s">
        <v>831</v>
      </c>
      <c r="B54" s="682">
        <v>1300</v>
      </c>
      <c r="C54" s="682">
        <v>407.4</v>
      </c>
      <c r="D54" s="682">
        <v>396.9</v>
      </c>
      <c r="E54" s="682">
        <v>357.7</v>
      </c>
      <c r="F54" s="682">
        <v>307.2</v>
      </c>
      <c r="G54" s="682">
        <v>240</v>
      </c>
      <c r="H54" s="682">
        <v>184.3</v>
      </c>
      <c r="I54" s="682">
        <v>184.3</v>
      </c>
      <c r="J54" s="682">
        <v>184.3</v>
      </c>
      <c r="K54" s="682">
        <v>184.3</v>
      </c>
      <c r="L54" s="682">
        <v>184.3</v>
      </c>
      <c r="M54" s="682">
        <v>32008.787855837301</v>
      </c>
      <c r="N54" s="682">
        <v>44547.7272147525</v>
      </c>
      <c r="O54" s="682">
        <v>56922.095885517003</v>
      </c>
      <c r="P54" s="682">
        <v>66136.223055145805</v>
      </c>
      <c r="Q54" s="682">
        <v>75934.182026278504</v>
      </c>
      <c r="R54" s="682">
        <v>81361.414300637596</v>
      </c>
      <c r="S54" s="682">
        <v>81361.414300637596</v>
      </c>
      <c r="T54" s="682">
        <v>81361.414300637596</v>
      </c>
      <c r="U54" s="682">
        <v>81361.414300637596</v>
      </c>
      <c r="V54" s="682">
        <v>81361.414300637596</v>
      </c>
      <c r="W54" s="683">
        <v>0.69655233306859998</v>
      </c>
      <c r="X54" s="683">
        <v>0.81637239962131003</v>
      </c>
      <c r="Y54" s="683">
        <v>0.88042617935948997</v>
      </c>
      <c r="Z54" s="683">
        <v>0.86479725266908702</v>
      </c>
      <c r="AA54" s="683">
        <v>0.79433229134049399</v>
      </c>
      <c r="AB54" s="683">
        <v>0.70428672981581797</v>
      </c>
      <c r="AC54" s="683">
        <v>0.70428672981581797</v>
      </c>
      <c r="AD54" s="683">
        <v>0.70428672981581797</v>
      </c>
      <c r="AE54" s="683">
        <v>0.70428672981581797</v>
      </c>
      <c r="AF54" s="683">
        <v>0.70428672981581797</v>
      </c>
      <c r="AG54" s="790">
        <v>2950</v>
      </c>
      <c r="AH54" s="781">
        <v>700</v>
      </c>
      <c r="AI54" s="781">
        <v>1446.9931952662721</v>
      </c>
      <c r="AJ54" s="781">
        <v>53.436094674556202</v>
      </c>
      <c r="AK54" s="781">
        <v>153334.97310504783</v>
      </c>
      <c r="AL54" s="781">
        <v>17235.501153143185</v>
      </c>
      <c r="AM54" s="819">
        <v>0.88042617935948997</v>
      </c>
    </row>
    <row r="55" spans="1:39" ht="15" customHeight="1">
      <c r="A55" s="663" t="s">
        <v>832</v>
      </c>
      <c r="B55" s="682">
        <v>1600</v>
      </c>
      <c r="C55" s="682">
        <v>1110</v>
      </c>
      <c r="D55" s="682">
        <v>1111</v>
      </c>
      <c r="E55" s="682">
        <v>1050</v>
      </c>
      <c r="F55" s="682">
        <v>910.8</v>
      </c>
      <c r="G55" s="682">
        <v>772.2</v>
      </c>
      <c r="H55" s="682">
        <v>600</v>
      </c>
      <c r="I55" s="682">
        <v>600</v>
      </c>
      <c r="J55" s="682">
        <v>600</v>
      </c>
      <c r="K55" s="682">
        <v>600</v>
      </c>
      <c r="L55" s="682">
        <v>600</v>
      </c>
      <c r="M55" s="682">
        <v>16000</v>
      </c>
      <c r="N55" s="682">
        <v>22109.726366465999</v>
      </c>
      <c r="O55" s="682">
        <v>28000</v>
      </c>
      <c r="P55" s="682">
        <v>33829.5728616251</v>
      </c>
      <c r="Q55" s="682">
        <v>37809.522610051499</v>
      </c>
      <c r="R55" s="682">
        <v>41000</v>
      </c>
      <c r="S55" s="682">
        <v>41000</v>
      </c>
      <c r="T55" s="682">
        <v>41000</v>
      </c>
      <c r="U55" s="682">
        <v>41000</v>
      </c>
      <c r="V55" s="682">
        <v>41000</v>
      </c>
      <c r="W55" s="683">
        <v>0.722107462686567</v>
      </c>
      <c r="X55" s="683">
        <v>0.85243533642873404</v>
      </c>
      <c r="Y55" s="683">
        <v>0.87054891304347803</v>
      </c>
      <c r="Z55" s="683">
        <v>0.81492189443350604</v>
      </c>
      <c r="AA55" s="683">
        <v>0.71654205834944495</v>
      </c>
      <c r="AB55" s="683">
        <v>0.58273478260869604</v>
      </c>
      <c r="AC55" s="683">
        <v>0.58273478260869604</v>
      </c>
      <c r="AD55" s="683">
        <v>0.58273478260869604</v>
      </c>
      <c r="AE55" s="683">
        <v>0.58273478260869604</v>
      </c>
      <c r="AF55" s="683">
        <v>0.58273478260869604</v>
      </c>
      <c r="AG55" s="790">
        <v>3600</v>
      </c>
      <c r="AH55" s="781">
        <v>700</v>
      </c>
      <c r="AI55" s="781">
        <v>4170.58984375</v>
      </c>
      <c r="AJ55" s="781">
        <v>114.84375</v>
      </c>
      <c r="AK55" s="781">
        <v>79437.5</v>
      </c>
      <c r="AL55" s="781">
        <v>7000</v>
      </c>
      <c r="AM55" s="819">
        <v>0.87054891304347803</v>
      </c>
    </row>
    <row r="56" spans="1:39" ht="15" customHeight="1">
      <c r="A56" s="663" t="s">
        <v>833</v>
      </c>
      <c r="B56" s="682">
        <v>1500</v>
      </c>
      <c r="C56" s="682">
        <v>921.5</v>
      </c>
      <c r="D56" s="682">
        <v>906.95</v>
      </c>
      <c r="E56" s="682">
        <v>863.3</v>
      </c>
      <c r="F56" s="682">
        <v>776</v>
      </c>
      <c r="G56" s="682">
        <v>640.20000000000005</v>
      </c>
      <c r="H56" s="682">
        <v>494.7</v>
      </c>
      <c r="I56" s="682">
        <v>494.7</v>
      </c>
      <c r="J56" s="682">
        <v>494.7</v>
      </c>
      <c r="K56" s="682">
        <v>494.7</v>
      </c>
      <c r="L56" s="682">
        <v>494.7</v>
      </c>
      <c r="M56" s="682">
        <v>24622.144504490301</v>
      </c>
      <c r="N56" s="682">
        <v>34471.002306286398</v>
      </c>
      <c r="O56" s="682">
        <v>44319.860108082503</v>
      </c>
      <c r="P56" s="682">
        <v>54168.7179098786</v>
      </c>
      <c r="Q56" s="682">
        <v>64017.575711674697</v>
      </c>
      <c r="R56" s="682">
        <v>71404.219063021796</v>
      </c>
      <c r="S56" s="682">
        <v>71404.219063021796</v>
      </c>
      <c r="T56" s="682">
        <v>71404.219063021796</v>
      </c>
      <c r="U56" s="682">
        <v>71404.219063021796</v>
      </c>
      <c r="V56" s="682">
        <v>71404.219063021796</v>
      </c>
      <c r="W56" s="683">
        <v>0.744692187148013</v>
      </c>
      <c r="X56" s="683">
        <v>0.84323681143377005</v>
      </c>
      <c r="Y56" s="683">
        <v>0.87588448789316897</v>
      </c>
      <c r="Z56" s="683">
        <v>0.83584045100715998</v>
      </c>
      <c r="AA56" s="683">
        <v>0.73452229107421896</v>
      </c>
      <c r="AB56" s="683">
        <v>0.601422229064005</v>
      </c>
      <c r="AC56" s="683">
        <v>0.601422229064005</v>
      </c>
      <c r="AD56" s="683">
        <v>0.601422229064005</v>
      </c>
      <c r="AE56" s="683">
        <v>0.601422229064005</v>
      </c>
      <c r="AF56" s="683">
        <v>0.601422229064005</v>
      </c>
      <c r="AG56" s="790">
        <v>3300</v>
      </c>
      <c r="AH56" s="781">
        <v>700</v>
      </c>
      <c r="AI56" s="781">
        <v>3809.8905555555552</v>
      </c>
      <c r="AJ56" s="781">
        <v>107.73466666666667</v>
      </c>
      <c r="AK56" s="781">
        <v>145188.57876147758</v>
      </c>
      <c r="AL56" s="781">
        <v>11490.334102095456</v>
      </c>
      <c r="AM56" s="819">
        <v>0.87588448789316897</v>
      </c>
    </row>
    <row r="57" spans="1:39" ht="15" customHeight="1">
      <c r="A57" s="663" t="s">
        <v>834</v>
      </c>
      <c r="B57" s="682">
        <v>2239</v>
      </c>
      <c r="C57" s="682">
        <v>2091.2222012240868</v>
      </c>
      <c r="D57" s="682">
        <v>2044.615224854808</v>
      </c>
      <c r="E57" s="682">
        <v>1972.4297248002786</v>
      </c>
      <c r="F57" s="682">
        <v>1869.4483082242089</v>
      </c>
      <c r="G57" s="682">
        <v>1694.2903341900444</v>
      </c>
      <c r="H57" s="682">
        <v>1523.9733100777232</v>
      </c>
      <c r="I57" s="682">
        <v>1287.3603646793683</v>
      </c>
      <c r="J57" s="682">
        <v>1073.9187087609014</v>
      </c>
      <c r="K57" s="682">
        <v>899.11067397627971</v>
      </c>
      <c r="L57" s="682">
        <v>899.11067397627971</v>
      </c>
      <c r="M57" s="682">
        <v>37540.003296322873</v>
      </c>
      <c r="N57" s="682">
        <v>49492.426610223309</v>
      </c>
      <c r="O57" s="682">
        <v>64814.542308251112</v>
      </c>
      <c r="P57" s="682">
        <v>78874.829366497273</v>
      </c>
      <c r="Q57" s="682">
        <v>97615.542251369232</v>
      </c>
      <c r="R57" s="682">
        <v>113943.71247996054</v>
      </c>
      <c r="S57" s="682">
        <v>130906.66680087055</v>
      </c>
      <c r="T57" s="682">
        <v>143475.79770972484</v>
      </c>
      <c r="U57" s="682">
        <v>153160.33595418168</v>
      </c>
      <c r="V57" s="682">
        <v>153160.33595418168</v>
      </c>
      <c r="W57" s="683">
        <v>0.74144176231979841</v>
      </c>
      <c r="X57" s="683">
        <v>0.81599771783402364</v>
      </c>
      <c r="Y57" s="683">
        <v>0.87578497928834698</v>
      </c>
      <c r="Z57" s="683">
        <v>0.87968947422117849</v>
      </c>
      <c r="AA57" s="683">
        <v>0.87998428320718936</v>
      </c>
      <c r="AB57" s="683">
        <v>0.83465584478353427</v>
      </c>
      <c r="AC57" s="683">
        <v>0.78005207255458064</v>
      </c>
      <c r="AD57" s="683">
        <v>0.68799514128198691</v>
      </c>
      <c r="AE57" s="683">
        <v>0.61896661322666136</v>
      </c>
      <c r="AF57" s="683">
        <v>0.61896661322666136</v>
      </c>
      <c r="AG57" s="790">
        <v>3100</v>
      </c>
      <c r="AH57" s="781">
        <v>700</v>
      </c>
      <c r="AI57" s="781">
        <v>4008.8091537713681</v>
      </c>
      <c r="AJ57" s="781">
        <v>87.882225513482936</v>
      </c>
      <c r="AK57" s="781">
        <v>212057.63352298492</v>
      </c>
      <c r="AL57" s="781">
        <v>11736.490534803936</v>
      </c>
      <c r="AM57" s="819">
        <v>0.87998428320718936</v>
      </c>
    </row>
    <row r="58" spans="1:39" ht="15" customHeight="1">
      <c r="A58" s="663" t="s">
        <v>835</v>
      </c>
      <c r="B58" s="682">
        <v>1100</v>
      </c>
      <c r="C58" s="682">
        <v>445</v>
      </c>
      <c r="D58" s="682">
        <v>440</v>
      </c>
      <c r="E58" s="682">
        <v>428</v>
      </c>
      <c r="F58" s="682">
        <v>405</v>
      </c>
      <c r="G58" s="682">
        <v>366.3</v>
      </c>
      <c r="H58" s="682">
        <v>316.8</v>
      </c>
      <c r="I58" s="682">
        <v>316.8</v>
      </c>
      <c r="J58" s="682">
        <v>316.8</v>
      </c>
      <c r="K58" s="682">
        <v>316.8</v>
      </c>
      <c r="L58" s="682">
        <v>316.8</v>
      </c>
      <c r="M58" s="682">
        <v>32500</v>
      </c>
      <c r="N58" s="682">
        <v>42500</v>
      </c>
      <c r="O58" s="682">
        <v>52500</v>
      </c>
      <c r="P58" s="682">
        <v>62500</v>
      </c>
      <c r="Q58" s="682">
        <v>72136.589190229904</v>
      </c>
      <c r="R58" s="682">
        <v>82086.463561296099</v>
      </c>
      <c r="S58" s="682">
        <v>82086.463561296099</v>
      </c>
      <c r="T58" s="682">
        <v>82086.463561296099</v>
      </c>
      <c r="U58" s="682">
        <v>82086.463561296099</v>
      </c>
      <c r="V58" s="682">
        <v>82086.463561296099</v>
      </c>
      <c r="W58" s="683">
        <v>0.70354036458333302</v>
      </c>
      <c r="X58" s="683">
        <v>0.77184722222222202</v>
      </c>
      <c r="Y58" s="683">
        <v>0.83852089041095901</v>
      </c>
      <c r="Z58" s="683">
        <v>0.85130208333333302</v>
      </c>
      <c r="AA58" s="683">
        <v>0.83700440926382003</v>
      </c>
      <c r="AB58" s="683">
        <v>0.77848276304192898</v>
      </c>
      <c r="AC58" s="683">
        <v>0.77848276304192898</v>
      </c>
      <c r="AD58" s="683">
        <v>0.77848276304192898</v>
      </c>
      <c r="AE58" s="683">
        <v>0.77848276304192898</v>
      </c>
      <c r="AF58" s="683">
        <v>0.77848276304192898</v>
      </c>
      <c r="AG58" s="790">
        <v>2600</v>
      </c>
      <c r="AH58" s="781">
        <v>700</v>
      </c>
      <c r="AI58" s="781">
        <v>2031.0020661157023</v>
      </c>
      <c r="AJ58" s="781">
        <v>128.29090909090908</v>
      </c>
      <c r="AK58" s="781">
        <v>175366.53579004176</v>
      </c>
      <c r="AL58" s="781">
        <v>20681.81818181818</v>
      </c>
      <c r="AM58" s="819">
        <v>0.85130208333333302</v>
      </c>
    </row>
    <row r="59" spans="1:39" ht="15" customHeight="1">
      <c r="A59" s="663" t="s">
        <v>836</v>
      </c>
      <c r="B59" s="682">
        <v>1100</v>
      </c>
      <c r="C59" s="682">
        <v>400</v>
      </c>
      <c r="D59" s="682">
        <v>395</v>
      </c>
      <c r="E59" s="682">
        <v>380</v>
      </c>
      <c r="F59" s="682">
        <v>351.45</v>
      </c>
      <c r="G59" s="682">
        <v>305.55</v>
      </c>
      <c r="H59" s="682">
        <v>230</v>
      </c>
      <c r="I59" s="682">
        <v>230</v>
      </c>
      <c r="J59" s="682">
        <v>230</v>
      </c>
      <c r="K59" s="682">
        <v>230</v>
      </c>
      <c r="L59" s="682">
        <v>230</v>
      </c>
      <c r="M59" s="682">
        <v>35000</v>
      </c>
      <c r="N59" s="682">
        <v>47500</v>
      </c>
      <c r="O59" s="682">
        <v>60000</v>
      </c>
      <c r="P59" s="682">
        <v>72136.589190229904</v>
      </c>
      <c r="Q59" s="682">
        <v>83715.291315266906</v>
      </c>
      <c r="R59" s="682">
        <v>97500</v>
      </c>
      <c r="S59" s="682">
        <v>97500</v>
      </c>
      <c r="T59" s="682">
        <v>97500</v>
      </c>
      <c r="U59" s="682">
        <v>97500</v>
      </c>
      <c r="V59" s="682">
        <v>97500</v>
      </c>
      <c r="W59" s="683">
        <v>0.61513440860215096</v>
      </c>
      <c r="X59" s="683">
        <v>0.76286831467661698</v>
      </c>
      <c r="Y59" s="683">
        <v>0.86265277777777805</v>
      </c>
      <c r="Z59" s="683">
        <v>0.88543813634180302</v>
      </c>
      <c r="AA59" s="683">
        <v>0.84978077781961903</v>
      </c>
      <c r="AB59" s="683">
        <v>0.78319791666666705</v>
      </c>
      <c r="AC59" s="683">
        <v>0.78319791666666705</v>
      </c>
      <c r="AD59" s="683">
        <v>0.78319791666666705</v>
      </c>
      <c r="AE59" s="683">
        <v>0.78319791666666705</v>
      </c>
      <c r="AF59" s="683">
        <v>0.78319791666666705</v>
      </c>
      <c r="AG59" s="790">
        <v>2400</v>
      </c>
      <c r="AH59" s="781">
        <v>700</v>
      </c>
      <c r="AI59" s="781">
        <v>1257.0247933884298</v>
      </c>
      <c r="AJ59" s="781">
        <v>93.140495867768593</v>
      </c>
      <c r="AK59" s="781">
        <v>172840.90909090909</v>
      </c>
      <c r="AL59" s="781">
        <v>22272.727272727272</v>
      </c>
      <c r="AM59" s="819">
        <v>0.88543813634180302</v>
      </c>
    </row>
    <row r="60" spans="1:39" ht="15" customHeight="1">
      <c r="A60" s="663" t="s">
        <v>837</v>
      </c>
      <c r="B60" s="682">
        <v>1600</v>
      </c>
      <c r="C60" s="682">
        <v>1395</v>
      </c>
      <c r="D60" s="682">
        <v>1390</v>
      </c>
      <c r="E60" s="682">
        <v>1370</v>
      </c>
      <c r="F60" s="682">
        <v>1300</v>
      </c>
      <c r="G60" s="682">
        <v>1110</v>
      </c>
      <c r="H60" s="682">
        <v>825</v>
      </c>
      <c r="I60" s="682">
        <v>825</v>
      </c>
      <c r="J60" s="682">
        <v>825</v>
      </c>
      <c r="K60" s="682">
        <v>825</v>
      </c>
      <c r="L60" s="682">
        <v>825</v>
      </c>
      <c r="M60" s="682">
        <v>14000</v>
      </c>
      <c r="N60" s="682">
        <v>22000</v>
      </c>
      <c r="O60" s="682">
        <v>30000</v>
      </c>
      <c r="P60" s="682">
        <v>38000</v>
      </c>
      <c r="Q60" s="682">
        <v>46000</v>
      </c>
      <c r="R60" s="682">
        <v>52000</v>
      </c>
      <c r="S60" s="682">
        <v>52000</v>
      </c>
      <c r="T60" s="682">
        <v>52000</v>
      </c>
      <c r="U60" s="682">
        <v>52000</v>
      </c>
      <c r="V60" s="682">
        <v>52000</v>
      </c>
      <c r="W60" s="683">
        <v>0.53740378787878795</v>
      </c>
      <c r="X60" s="683">
        <v>0.67181465053763501</v>
      </c>
      <c r="Y60" s="683">
        <v>0.76687157534246597</v>
      </c>
      <c r="Z60" s="683">
        <v>0.791610784313726</v>
      </c>
      <c r="AA60" s="683">
        <v>0.72445807291666697</v>
      </c>
      <c r="AB60" s="683">
        <v>0.57854826732673303</v>
      </c>
      <c r="AC60" s="683">
        <v>0.57854826732673303</v>
      </c>
      <c r="AD60" s="683">
        <v>0.57854826732673303</v>
      </c>
      <c r="AE60" s="683">
        <v>0.57854826732673303</v>
      </c>
      <c r="AF60" s="683">
        <v>0.57854826732673303</v>
      </c>
      <c r="AG60" s="790">
        <v>3600</v>
      </c>
      <c r="AH60" s="781">
        <v>700</v>
      </c>
      <c r="AI60" s="781">
        <v>7062.1875</v>
      </c>
      <c r="AJ60" s="781">
        <v>157.91015625</v>
      </c>
      <c r="AK60" s="781">
        <v>117000</v>
      </c>
      <c r="AL60" s="781">
        <v>6125</v>
      </c>
      <c r="AM60" s="819">
        <v>0.791610784313726</v>
      </c>
    </row>
    <row r="61" spans="1:39" ht="15" customHeight="1">
      <c r="A61" s="663" t="s">
        <v>838</v>
      </c>
      <c r="B61" s="682">
        <v>1400</v>
      </c>
      <c r="C61" s="682">
        <v>1115</v>
      </c>
      <c r="D61" s="682">
        <v>1100</v>
      </c>
      <c r="E61" s="682">
        <v>1025</v>
      </c>
      <c r="F61" s="682">
        <v>900</v>
      </c>
      <c r="G61" s="682">
        <v>760</v>
      </c>
      <c r="H61" s="682">
        <v>580</v>
      </c>
      <c r="I61" s="682">
        <v>580</v>
      </c>
      <c r="J61" s="682">
        <v>580</v>
      </c>
      <c r="K61" s="682">
        <v>580</v>
      </c>
      <c r="L61" s="682">
        <v>580</v>
      </c>
      <c r="M61" s="682">
        <v>27000</v>
      </c>
      <c r="N61" s="682">
        <v>38000</v>
      </c>
      <c r="O61" s="682">
        <v>50000</v>
      </c>
      <c r="P61" s="682">
        <v>60000</v>
      </c>
      <c r="Q61" s="682">
        <v>68000</v>
      </c>
      <c r="R61" s="682">
        <v>75000</v>
      </c>
      <c r="S61" s="682">
        <v>75000</v>
      </c>
      <c r="T61" s="682">
        <v>75000</v>
      </c>
      <c r="U61" s="682">
        <v>75000</v>
      </c>
      <c r="V61" s="682">
        <v>75000</v>
      </c>
      <c r="W61" s="683">
        <v>0.74555488636363598</v>
      </c>
      <c r="X61" s="683">
        <v>0.84977736318408004</v>
      </c>
      <c r="Y61" s="683">
        <v>0.86716485507246399</v>
      </c>
      <c r="Z61" s="683">
        <v>0.81273480662983399</v>
      </c>
      <c r="AA61" s="683">
        <v>0.71829047619047603</v>
      </c>
      <c r="AB61" s="683">
        <v>0.58088848039215701</v>
      </c>
      <c r="AC61" s="683">
        <v>0.58088848039215701</v>
      </c>
      <c r="AD61" s="683">
        <v>0.58088848039215701</v>
      </c>
      <c r="AE61" s="683">
        <v>0.58088848039215701</v>
      </c>
      <c r="AF61" s="683">
        <v>0.58088848039215701</v>
      </c>
      <c r="AG61" s="790">
        <v>3600</v>
      </c>
      <c r="AH61" s="781">
        <v>700</v>
      </c>
      <c r="AI61" s="781">
        <v>6771.0650510204086</v>
      </c>
      <c r="AJ61" s="781">
        <v>145</v>
      </c>
      <c r="AK61" s="781">
        <v>184821.42857142858</v>
      </c>
      <c r="AL61" s="781">
        <v>13500</v>
      </c>
      <c r="AM61" s="819">
        <v>0.86716485507246399</v>
      </c>
    </row>
    <row r="62" spans="1:39" ht="15" customHeight="1">
      <c r="A62" s="663" t="s">
        <v>839</v>
      </c>
      <c r="B62" s="682">
        <v>1200</v>
      </c>
      <c r="C62" s="682">
        <v>790</v>
      </c>
      <c r="D62" s="682">
        <v>782.1</v>
      </c>
      <c r="E62" s="682">
        <v>749.7</v>
      </c>
      <c r="F62" s="682">
        <v>695.8</v>
      </c>
      <c r="G62" s="682">
        <v>602.70000000000005</v>
      </c>
      <c r="H62" s="682">
        <v>455</v>
      </c>
      <c r="I62" s="682">
        <v>455</v>
      </c>
      <c r="J62" s="682">
        <v>455</v>
      </c>
      <c r="K62" s="682">
        <v>455</v>
      </c>
      <c r="L62" s="682">
        <v>455</v>
      </c>
      <c r="M62" s="682">
        <v>35000</v>
      </c>
      <c r="N62" s="682">
        <v>47261.903262564403</v>
      </c>
      <c r="O62" s="682">
        <v>59396.969619670002</v>
      </c>
      <c r="P62" s="682">
        <v>71771.338290434607</v>
      </c>
      <c r="Q62" s="682">
        <v>84145.706961199205</v>
      </c>
      <c r="R62" s="682">
        <v>97500</v>
      </c>
      <c r="S62" s="682">
        <v>97500</v>
      </c>
      <c r="T62" s="682">
        <v>97500</v>
      </c>
      <c r="U62" s="682">
        <v>97500</v>
      </c>
      <c r="V62" s="682">
        <v>97500</v>
      </c>
      <c r="W62" s="683">
        <v>0.76860416666666698</v>
      </c>
      <c r="X62" s="683">
        <v>0.84617503092898605</v>
      </c>
      <c r="Y62" s="683">
        <v>0.88545176190340602</v>
      </c>
      <c r="Z62" s="683">
        <v>0.85025493379969497</v>
      </c>
      <c r="AA62" s="683">
        <v>0.76752817077336899</v>
      </c>
      <c r="AB62" s="683">
        <v>0.61658593750000001</v>
      </c>
      <c r="AC62" s="683">
        <v>0.61658593750000001</v>
      </c>
      <c r="AD62" s="683">
        <v>0.61658593750000001</v>
      </c>
      <c r="AE62" s="683">
        <v>0.61658593750000001</v>
      </c>
      <c r="AF62" s="683">
        <v>0.61658593750000001</v>
      </c>
      <c r="AG62" s="790">
        <v>3050</v>
      </c>
      <c r="AH62" s="781">
        <v>700</v>
      </c>
      <c r="AI62" s="781">
        <v>5103.4548611111104</v>
      </c>
      <c r="AJ62" s="781">
        <v>154.82638888888891</v>
      </c>
      <c r="AK62" s="781">
        <v>247812.5</v>
      </c>
      <c r="AL62" s="781">
        <v>20416.666666666668</v>
      </c>
      <c r="AM62" s="819">
        <v>0.88545176190340602</v>
      </c>
    </row>
    <row r="63" spans="1:39" ht="15" customHeight="1">
      <c r="A63" s="663" t="s">
        <v>840</v>
      </c>
      <c r="B63" s="682">
        <v>1100</v>
      </c>
      <c r="C63" s="682">
        <v>591.70000000000005</v>
      </c>
      <c r="D63" s="682">
        <v>577.15</v>
      </c>
      <c r="E63" s="682">
        <v>553.70000000000005</v>
      </c>
      <c r="F63" s="682">
        <v>494.7</v>
      </c>
      <c r="G63" s="682">
        <v>403.2</v>
      </c>
      <c r="H63" s="682">
        <v>268.8</v>
      </c>
      <c r="I63" s="682">
        <v>268.8</v>
      </c>
      <c r="J63" s="682">
        <v>268.8</v>
      </c>
      <c r="K63" s="682">
        <v>268.8</v>
      </c>
      <c r="L63" s="682">
        <v>268.8</v>
      </c>
      <c r="M63" s="682">
        <v>34471.002306286398</v>
      </c>
      <c r="N63" s="682">
        <v>54168.7179098786</v>
      </c>
      <c r="O63" s="682">
        <v>74246.212024587498</v>
      </c>
      <c r="P63" s="682">
        <v>93564.149117063003</v>
      </c>
      <c r="Q63" s="682">
        <v>110227.03842524299</v>
      </c>
      <c r="R63" s="682">
        <v>122474.487139159</v>
      </c>
      <c r="S63" s="682">
        <v>122474.487139159</v>
      </c>
      <c r="T63" s="682">
        <v>122474.487139159</v>
      </c>
      <c r="U63" s="682">
        <v>122474.487139159</v>
      </c>
      <c r="V63" s="682">
        <v>122474.487139159</v>
      </c>
      <c r="W63" s="683">
        <v>0.67760297316335705</v>
      </c>
      <c r="X63" s="683">
        <v>0.826863281114668</v>
      </c>
      <c r="Y63" s="683">
        <v>0.88181763200727104</v>
      </c>
      <c r="Z63" s="683">
        <v>0.86363891183494301</v>
      </c>
      <c r="AA63" s="683">
        <v>0.79915257672390805</v>
      </c>
      <c r="AB63" s="683">
        <v>0.71746142443657601</v>
      </c>
      <c r="AC63" s="683">
        <v>0.71746142443657601</v>
      </c>
      <c r="AD63" s="683">
        <v>0.71746142443657601</v>
      </c>
      <c r="AE63" s="683">
        <v>0.71746142443657601</v>
      </c>
      <c r="AF63" s="683">
        <v>0.71746142443657601</v>
      </c>
      <c r="AG63" s="790">
        <v>2650</v>
      </c>
      <c r="AH63" s="781">
        <v>700</v>
      </c>
      <c r="AI63" s="781">
        <v>2366.7999999999997</v>
      </c>
      <c r="AJ63" s="781">
        <v>108.85289256198347</v>
      </c>
      <c r="AK63" s="781">
        <v>244948.97427831779</v>
      </c>
      <c r="AL63" s="781">
        <v>21936.092376727691</v>
      </c>
      <c r="AM63" s="819">
        <v>0.88181763200727104</v>
      </c>
    </row>
    <row r="64" spans="1:39" ht="15" customHeight="1">
      <c r="A64" s="663" t="s">
        <v>841</v>
      </c>
      <c r="B64" s="682">
        <v>1200</v>
      </c>
      <c r="C64" s="682">
        <v>681.1</v>
      </c>
      <c r="D64" s="682">
        <v>671.3</v>
      </c>
      <c r="E64" s="682">
        <v>622.29999999999995</v>
      </c>
      <c r="F64" s="682">
        <v>523.79999999999995</v>
      </c>
      <c r="G64" s="682">
        <v>407.4</v>
      </c>
      <c r="H64" s="682">
        <v>303.8</v>
      </c>
      <c r="I64" s="682">
        <v>303.8</v>
      </c>
      <c r="J64" s="682">
        <v>303.8</v>
      </c>
      <c r="K64" s="682">
        <v>303.8</v>
      </c>
      <c r="L64" s="682">
        <v>303.8</v>
      </c>
      <c r="M64" s="682">
        <v>54447.222151364098</v>
      </c>
      <c r="N64" s="682">
        <v>79195.959492893293</v>
      </c>
      <c r="O64" s="682">
        <v>103944.69683442199</v>
      </c>
      <c r="P64" s="682">
        <v>128035.151423349</v>
      </c>
      <c r="Q64" s="682">
        <v>147732.867026942</v>
      </c>
      <c r="R64" s="682">
        <v>163341.66645409199</v>
      </c>
      <c r="S64" s="682">
        <v>163341.66645409199</v>
      </c>
      <c r="T64" s="682">
        <v>163341.66645409199</v>
      </c>
      <c r="U64" s="682">
        <v>163341.66645409199</v>
      </c>
      <c r="V64" s="682">
        <v>163341.66645409199</v>
      </c>
      <c r="W64" s="683">
        <v>0.71647521176622098</v>
      </c>
      <c r="X64" s="683">
        <v>0.84202483250570104</v>
      </c>
      <c r="Y64" s="683">
        <v>0.87667728707363102</v>
      </c>
      <c r="Z64" s="683">
        <v>0.82667749419130498</v>
      </c>
      <c r="AA64" s="683">
        <v>0.72228063002030396</v>
      </c>
      <c r="AB64" s="683">
        <v>0.59551481329131595</v>
      </c>
      <c r="AC64" s="683">
        <v>0.59551481329131595</v>
      </c>
      <c r="AD64" s="683">
        <v>0.59551481329131595</v>
      </c>
      <c r="AE64" s="683">
        <v>0.59551481329131595</v>
      </c>
      <c r="AF64" s="683">
        <v>0.59551481329131595</v>
      </c>
      <c r="AG64" s="790">
        <v>2950</v>
      </c>
      <c r="AH64" s="781">
        <v>700</v>
      </c>
      <c r="AI64" s="781">
        <v>2186.3782986111114</v>
      </c>
      <c r="AJ64" s="781">
        <v>103.37638888888891</v>
      </c>
      <c r="AK64" s="781">
        <v>292653.8190635824</v>
      </c>
      <c r="AL64" s="781">
        <v>31760.879588295764</v>
      </c>
      <c r="AM64" s="819">
        <v>0.87667728707363102</v>
      </c>
    </row>
    <row r="65" spans="1:39" ht="15" customHeight="1">
      <c r="A65" s="663" t="s">
        <v>842</v>
      </c>
      <c r="B65" s="682">
        <v>976</v>
      </c>
      <c r="C65" s="682">
        <v>447.84985367547813</v>
      </c>
      <c r="D65" s="682">
        <v>434.83678081676794</v>
      </c>
      <c r="E65" s="682">
        <v>397.99625437559592</v>
      </c>
      <c r="F65" s="682">
        <v>355.08211307794193</v>
      </c>
      <c r="G65" s="682">
        <v>302.36666613206404</v>
      </c>
      <c r="H65" s="682">
        <v>265.96765997805988</v>
      </c>
      <c r="I65" s="682">
        <v>231.63910440522747</v>
      </c>
      <c r="J65" s="682">
        <v>174.42634285662115</v>
      </c>
      <c r="K65" s="682">
        <v>174.42634285662115</v>
      </c>
      <c r="L65" s="682">
        <v>174.42634285662115</v>
      </c>
      <c r="M65" s="682">
        <v>55178.656335691616</v>
      </c>
      <c r="N65" s="682">
        <v>67284.223682078577</v>
      </c>
      <c r="O65" s="682">
        <v>94280.615704013908</v>
      </c>
      <c r="P65" s="682">
        <v>119760.58936355899</v>
      </c>
      <c r="Q65" s="682">
        <v>147351.72320619153</v>
      </c>
      <c r="R65" s="682">
        <v>163446.05835446404</v>
      </c>
      <c r="S65" s="682">
        <v>176095.88479211362</v>
      </c>
      <c r="T65" s="682">
        <v>199082.31857787009</v>
      </c>
      <c r="U65" s="682">
        <v>199082.31857787009</v>
      </c>
      <c r="V65" s="682">
        <v>199082.31857787009</v>
      </c>
      <c r="W65" s="683">
        <v>0.76140460475725091</v>
      </c>
      <c r="X65" s="683">
        <v>0.80663355321522612</v>
      </c>
      <c r="Y65" s="683">
        <v>0.84752024539873394</v>
      </c>
      <c r="Z65" s="683">
        <v>0.82825814591596503</v>
      </c>
      <c r="AA65" s="683">
        <v>0.78698705542940295</v>
      </c>
      <c r="AB65" s="683">
        <v>0.74208188463624269</v>
      </c>
      <c r="AC65" s="683">
        <v>0.68448375899154457</v>
      </c>
      <c r="AD65" s="683">
        <v>0.53613883912308269</v>
      </c>
      <c r="AE65" s="683">
        <v>0.53613883912308269</v>
      </c>
      <c r="AF65" s="683">
        <v>0.53613883912308269</v>
      </c>
      <c r="AG65" s="790">
        <v>1250</v>
      </c>
      <c r="AH65" s="781">
        <v>500</v>
      </c>
      <c r="AI65" s="781">
        <v>734.60321944698865</v>
      </c>
      <c r="AJ65" s="781">
        <v>45.777539759720256</v>
      </c>
      <c r="AK65" s="781">
        <v>254972.231785182</v>
      </c>
      <c r="AL65" s="781">
        <v>28267.754270333819</v>
      </c>
      <c r="AM65" s="819">
        <v>0.84752024539873394</v>
      </c>
    </row>
    <row r="66" spans="1:39" ht="15" customHeight="1">
      <c r="A66" s="663" t="s">
        <v>843</v>
      </c>
      <c r="B66" s="682">
        <v>1200</v>
      </c>
      <c r="C66" s="682">
        <v>1030</v>
      </c>
      <c r="D66" s="682">
        <v>1025</v>
      </c>
      <c r="E66" s="682">
        <v>960</v>
      </c>
      <c r="F66" s="682">
        <v>840</v>
      </c>
      <c r="G66" s="682">
        <v>700</v>
      </c>
      <c r="H66" s="682">
        <v>515</v>
      </c>
      <c r="I66" s="682">
        <v>515</v>
      </c>
      <c r="J66" s="682">
        <v>515</v>
      </c>
      <c r="K66" s="682">
        <v>515</v>
      </c>
      <c r="L66" s="682">
        <v>515</v>
      </c>
      <c r="M66" s="682">
        <v>32000</v>
      </c>
      <c r="N66" s="682">
        <v>44000</v>
      </c>
      <c r="O66" s="682">
        <v>56000</v>
      </c>
      <c r="P66" s="682">
        <v>66000</v>
      </c>
      <c r="Q66" s="682">
        <v>74000</v>
      </c>
      <c r="R66" s="682">
        <v>82000</v>
      </c>
      <c r="S66" s="682">
        <v>82000</v>
      </c>
      <c r="T66" s="682">
        <v>82000</v>
      </c>
      <c r="U66" s="682">
        <v>82000</v>
      </c>
      <c r="V66" s="682">
        <v>82000</v>
      </c>
      <c r="W66" s="683">
        <v>0.77403908045976999</v>
      </c>
      <c r="X66" s="683">
        <v>0.87757083333333297</v>
      </c>
      <c r="Y66" s="683">
        <v>0.856439766081872</v>
      </c>
      <c r="Z66" s="683">
        <v>0.77849381443299004</v>
      </c>
      <c r="AA66" s="683">
        <v>0.66877646129541901</v>
      </c>
      <c r="AB66" s="683">
        <v>0.51129581481481501</v>
      </c>
      <c r="AC66" s="683">
        <v>0.51129581481481501</v>
      </c>
      <c r="AD66" s="683">
        <v>0.51129581481481501</v>
      </c>
      <c r="AE66" s="683">
        <v>0.51129581481481501</v>
      </c>
      <c r="AF66" s="683">
        <v>0.51129581481481501</v>
      </c>
      <c r="AG66" s="790">
        <v>3600</v>
      </c>
      <c r="AH66" s="781">
        <v>700</v>
      </c>
      <c r="AI66" s="781">
        <v>7324.4444444444443</v>
      </c>
      <c r="AJ66" s="781">
        <v>175.2430555555556</v>
      </c>
      <c r="AK66" s="781">
        <v>218666.66666666666</v>
      </c>
      <c r="AL66" s="781">
        <v>18666.666666666668</v>
      </c>
      <c r="AM66" s="819">
        <v>0.87757083333333297</v>
      </c>
    </row>
    <row r="67" spans="1:39" ht="15" customHeight="1">
      <c r="A67" s="663" t="s">
        <v>844</v>
      </c>
      <c r="B67" s="682">
        <v>1200</v>
      </c>
      <c r="C67" s="682">
        <v>930</v>
      </c>
      <c r="D67" s="682">
        <v>925</v>
      </c>
      <c r="E67" s="682">
        <v>890</v>
      </c>
      <c r="F67" s="682">
        <v>825</v>
      </c>
      <c r="G67" s="682">
        <v>700</v>
      </c>
      <c r="H67" s="682">
        <v>565</v>
      </c>
      <c r="I67" s="682">
        <v>565</v>
      </c>
      <c r="J67" s="682">
        <v>565</v>
      </c>
      <c r="K67" s="682">
        <v>565</v>
      </c>
      <c r="L67" s="682">
        <v>565</v>
      </c>
      <c r="M67" s="682">
        <v>35000</v>
      </c>
      <c r="N67" s="682">
        <v>50000</v>
      </c>
      <c r="O67" s="682">
        <v>65000</v>
      </c>
      <c r="P67" s="682">
        <v>77500</v>
      </c>
      <c r="Q67" s="682">
        <v>90000</v>
      </c>
      <c r="R67" s="682">
        <v>100000</v>
      </c>
      <c r="S67" s="682">
        <v>100000</v>
      </c>
      <c r="T67" s="682">
        <v>100000</v>
      </c>
      <c r="U67" s="682">
        <v>100000</v>
      </c>
      <c r="V67" s="682">
        <v>100000</v>
      </c>
      <c r="W67" s="683">
        <v>0.63336875000000004</v>
      </c>
      <c r="X67" s="683">
        <v>0.74113357843137295</v>
      </c>
      <c r="Y67" s="683">
        <v>0.76874654471544701</v>
      </c>
      <c r="Z67" s="683">
        <v>0.74434361645299196</v>
      </c>
      <c r="AA67" s="683">
        <v>0.67040039062500001</v>
      </c>
      <c r="AB67" s="683">
        <v>0.57217627013630701</v>
      </c>
      <c r="AC67" s="683">
        <v>0.57217627013630701</v>
      </c>
      <c r="AD67" s="683">
        <v>0.57217627013630701</v>
      </c>
      <c r="AE67" s="683">
        <v>0.57217627013630701</v>
      </c>
      <c r="AF67" s="683">
        <v>0.57217627013630701</v>
      </c>
      <c r="AG67" s="790">
        <v>3400</v>
      </c>
      <c r="AH67" s="781">
        <v>700</v>
      </c>
      <c r="AI67" s="781">
        <v>3416.4583333333339</v>
      </c>
      <c r="AJ67" s="781">
        <v>192.25694444444449</v>
      </c>
      <c r="AK67" s="781">
        <v>191666.66666666669</v>
      </c>
      <c r="AL67" s="781">
        <v>20416.666666666668</v>
      </c>
      <c r="AM67" s="819">
        <v>0.76874654471544701</v>
      </c>
    </row>
    <row r="68" spans="1:39" ht="15" customHeight="1">
      <c r="A68" s="663" t="s">
        <v>845</v>
      </c>
      <c r="B68" s="682">
        <v>1200</v>
      </c>
      <c r="C68" s="682">
        <v>984.9</v>
      </c>
      <c r="D68" s="682">
        <v>975.1</v>
      </c>
      <c r="E68" s="682">
        <v>940.8</v>
      </c>
      <c r="F68" s="682">
        <v>867.3</v>
      </c>
      <c r="G68" s="682">
        <v>744.8</v>
      </c>
      <c r="H68" s="682">
        <v>568.4</v>
      </c>
      <c r="I68" s="682">
        <v>568.4</v>
      </c>
      <c r="J68" s="682">
        <v>568.4</v>
      </c>
      <c r="K68" s="682">
        <v>568.4</v>
      </c>
      <c r="L68" s="682">
        <v>568.4</v>
      </c>
      <c r="M68" s="682">
        <v>39597.979746446697</v>
      </c>
      <c r="N68" s="682">
        <v>59396.969619670002</v>
      </c>
      <c r="O68" s="682">
        <v>79195.959492893293</v>
      </c>
      <c r="P68" s="682">
        <v>98994.949366116707</v>
      </c>
      <c r="Q68" s="682">
        <v>118793.93923934</v>
      </c>
      <c r="R68" s="682">
        <v>138592.929112563</v>
      </c>
      <c r="S68" s="682">
        <v>138592.929112563</v>
      </c>
      <c r="T68" s="682">
        <v>138592.929112563</v>
      </c>
      <c r="U68" s="682">
        <v>138592.929112563</v>
      </c>
      <c r="V68" s="682">
        <v>138592.929112563</v>
      </c>
      <c r="W68" s="683">
        <v>0.71785565469982004</v>
      </c>
      <c r="X68" s="683">
        <v>0.83041181234167705</v>
      </c>
      <c r="Y68" s="683">
        <v>0.88633627860479602</v>
      </c>
      <c r="Z68" s="683">
        <v>0.87600139427005796</v>
      </c>
      <c r="AA68" s="683">
        <v>0.80881903276205303</v>
      </c>
      <c r="AB68" s="683">
        <v>0.67484136830943997</v>
      </c>
      <c r="AC68" s="683">
        <v>0.67484136830943997</v>
      </c>
      <c r="AD68" s="683">
        <v>0.67484136830943997</v>
      </c>
      <c r="AE68" s="683">
        <v>0.67484136830943997</v>
      </c>
      <c r="AF68" s="683">
        <v>0.67484136830943997</v>
      </c>
      <c r="AG68" s="790">
        <v>2450</v>
      </c>
      <c r="AH68" s="781">
        <v>700</v>
      </c>
      <c r="AI68" s="781">
        <v>3016.2562499999999</v>
      </c>
      <c r="AJ68" s="781">
        <v>193.41388888888892</v>
      </c>
      <c r="AK68" s="781">
        <v>242537.62594698579</v>
      </c>
      <c r="AL68" s="781">
        <v>23098.821518760553</v>
      </c>
      <c r="AM68" s="819">
        <v>0.88633627860479602</v>
      </c>
    </row>
    <row r="69" spans="1:39" ht="15" customHeight="1">
      <c r="A69" s="663" t="s">
        <v>846</v>
      </c>
      <c r="B69" s="682">
        <v>1100</v>
      </c>
      <c r="C69" s="682">
        <v>765</v>
      </c>
      <c r="D69" s="682">
        <v>760</v>
      </c>
      <c r="E69" s="682">
        <v>740</v>
      </c>
      <c r="F69" s="682">
        <v>661.5</v>
      </c>
      <c r="G69" s="682">
        <v>518.95000000000005</v>
      </c>
      <c r="H69" s="682">
        <v>330</v>
      </c>
      <c r="I69" s="682">
        <v>330</v>
      </c>
      <c r="J69" s="682">
        <v>330</v>
      </c>
      <c r="K69" s="682">
        <v>330</v>
      </c>
      <c r="L69" s="682">
        <v>330</v>
      </c>
      <c r="M69" s="682">
        <v>35000</v>
      </c>
      <c r="N69" s="682">
        <v>65000</v>
      </c>
      <c r="O69" s="682">
        <v>95000</v>
      </c>
      <c r="P69" s="682">
        <v>123743.686707646</v>
      </c>
      <c r="Q69" s="682">
        <v>152657.29592783999</v>
      </c>
      <c r="R69" s="682">
        <v>175000</v>
      </c>
      <c r="S69" s="682">
        <v>175000</v>
      </c>
      <c r="T69" s="682">
        <v>175000</v>
      </c>
      <c r="U69" s="682">
        <v>175000</v>
      </c>
      <c r="V69" s="682">
        <v>175000</v>
      </c>
      <c r="W69" s="683">
        <v>0.62878933189655195</v>
      </c>
      <c r="X69" s="683">
        <v>0.77341283524904203</v>
      </c>
      <c r="Y69" s="683">
        <v>0.87446993911719895</v>
      </c>
      <c r="Z69" s="683">
        <v>0.87447297708165095</v>
      </c>
      <c r="AA69" s="683">
        <v>0.78477301717093495</v>
      </c>
      <c r="AB69" s="683">
        <v>0.572075</v>
      </c>
      <c r="AC69" s="683">
        <v>0.572075</v>
      </c>
      <c r="AD69" s="683">
        <v>0.572075</v>
      </c>
      <c r="AE69" s="683">
        <v>0.572075</v>
      </c>
      <c r="AF69" s="683">
        <v>0.572075</v>
      </c>
      <c r="AG69" s="790">
        <v>2950</v>
      </c>
      <c r="AH69" s="781">
        <v>700</v>
      </c>
      <c r="AI69" s="781">
        <v>2528.9256198347107</v>
      </c>
      <c r="AJ69" s="781">
        <v>133.63636363636363</v>
      </c>
      <c r="AK69" s="781">
        <v>318181.81818181818</v>
      </c>
      <c r="AL69" s="781">
        <v>22272.727272727272</v>
      </c>
      <c r="AM69" s="819">
        <v>0.87447297708165095</v>
      </c>
    </row>
    <row r="70" spans="1:39" ht="15" customHeight="1">
      <c r="A70" s="663" t="s">
        <v>847</v>
      </c>
      <c r="B70" s="682">
        <v>900</v>
      </c>
      <c r="C70" s="682">
        <v>490</v>
      </c>
      <c r="D70" s="682">
        <v>479.75</v>
      </c>
      <c r="E70" s="682">
        <v>449.45</v>
      </c>
      <c r="F70" s="682">
        <v>395</v>
      </c>
      <c r="G70" s="682">
        <v>311.85000000000002</v>
      </c>
      <c r="H70" s="682">
        <v>225</v>
      </c>
      <c r="I70" s="682">
        <v>225</v>
      </c>
      <c r="J70" s="682">
        <v>225</v>
      </c>
      <c r="K70" s="682">
        <v>225</v>
      </c>
      <c r="L70" s="682">
        <v>225</v>
      </c>
      <c r="M70" s="682">
        <v>55000</v>
      </c>
      <c r="N70" s="682">
        <v>80399.0049689671</v>
      </c>
      <c r="O70" s="682">
        <v>105523.694021769</v>
      </c>
      <c r="P70" s="682">
        <v>130000</v>
      </c>
      <c r="Q70" s="682">
        <v>154223.052751526</v>
      </c>
      <c r="R70" s="682">
        <v>175000</v>
      </c>
      <c r="S70" s="682">
        <v>175000</v>
      </c>
      <c r="T70" s="682">
        <v>175000</v>
      </c>
      <c r="U70" s="682">
        <v>175000</v>
      </c>
      <c r="V70" s="682">
        <v>175000</v>
      </c>
      <c r="W70" s="683">
        <v>0.71277953074433698</v>
      </c>
      <c r="X70" s="683">
        <v>0.82736207736282696</v>
      </c>
      <c r="Y70" s="683">
        <v>0.87297806174018799</v>
      </c>
      <c r="Z70" s="683">
        <v>0.84779368686868695</v>
      </c>
      <c r="AA70" s="683">
        <v>0.74021085910000906</v>
      </c>
      <c r="AB70" s="683">
        <v>0.59261912983425402</v>
      </c>
      <c r="AC70" s="683">
        <v>0.59261912983425402</v>
      </c>
      <c r="AD70" s="683">
        <v>0.59261912983425402</v>
      </c>
      <c r="AE70" s="683">
        <v>0.59261912983425402</v>
      </c>
      <c r="AF70" s="683">
        <v>0.59261912983425402</v>
      </c>
      <c r="AG70" s="790">
        <v>2450</v>
      </c>
      <c r="AH70" s="781">
        <v>700</v>
      </c>
      <c r="AI70" s="781">
        <v>1852.6234567901233</v>
      </c>
      <c r="AJ70" s="781">
        <v>136.11111111111111</v>
      </c>
      <c r="AK70" s="781">
        <v>340277.77777777775</v>
      </c>
      <c r="AL70" s="781">
        <v>42777.777777777781</v>
      </c>
      <c r="AM70" s="819">
        <v>0.87297806174018799</v>
      </c>
    </row>
    <row r="71" spans="1:39" ht="15" customHeight="1">
      <c r="A71" s="663" t="s">
        <v>848</v>
      </c>
      <c r="B71" s="682">
        <v>900</v>
      </c>
      <c r="C71" s="682">
        <v>450</v>
      </c>
      <c r="D71" s="682">
        <v>440</v>
      </c>
      <c r="E71" s="682">
        <v>410</v>
      </c>
      <c r="F71" s="682">
        <v>338.1</v>
      </c>
      <c r="G71" s="682">
        <v>247.35</v>
      </c>
      <c r="H71" s="682">
        <v>175</v>
      </c>
      <c r="I71" s="682">
        <v>175</v>
      </c>
      <c r="J71" s="682">
        <v>175</v>
      </c>
      <c r="K71" s="682">
        <v>175</v>
      </c>
      <c r="L71" s="682">
        <v>175</v>
      </c>
      <c r="M71" s="682">
        <v>40000</v>
      </c>
      <c r="N71" s="682">
        <v>70000</v>
      </c>
      <c r="O71" s="682">
        <v>100000</v>
      </c>
      <c r="P71" s="682">
        <v>128693.434175952</v>
      </c>
      <c r="Q71" s="682">
        <v>152657.29592783999</v>
      </c>
      <c r="R71" s="682">
        <v>170000</v>
      </c>
      <c r="S71" s="682">
        <v>170000</v>
      </c>
      <c r="T71" s="682">
        <v>170000</v>
      </c>
      <c r="U71" s="682">
        <v>170000</v>
      </c>
      <c r="V71" s="682">
        <v>170000</v>
      </c>
      <c r="W71" s="683">
        <v>0.61293750000000002</v>
      </c>
      <c r="X71" s="683">
        <v>0.76276666666666704</v>
      </c>
      <c r="Y71" s="683">
        <v>0.86582041343669303</v>
      </c>
      <c r="Z71" s="683">
        <v>0.84665640809638698</v>
      </c>
      <c r="AA71" s="683">
        <v>0.74539086860506298</v>
      </c>
      <c r="AB71" s="683">
        <v>0.62824773901808795</v>
      </c>
      <c r="AC71" s="683">
        <v>0.62824773901808795</v>
      </c>
      <c r="AD71" s="683">
        <v>0.62824773901808795</v>
      </c>
      <c r="AE71" s="683">
        <v>0.62824773901808795</v>
      </c>
      <c r="AF71" s="683">
        <v>0.62824773901808795</v>
      </c>
      <c r="AG71" s="790">
        <v>1750</v>
      </c>
      <c r="AH71" s="781">
        <v>700</v>
      </c>
      <c r="AI71" s="781">
        <v>1605.5555555555554</v>
      </c>
      <c r="AJ71" s="781">
        <v>105.8641975308642</v>
      </c>
      <c r="AK71" s="781">
        <v>321111.11111111112</v>
      </c>
      <c r="AL71" s="781">
        <v>31111.111111111113</v>
      </c>
      <c r="AM71" s="819">
        <v>0.86582041343669303</v>
      </c>
    </row>
    <row r="72" spans="1:39" ht="15" customHeight="1">
      <c r="A72" s="663" t="s">
        <v>849</v>
      </c>
      <c r="B72" s="682">
        <v>1200</v>
      </c>
      <c r="C72" s="682">
        <v>1225</v>
      </c>
      <c r="D72" s="682">
        <v>1235</v>
      </c>
      <c r="E72" s="682">
        <v>1175</v>
      </c>
      <c r="F72" s="682">
        <v>1045</v>
      </c>
      <c r="G72" s="682">
        <v>840</v>
      </c>
      <c r="H72" s="682">
        <v>650</v>
      </c>
      <c r="I72" s="682">
        <v>650</v>
      </c>
      <c r="J72" s="682">
        <v>650</v>
      </c>
      <c r="K72" s="682">
        <v>650</v>
      </c>
      <c r="L72" s="682">
        <v>650</v>
      </c>
      <c r="M72" s="682">
        <v>22000</v>
      </c>
      <c r="N72" s="682">
        <v>36000</v>
      </c>
      <c r="O72" s="682">
        <v>50000</v>
      </c>
      <c r="P72" s="682">
        <v>62000</v>
      </c>
      <c r="Q72" s="682">
        <v>74000</v>
      </c>
      <c r="R72" s="682">
        <v>82000</v>
      </c>
      <c r="S72" s="682">
        <v>82000</v>
      </c>
      <c r="T72" s="682">
        <v>82000</v>
      </c>
      <c r="U72" s="682">
        <v>82000</v>
      </c>
      <c r="V72" s="682">
        <v>82000</v>
      </c>
      <c r="W72" s="683">
        <v>0.59688042005420106</v>
      </c>
      <c r="X72" s="683">
        <v>0.77144235668789796</v>
      </c>
      <c r="Y72" s="683">
        <v>0.82074252136752102</v>
      </c>
      <c r="Z72" s="683">
        <v>0.79147425261584503</v>
      </c>
      <c r="AA72" s="683">
        <v>0.68005702811244995</v>
      </c>
      <c r="AB72" s="683">
        <v>0.54178389303482599</v>
      </c>
      <c r="AC72" s="683">
        <v>0.54178389303482599</v>
      </c>
      <c r="AD72" s="683">
        <v>0.54178389303482599</v>
      </c>
      <c r="AE72" s="683">
        <v>0.54178389303482599</v>
      </c>
      <c r="AF72" s="683">
        <v>0.54178389303482599</v>
      </c>
      <c r="AG72" s="790">
        <v>3150</v>
      </c>
      <c r="AH72" s="781">
        <v>700</v>
      </c>
      <c r="AI72" s="781">
        <v>6485.8940972222217</v>
      </c>
      <c r="AJ72" s="781">
        <v>221.1805555555556</v>
      </c>
      <c r="AK72" s="781">
        <v>187916.66666666666</v>
      </c>
      <c r="AL72" s="781">
        <v>12833.333333333334</v>
      </c>
      <c r="AM72" s="819">
        <v>0.82074252136752102</v>
      </c>
    </row>
    <row r="73" spans="1:39" ht="15" customHeight="1">
      <c r="A73" s="663" t="s">
        <v>850</v>
      </c>
      <c r="B73" s="682">
        <v>1100</v>
      </c>
      <c r="C73" s="682">
        <v>1025</v>
      </c>
      <c r="D73" s="682">
        <v>1025</v>
      </c>
      <c r="E73" s="682">
        <v>1010</v>
      </c>
      <c r="F73" s="682">
        <v>950.4</v>
      </c>
      <c r="G73" s="682">
        <v>811.8</v>
      </c>
      <c r="H73" s="682">
        <v>630</v>
      </c>
      <c r="I73" s="682">
        <v>630</v>
      </c>
      <c r="J73" s="682">
        <v>630</v>
      </c>
      <c r="K73" s="682">
        <v>630</v>
      </c>
      <c r="L73" s="682">
        <v>630</v>
      </c>
      <c r="M73" s="682">
        <v>30000</v>
      </c>
      <c r="N73" s="682">
        <v>45000</v>
      </c>
      <c r="O73" s="682">
        <v>60000</v>
      </c>
      <c r="P73" s="682">
        <v>74624.057782996504</v>
      </c>
      <c r="Q73" s="682">
        <v>92036.337932362396</v>
      </c>
      <c r="R73" s="682">
        <v>105000</v>
      </c>
      <c r="S73" s="682">
        <v>105000</v>
      </c>
      <c r="T73" s="682">
        <v>105000</v>
      </c>
      <c r="U73" s="682">
        <v>105000</v>
      </c>
      <c r="V73" s="682">
        <v>105000</v>
      </c>
      <c r="W73" s="683">
        <v>0.61144616788321204</v>
      </c>
      <c r="X73" s="683">
        <v>0.72631322254335295</v>
      </c>
      <c r="Y73" s="683">
        <v>0.82131592039801005</v>
      </c>
      <c r="Z73" s="683">
        <v>0.83278132566789498</v>
      </c>
      <c r="AA73" s="683">
        <v>0.76517437051185599</v>
      </c>
      <c r="AB73" s="683">
        <v>0.63676192579505297</v>
      </c>
      <c r="AC73" s="683">
        <v>0.63676192579505297</v>
      </c>
      <c r="AD73" s="683">
        <v>0.63676192579505297</v>
      </c>
      <c r="AE73" s="683">
        <v>0.63676192579505297</v>
      </c>
      <c r="AF73" s="683">
        <v>0.63676192579505297</v>
      </c>
      <c r="AG73" s="790">
        <v>2550</v>
      </c>
      <c r="AH73" s="781">
        <v>700</v>
      </c>
      <c r="AI73" s="781">
        <v>4288.4814049586776</v>
      </c>
      <c r="AJ73" s="781">
        <v>255.12396694214874</v>
      </c>
      <c r="AK73" s="781">
        <v>214772.72727272726</v>
      </c>
      <c r="AL73" s="781">
        <v>19090.909090909092</v>
      </c>
      <c r="AM73" s="819">
        <v>0.83278132566789498</v>
      </c>
    </row>
    <row r="74" spans="1:39" ht="15" customHeight="1">
      <c r="A74" s="663" t="s">
        <v>851</v>
      </c>
      <c r="B74" s="682">
        <v>1100</v>
      </c>
      <c r="C74" s="682">
        <v>975</v>
      </c>
      <c r="D74" s="682">
        <v>970</v>
      </c>
      <c r="E74" s="682">
        <v>950</v>
      </c>
      <c r="F74" s="682">
        <v>880</v>
      </c>
      <c r="G74" s="682">
        <v>740</v>
      </c>
      <c r="H74" s="682">
        <v>525</v>
      </c>
      <c r="I74" s="682">
        <v>525</v>
      </c>
      <c r="J74" s="682">
        <v>525</v>
      </c>
      <c r="K74" s="682">
        <v>525</v>
      </c>
      <c r="L74" s="682">
        <v>525</v>
      </c>
      <c r="M74" s="682">
        <v>65000</v>
      </c>
      <c r="N74" s="682">
        <v>104000</v>
      </c>
      <c r="O74" s="682">
        <v>135000</v>
      </c>
      <c r="P74" s="682">
        <v>165000</v>
      </c>
      <c r="Q74" s="682">
        <v>194000</v>
      </c>
      <c r="R74" s="682">
        <v>223300</v>
      </c>
      <c r="S74" s="682">
        <v>223300</v>
      </c>
      <c r="T74" s="682">
        <v>223300</v>
      </c>
      <c r="U74" s="682">
        <v>223300</v>
      </c>
      <c r="V74" s="682">
        <v>223300</v>
      </c>
      <c r="W74" s="683">
        <v>0.65148702830188698</v>
      </c>
      <c r="X74" s="683">
        <v>0.80827627450980399</v>
      </c>
      <c r="Y74" s="683">
        <v>0.86265277777777805</v>
      </c>
      <c r="Z74" s="683">
        <v>0.841593617021277</v>
      </c>
      <c r="AA74" s="683">
        <v>0.75498333333333301</v>
      </c>
      <c r="AB74" s="683">
        <v>0.58065612499999997</v>
      </c>
      <c r="AC74" s="683">
        <v>0.58065612499999997</v>
      </c>
      <c r="AD74" s="683">
        <v>0.58065612499999997</v>
      </c>
      <c r="AE74" s="683">
        <v>0.58065612499999997</v>
      </c>
      <c r="AF74" s="683">
        <v>0.58065612499999997</v>
      </c>
      <c r="AG74" s="790">
        <v>2950</v>
      </c>
      <c r="AH74" s="781">
        <v>700</v>
      </c>
      <c r="AI74" s="781">
        <v>2908.8842975206612</v>
      </c>
      <c r="AJ74" s="781">
        <v>212.60330578512395</v>
      </c>
      <c r="AK74" s="781">
        <v>385700</v>
      </c>
      <c r="AL74" s="781">
        <v>41363.63636363636</v>
      </c>
      <c r="AM74" s="819">
        <v>0.86265277777777805</v>
      </c>
    </row>
    <row r="75" spans="1:39" ht="15" customHeight="1">
      <c r="A75" s="663" t="s">
        <v>852</v>
      </c>
      <c r="B75" s="682">
        <v>1000</v>
      </c>
      <c r="C75" s="682">
        <v>770</v>
      </c>
      <c r="D75" s="682">
        <v>749.7</v>
      </c>
      <c r="E75" s="682">
        <v>710.4</v>
      </c>
      <c r="F75" s="682">
        <v>648</v>
      </c>
      <c r="G75" s="682">
        <v>533.5</v>
      </c>
      <c r="H75" s="682">
        <v>375</v>
      </c>
      <c r="I75" s="682">
        <v>375</v>
      </c>
      <c r="J75" s="682">
        <v>375</v>
      </c>
      <c r="K75" s="682">
        <v>375</v>
      </c>
      <c r="L75" s="682">
        <v>375</v>
      </c>
      <c r="M75" s="682">
        <v>60000</v>
      </c>
      <c r="N75" s="682">
        <v>94045.201897810795</v>
      </c>
      <c r="O75" s="682">
        <v>127373.466624725</v>
      </c>
      <c r="P75" s="682">
        <v>156767.34353812301</v>
      </c>
      <c r="Q75" s="682">
        <v>185158.52667376699</v>
      </c>
      <c r="R75" s="682">
        <v>210000</v>
      </c>
      <c r="S75" s="682">
        <v>210000</v>
      </c>
      <c r="T75" s="682">
        <v>210000</v>
      </c>
      <c r="U75" s="682">
        <v>210000</v>
      </c>
      <c r="V75" s="682">
        <v>210000</v>
      </c>
      <c r="W75" s="683">
        <v>0.74914583333333296</v>
      </c>
      <c r="X75" s="683">
        <v>0.85745198520631105</v>
      </c>
      <c r="Y75" s="683">
        <v>0.87722151793084102</v>
      </c>
      <c r="Z75" s="683">
        <v>0.86210318023086496</v>
      </c>
      <c r="AA75" s="683">
        <v>0.79380186785178497</v>
      </c>
      <c r="AB75" s="683">
        <v>0.69202620967741901</v>
      </c>
      <c r="AC75" s="683">
        <v>0.69202620967741901</v>
      </c>
      <c r="AD75" s="683">
        <v>0.69202620967741901</v>
      </c>
      <c r="AE75" s="683">
        <v>0.69202620967741901</v>
      </c>
      <c r="AF75" s="683">
        <v>0.69202620967741901</v>
      </c>
      <c r="AG75" s="790">
        <v>2350</v>
      </c>
      <c r="AH75" s="781">
        <v>700</v>
      </c>
      <c r="AI75" s="781">
        <v>2225.2999999999997</v>
      </c>
      <c r="AJ75" s="781">
        <v>183.74999999999997</v>
      </c>
      <c r="AK75" s="781">
        <v>357000</v>
      </c>
      <c r="AL75" s="781">
        <v>42000</v>
      </c>
      <c r="AM75" s="819">
        <v>0.87722151793084102</v>
      </c>
    </row>
    <row r="76" spans="1:39" ht="15" customHeight="1">
      <c r="A76" s="663" t="s">
        <v>853</v>
      </c>
      <c r="B76" s="682">
        <v>850</v>
      </c>
      <c r="C76" s="682">
        <v>490.05</v>
      </c>
      <c r="D76" s="682">
        <v>505</v>
      </c>
      <c r="E76" s="682">
        <v>495</v>
      </c>
      <c r="F76" s="682">
        <v>440.55</v>
      </c>
      <c r="G76" s="682">
        <v>334.65</v>
      </c>
      <c r="H76" s="682">
        <v>178.2</v>
      </c>
      <c r="I76" s="682">
        <v>178.2</v>
      </c>
      <c r="J76" s="682">
        <v>178.2</v>
      </c>
      <c r="K76" s="682">
        <v>178.2</v>
      </c>
      <c r="L76" s="682">
        <v>178.2</v>
      </c>
      <c r="M76" s="682">
        <v>54724.3090408641</v>
      </c>
      <c r="N76" s="682">
        <v>90000</v>
      </c>
      <c r="O76" s="682">
        <v>120000</v>
      </c>
      <c r="P76" s="682">
        <v>149248.11556599301</v>
      </c>
      <c r="Q76" s="682">
        <v>172355.01153143201</v>
      </c>
      <c r="R76" s="682">
        <v>194022.55023579099</v>
      </c>
      <c r="S76" s="682">
        <v>194022.55023579099</v>
      </c>
      <c r="T76" s="682">
        <v>194022.55023579099</v>
      </c>
      <c r="U76" s="682">
        <v>194022.55023579099</v>
      </c>
      <c r="V76" s="682">
        <v>194022.55023579099</v>
      </c>
      <c r="W76" s="683">
        <v>0.61911645588318698</v>
      </c>
      <c r="X76" s="683">
        <v>0.81456167763157905</v>
      </c>
      <c r="Y76" s="683">
        <v>0.87943206521739103</v>
      </c>
      <c r="Z76" s="683">
        <v>0.84889755195451699</v>
      </c>
      <c r="AA76" s="683">
        <v>0.74467361163823198</v>
      </c>
      <c r="AB76" s="683">
        <v>0.58140474032739997</v>
      </c>
      <c r="AC76" s="683">
        <v>0.58140474032739997</v>
      </c>
      <c r="AD76" s="683">
        <v>0.58140474032739997</v>
      </c>
      <c r="AE76" s="683">
        <v>0.58140474032739997</v>
      </c>
      <c r="AF76" s="683">
        <v>0.58140474032739997</v>
      </c>
      <c r="AG76" s="790">
        <v>2100</v>
      </c>
      <c r="AH76" s="781">
        <v>700</v>
      </c>
      <c r="AI76" s="781">
        <v>1572.6643598615915</v>
      </c>
      <c r="AJ76" s="781">
        <v>120.85536332179929</v>
      </c>
      <c r="AK76" s="781">
        <v>342392.73571021925</v>
      </c>
      <c r="AL76" s="781">
        <v>45067.07803365279</v>
      </c>
      <c r="AM76" s="819">
        <v>0.87943206521739103</v>
      </c>
    </row>
    <row r="77" spans="1:39" ht="15" customHeight="1">
      <c r="A77" s="663" t="s">
        <v>854</v>
      </c>
      <c r="B77" s="682">
        <v>2900</v>
      </c>
      <c r="C77" s="682">
        <v>298.0301562992658</v>
      </c>
      <c r="D77" s="682">
        <v>289.2402183280667</v>
      </c>
      <c r="E77" s="682">
        <v>258.03400770237602</v>
      </c>
      <c r="F77" s="682">
        <v>219.3902558572689</v>
      </c>
      <c r="G77" s="682">
        <v>181.33391952509123</v>
      </c>
      <c r="H77" s="682">
        <v>148.03664255971947</v>
      </c>
      <c r="I77" s="682">
        <v>121.15481646702</v>
      </c>
      <c r="J77" s="682">
        <v>82.823456427396465</v>
      </c>
      <c r="K77" s="682">
        <v>43.780973043056946</v>
      </c>
      <c r="L77" s="682">
        <v>43.780973043056946</v>
      </c>
      <c r="M77" s="682">
        <v>1059.2420501539873</v>
      </c>
      <c r="N77" s="682">
        <v>2087.0095863559736</v>
      </c>
      <c r="O77" s="682">
        <v>2956.8196555159093</v>
      </c>
      <c r="P77" s="682">
        <v>3635.2456762917009</v>
      </c>
      <c r="Q77" s="682">
        <v>4131.1849335983734</v>
      </c>
      <c r="R77" s="682">
        <v>4479.2053346770663</v>
      </c>
      <c r="S77" s="682">
        <v>4727.5212533563081</v>
      </c>
      <c r="T77" s="682">
        <v>5025.5580368378269</v>
      </c>
      <c r="U77" s="682">
        <v>5326.4965221354059</v>
      </c>
      <c r="V77" s="682">
        <v>5326.4965221354059</v>
      </c>
      <c r="W77" s="683">
        <v>0.63732309980825219</v>
      </c>
      <c r="X77" s="683">
        <v>0.85435109312014312</v>
      </c>
      <c r="Y77" s="683">
        <v>0.84546844162619472</v>
      </c>
      <c r="Z77" s="683">
        <v>0.79897488226175506</v>
      </c>
      <c r="AA77" s="683">
        <v>0.70816135135533143</v>
      </c>
      <c r="AB77" s="683">
        <v>0.6098791096894125</v>
      </c>
      <c r="AC77" s="683">
        <v>0.53351935720012289</v>
      </c>
      <c r="AD77" s="683">
        <v>0.39057916766123801</v>
      </c>
      <c r="AE77" s="683">
        <v>0.22427175329336227</v>
      </c>
      <c r="AF77" s="683">
        <v>0.22427175329336227</v>
      </c>
      <c r="AG77" s="790">
        <v>3600</v>
      </c>
      <c r="AH77" s="781">
        <v>1000</v>
      </c>
      <c r="AI77" s="781">
        <v>459.27120399981987</v>
      </c>
      <c r="AJ77" s="781">
        <v>5.2058231918022519</v>
      </c>
      <c r="AK77" s="781">
        <v>6612.2025792025734</v>
      </c>
      <c r="AL77" s="781">
        <v>365.25587936344385</v>
      </c>
      <c r="AM77" s="819">
        <v>0.85435109312014312</v>
      </c>
    </row>
    <row r="78" spans="1:39" ht="15" customHeight="1">
      <c r="A78" s="663" t="s">
        <v>995</v>
      </c>
      <c r="B78" s="682">
        <v>3456</v>
      </c>
      <c r="C78" s="682">
        <v>619.93710373190311</v>
      </c>
      <c r="D78" s="682">
        <v>623.28245808461327</v>
      </c>
      <c r="E78" s="682">
        <v>616.17273922571223</v>
      </c>
      <c r="F78" s="682">
        <v>575.65734681737047</v>
      </c>
      <c r="G78" s="682">
        <v>461.96784782425721</v>
      </c>
      <c r="H78" s="682">
        <v>354.9533029378731</v>
      </c>
      <c r="I78" s="682">
        <v>205.34728442922207</v>
      </c>
      <c r="J78" s="682">
        <v>130.51222547334848</v>
      </c>
      <c r="K78" s="682">
        <v>69.563629162832427</v>
      </c>
      <c r="L78" s="682">
        <v>69.563629162832427</v>
      </c>
      <c r="M78" s="682">
        <v>786.54783337053959</v>
      </c>
      <c r="N78" s="682">
        <v>1314.4453238711669</v>
      </c>
      <c r="O78" s="682">
        <v>1829.6977310912644</v>
      </c>
      <c r="P78" s="682">
        <v>2526.4580716977339</v>
      </c>
      <c r="Q78" s="682">
        <v>3394.9016994044891</v>
      </c>
      <c r="R78" s="682">
        <v>3967.7625675355739</v>
      </c>
      <c r="S78" s="682">
        <v>4526.8468934627808</v>
      </c>
      <c r="T78" s="682">
        <v>4811.8896402071832</v>
      </c>
      <c r="U78" s="682">
        <v>5058.7552534490087</v>
      </c>
      <c r="V78" s="682">
        <v>5058.7552534490087</v>
      </c>
      <c r="W78" s="683">
        <v>0.45031689733807545</v>
      </c>
      <c r="X78" s="683">
        <v>0.62544013519177155</v>
      </c>
      <c r="Y78" s="683">
        <v>0.77533966483144123</v>
      </c>
      <c r="Z78" s="683">
        <v>0.86157004057299225</v>
      </c>
      <c r="AA78" s="683">
        <v>0.78613785325399332</v>
      </c>
      <c r="AB78" s="683">
        <v>0.61097018489287591</v>
      </c>
      <c r="AC78" s="683">
        <v>0.37018694128434321</v>
      </c>
      <c r="AD78" s="683">
        <v>0.24326362039174679</v>
      </c>
      <c r="AE78" s="683">
        <v>0.13128821029251386</v>
      </c>
      <c r="AF78" s="683">
        <v>0.13128821029251386</v>
      </c>
      <c r="AG78" s="790">
        <v>3600</v>
      </c>
      <c r="AH78" s="781">
        <v>1000</v>
      </c>
      <c r="AI78" s="781">
        <v>676.30475052583915</v>
      </c>
      <c r="AJ78" s="781">
        <v>5.8241796642942862</v>
      </c>
      <c r="AK78" s="781">
        <v>5269.5367223427174</v>
      </c>
      <c r="AL78" s="781">
        <v>227.58907215582744</v>
      </c>
      <c r="AM78" s="819">
        <v>0.86157004057299225</v>
      </c>
    </row>
    <row r="79" spans="1:39" ht="15" customHeight="1">
      <c r="A79" s="663" t="s">
        <v>855</v>
      </c>
      <c r="B79" s="682">
        <v>1100</v>
      </c>
      <c r="C79" s="682">
        <v>668.13156385732736</v>
      </c>
      <c r="D79" s="682">
        <v>737.72860175913229</v>
      </c>
      <c r="E79" s="682">
        <v>650.73230438187602</v>
      </c>
      <c r="F79" s="682">
        <v>528.93748805371752</v>
      </c>
      <c r="G79" s="682">
        <v>427.18661864127864</v>
      </c>
      <c r="H79" s="682">
        <v>313.74344686133668</v>
      </c>
      <c r="I79" s="682">
        <v>220.483416072918</v>
      </c>
      <c r="J79" s="682">
        <v>176.31249601790583</v>
      </c>
      <c r="K79" s="682">
        <v>167.03289096433184</v>
      </c>
      <c r="L79" s="682">
        <v>167.03289096433184</v>
      </c>
      <c r="M79" s="682">
        <v>2680.5336849103587</v>
      </c>
      <c r="N79" s="682">
        <v>187028.01503644951</v>
      </c>
      <c r="O79" s="682">
        <v>322738.88089835225</v>
      </c>
      <c r="P79" s="682">
        <v>407838.81773166085</v>
      </c>
      <c r="Q79" s="682">
        <v>454396.47704378678</v>
      </c>
      <c r="R79" s="682">
        <v>499627.70246631984</v>
      </c>
      <c r="S79" s="682">
        <v>532171.94155049045</v>
      </c>
      <c r="T79" s="682">
        <v>537027.37993747182</v>
      </c>
      <c r="U79" s="682">
        <v>532353.98982319736</v>
      </c>
      <c r="V79" s="682">
        <v>532353.98982319736</v>
      </c>
      <c r="W79" s="683">
        <v>2.9345554629692211E-2</v>
      </c>
      <c r="X79" s="683">
        <v>0.77737900821522277</v>
      </c>
      <c r="Y79" s="683">
        <v>0.88637542237908695</v>
      </c>
      <c r="Z79" s="683">
        <v>0.79610252470512777</v>
      </c>
      <c r="AA79" s="683">
        <v>0.6907322984645653</v>
      </c>
      <c r="AB79" s="683">
        <v>0.54923983794067677</v>
      </c>
      <c r="AC79" s="683">
        <v>0.42825015160240038</v>
      </c>
      <c r="AD79" s="683">
        <v>0.37678141020119621</v>
      </c>
      <c r="AE79" s="683">
        <v>0.38106331361833407</v>
      </c>
      <c r="AF79" s="683">
        <v>0.38106331361833407</v>
      </c>
      <c r="AG79" s="790">
        <v>1700</v>
      </c>
      <c r="AH79" s="781">
        <v>500</v>
      </c>
      <c r="AI79" s="781">
        <v>1762.0129413916463</v>
      </c>
      <c r="AJ79" s="781">
        <v>34.510927885192523</v>
      </c>
      <c r="AK79" s="781">
        <v>829951.40535791102</v>
      </c>
      <c r="AL79" s="781">
        <v>1218.4244022319813</v>
      </c>
      <c r="AM79" s="819">
        <v>0.88637542237908695</v>
      </c>
    </row>
    <row r="80" spans="1:39" ht="15" customHeight="1">
      <c r="A80" s="663" t="s">
        <v>788</v>
      </c>
      <c r="B80" s="682">
        <v>1770</v>
      </c>
      <c r="C80" s="682">
        <v>869.49858255613037</v>
      </c>
      <c r="D80" s="682">
        <v>862.37154499419489</v>
      </c>
      <c r="E80" s="682">
        <v>805.35524449871082</v>
      </c>
      <c r="F80" s="682">
        <v>700.78734938999332</v>
      </c>
      <c r="G80" s="682">
        <v>581.62328135443192</v>
      </c>
      <c r="H80" s="682">
        <v>476.52798546613104</v>
      </c>
      <c r="I80" s="682">
        <v>316.09836994696309</v>
      </c>
      <c r="J80" s="682">
        <v>216.66194188283905</v>
      </c>
      <c r="K80" s="682">
        <v>122.58504606529051</v>
      </c>
      <c r="L80" s="682">
        <v>122.58504606529051</v>
      </c>
      <c r="M80" s="682">
        <v>5738.9349265909595</v>
      </c>
      <c r="N80" s="682">
        <v>11430.73261150434</v>
      </c>
      <c r="O80" s="682">
        <v>16569.593782728029</v>
      </c>
      <c r="P80" s="682">
        <v>20608.670668254359</v>
      </c>
      <c r="Q80" s="682">
        <v>23468.631003151691</v>
      </c>
      <c r="R80" s="682">
        <v>25491.319539989516</v>
      </c>
      <c r="S80" s="682">
        <v>27682.032633723145</v>
      </c>
      <c r="T80" s="682">
        <v>28647.595561651517</v>
      </c>
      <c r="U80" s="682">
        <v>29176.572548921547</v>
      </c>
      <c r="V80" s="682">
        <v>29176.572548921547</v>
      </c>
      <c r="W80" s="683">
        <v>0.36448829091322232</v>
      </c>
      <c r="X80" s="683">
        <v>0.6096622555300113</v>
      </c>
      <c r="Y80" s="683">
        <v>0.72712713348295777</v>
      </c>
      <c r="Z80" s="683">
        <v>0.71353207412300024</v>
      </c>
      <c r="AA80" s="683">
        <v>0.63547656989167367</v>
      </c>
      <c r="AB80" s="683">
        <v>0.55786067659630334</v>
      </c>
      <c r="AC80" s="683">
        <v>0.39542156654569244</v>
      </c>
      <c r="AD80" s="683">
        <v>0.26561158268604601</v>
      </c>
      <c r="AE80" s="683">
        <v>0.15742816212618529</v>
      </c>
      <c r="AF80" s="683">
        <v>0.15742816212618529</v>
      </c>
      <c r="AG80" s="790">
        <v>3600</v>
      </c>
      <c r="AH80" s="781">
        <v>1000</v>
      </c>
      <c r="AI80" s="781">
        <v>3596.8915796633946</v>
      </c>
      <c r="AJ80" s="781">
        <v>39.128298402531364</v>
      </c>
      <c r="AK80" s="781">
        <v>59342.181455433652</v>
      </c>
      <c r="AL80" s="781">
        <v>3242.3361167180565</v>
      </c>
      <c r="AM80" s="819">
        <v>0.72712713348295777</v>
      </c>
    </row>
    <row r="81" spans="1:39" ht="15" customHeight="1">
      <c r="A81" s="663" t="s">
        <v>996</v>
      </c>
      <c r="B81" s="682">
        <v>3564</v>
      </c>
      <c r="C81" s="682">
        <v>3067.7131065481781</v>
      </c>
      <c r="D81" s="682">
        <v>3093.6574694757396</v>
      </c>
      <c r="E81" s="682">
        <v>3094.1675079041647</v>
      </c>
      <c r="F81" s="682">
        <v>3051.2615807154716</v>
      </c>
      <c r="G81" s="682">
        <v>2941.7171997202599</v>
      </c>
      <c r="H81" s="682">
        <v>2550.6744514356083</v>
      </c>
      <c r="I81" s="682">
        <v>2133.1796119435817</v>
      </c>
      <c r="J81" s="682">
        <v>2133.0486612525719</v>
      </c>
      <c r="K81" s="682">
        <v>2133.0486612525719</v>
      </c>
      <c r="L81" s="682">
        <v>2133.0486612525719</v>
      </c>
      <c r="M81" s="682">
        <v>2822.8175048859821</v>
      </c>
      <c r="N81" s="682">
        <v>4380.9447954874795</v>
      </c>
      <c r="O81" s="682">
        <v>5927.6491786705683</v>
      </c>
      <c r="P81" s="682">
        <v>7677.9224443771836</v>
      </c>
      <c r="Q81" s="682">
        <v>10051.78514491233</v>
      </c>
      <c r="R81" s="682">
        <v>14273.816093410522</v>
      </c>
      <c r="S81" s="682">
        <v>17119.317436599118</v>
      </c>
      <c r="T81" s="682">
        <v>17118.791971973234</v>
      </c>
      <c r="U81" s="682">
        <v>17118.791971973234</v>
      </c>
      <c r="V81" s="682">
        <v>17118.791971973234</v>
      </c>
      <c r="W81" s="683">
        <v>0.46053624621295514</v>
      </c>
      <c r="X81" s="683">
        <v>0.59570965059652647</v>
      </c>
      <c r="Y81" s="683">
        <v>0.69349093985995436</v>
      </c>
      <c r="Z81" s="683">
        <v>0.77054331006682852</v>
      </c>
      <c r="AA81" s="683">
        <v>0.83096863455573</v>
      </c>
      <c r="AB81" s="683">
        <v>0.81808783540814811</v>
      </c>
      <c r="AC81" s="683">
        <v>0.71870001794958471</v>
      </c>
      <c r="AD81" s="683">
        <v>0.71863493655814215</v>
      </c>
      <c r="AE81" s="683">
        <v>0.71863493655814215</v>
      </c>
      <c r="AF81" s="683">
        <v>0.71863493655814215</v>
      </c>
      <c r="AG81" s="790">
        <v>3600</v>
      </c>
      <c r="AH81" s="781">
        <v>1000</v>
      </c>
      <c r="AI81" s="781">
        <v>3156.991641571437</v>
      </c>
      <c r="AJ81" s="781">
        <v>167.92887262484646</v>
      </c>
      <c r="AK81" s="781">
        <v>17292.239834948607</v>
      </c>
      <c r="AL81" s="781">
        <v>792.03633694892881</v>
      </c>
      <c r="AM81" s="819">
        <v>0.83096863455573</v>
      </c>
    </row>
    <row r="82" spans="1:39" ht="15" customHeight="1">
      <c r="A82" s="663" t="s">
        <v>997</v>
      </c>
      <c r="B82" s="682">
        <v>3500</v>
      </c>
      <c r="C82" s="682">
        <v>3023.2446612465696</v>
      </c>
      <c r="D82" s="682">
        <v>2978.5511753861197</v>
      </c>
      <c r="E82" s="682">
        <v>2853.0842187772414</v>
      </c>
      <c r="F82" s="682">
        <v>2548.0749150319543</v>
      </c>
      <c r="G82" s="682">
        <v>2101.0893056485493</v>
      </c>
      <c r="H82" s="682">
        <v>1677.8671321180043</v>
      </c>
      <c r="I82" s="682">
        <v>1677.8671321180043</v>
      </c>
      <c r="J82" s="682">
        <v>1677.8671321180043</v>
      </c>
      <c r="K82" s="682">
        <v>1677.8671321180043</v>
      </c>
      <c r="L82" s="682">
        <v>1677.8671321180043</v>
      </c>
      <c r="M82" s="682">
        <v>2719.2292698382143</v>
      </c>
      <c r="N82" s="682">
        <v>3778.6768058067992</v>
      </c>
      <c r="O82" s="682">
        <v>5107.0864999852392</v>
      </c>
      <c r="P82" s="682">
        <v>6657.0835483386381</v>
      </c>
      <c r="Q82" s="682">
        <v>8311.9489189972464</v>
      </c>
      <c r="R82" s="682">
        <v>9453.5460342865499</v>
      </c>
      <c r="S82" s="682">
        <v>9453.5460342865499</v>
      </c>
      <c r="T82" s="682">
        <v>9453.5460342865499</v>
      </c>
      <c r="U82" s="682">
        <v>9453.5460342865499</v>
      </c>
      <c r="V82" s="682">
        <v>9453.5460342865499</v>
      </c>
      <c r="W82" s="683">
        <v>0.49321298314352507</v>
      </c>
      <c r="X82" s="683">
        <v>0.55624188743965508</v>
      </c>
      <c r="Y82" s="683">
        <v>0.61355771175184015</v>
      </c>
      <c r="Z82" s="683">
        <v>0.60173655243647517</v>
      </c>
      <c r="AA82" s="683">
        <v>0.53920771710208626</v>
      </c>
      <c r="AB82" s="683">
        <v>0.47203361365784846</v>
      </c>
      <c r="AC82" s="683">
        <v>0.47203361365784846</v>
      </c>
      <c r="AD82" s="683">
        <v>0.47203361365784846</v>
      </c>
      <c r="AE82" s="683">
        <v>0.47203361365784846</v>
      </c>
      <c r="AF82" s="683">
        <v>0.47203361365784846</v>
      </c>
      <c r="AG82" s="790">
        <v>3600</v>
      </c>
      <c r="AH82" s="781">
        <v>1000</v>
      </c>
      <c r="AI82" s="781">
        <v>3198.4694538575945</v>
      </c>
      <c r="AJ82" s="781">
        <v>136.96874547902075</v>
      </c>
      <c r="AK82" s="781">
        <v>9723.6473495518785</v>
      </c>
      <c r="AL82" s="781">
        <v>776.92264852520407</v>
      </c>
      <c r="AM82" s="819">
        <v>0.61355771175184015</v>
      </c>
    </row>
    <row r="83" spans="1:39" ht="15" customHeight="1">
      <c r="A83" s="663" t="s">
        <v>856</v>
      </c>
      <c r="B83" s="682">
        <v>3576</v>
      </c>
      <c r="C83" s="682">
        <v>2983.356233764086</v>
      </c>
      <c r="D83" s="682">
        <v>2879.9726019009745</v>
      </c>
      <c r="E83" s="682">
        <v>2643.6671576424328</v>
      </c>
      <c r="F83" s="682">
        <v>2285.5167186880808</v>
      </c>
      <c r="G83" s="682">
        <v>1956.9044602660465</v>
      </c>
      <c r="H83" s="682">
        <v>1628.2922018440122</v>
      </c>
      <c r="I83" s="682">
        <v>1159.373585893469</v>
      </c>
      <c r="J83" s="682">
        <v>875.06859826991138</v>
      </c>
      <c r="K83" s="682">
        <v>875.06859826991138</v>
      </c>
      <c r="L83" s="682">
        <v>875.06859826991138</v>
      </c>
      <c r="M83" s="682">
        <v>10075.076232495479</v>
      </c>
      <c r="N83" s="682">
        <v>19797.937892752088</v>
      </c>
      <c r="O83" s="682">
        <v>28452.499630654969</v>
      </c>
      <c r="P83" s="682">
        <v>35273.453040601154</v>
      </c>
      <c r="Q83" s="682">
        <v>40799.101567022561</v>
      </c>
      <c r="R83" s="682">
        <v>44659.433070972336</v>
      </c>
      <c r="S83" s="682">
        <v>50245.534618557969</v>
      </c>
      <c r="T83" s="682">
        <v>54565.335959972246</v>
      </c>
      <c r="U83" s="682">
        <v>54565.335959972246</v>
      </c>
      <c r="V83" s="682">
        <v>54565.335959972246</v>
      </c>
      <c r="W83" s="683">
        <v>0.537051158412445</v>
      </c>
      <c r="X83" s="683">
        <v>0.7229886895138431</v>
      </c>
      <c r="Y83" s="683">
        <v>0.73918321094646322</v>
      </c>
      <c r="Z83" s="683">
        <v>0.66020076743673306</v>
      </c>
      <c r="AA83" s="683">
        <v>0.57061399176951377</v>
      </c>
      <c r="AB83" s="683">
        <v>0.49283601624530726</v>
      </c>
      <c r="AC83" s="683">
        <v>0.3816405438551988</v>
      </c>
      <c r="AD83" s="683">
        <v>0.31281859851909616</v>
      </c>
      <c r="AE83" s="683">
        <v>0.31281859851909616</v>
      </c>
      <c r="AF83" s="683">
        <v>0.31281859851909616</v>
      </c>
      <c r="AG83" s="790">
        <v>3600</v>
      </c>
      <c r="AH83" s="781">
        <v>1000</v>
      </c>
      <c r="AI83" s="781">
        <v>3023.535663244536</v>
      </c>
      <c r="AJ83" s="781">
        <v>68.430084970984126</v>
      </c>
      <c r="AK83" s="781">
        <v>54931.546268428443</v>
      </c>
      <c r="AL83" s="781">
        <v>2817.4150538298322</v>
      </c>
      <c r="AM83" s="819">
        <v>0.73918321094646322</v>
      </c>
    </row>
    <row r="84" spans="1:39" ht="15" customHeight="1">
      <c r="A84" s="663" t="s">
        <v>998</v>
      </c>
      <c r="B84" s="682">
        <v>3528</v>
      </c>
      <c r="C84" s="682">
        <v>991.03207835086346</v>
      </c>
      <c r="D84" s="682">
        <v>918.65355685608733</v>
      </c>
      <c r="E84" s="682">
        <v>816.33313672311931</v>
      </c>
      <c r="F84" s="682">
        <v>577.53803138613443</v>
      </c>
      <c r="G84" s="682">
        <v>398.23160056780722</v>
      </c>
      <c r="H84" s="682">
        <v>276.4210302186213</v>
      </c>
      <c r="I84" s="682">
        <v>196.0022501226301</v>
      </c>
      <c r="J84" s="682">
        <v>112.65438220645426</v>
      </c>
      <c r="K84" s="682">
        <v>112.65438220645426</v>
      </c>
      <c r="L84" s="682">
        <v>112.65438220645426</v>
      </c>
      <c r="M84" s="682">
        <v>4023.635127959089</v>
      </c>
      <c r="N84" s="682">
        <v>6198.2715360007323</v>
      </c>
      <c r="O84" s="682">
        <v>7303.6246130026393</v>
      </c>
      <c r="P84" s="682">
        <v>9214.8078530810126</v>
      </c>
      <c r="Q84" s="682">
        <v>10202.405620241769</v>
      </c>
      <c r="R84" s="682">
        <v>10625.032812050804</v>
      </c>
      <c r="S84" s="682">
        <v>10736.346366850854</v>
      </c>
      <c r="T84" s="682">
        <v>10554.274299750708</v>
      </c>
      <c r="U84" s="682">
        <v>10554.274299750708</v>
      </c>
      <c r="V84" s="682">
        <v>10554.274299750708</v>
      </c>
      <c r="W84" s="683">
        <v>0.81735289943181555</v>
      </c>
      <c r="X84" s="683">
        <v>0.92055433931608777</v>
      </c>
      <c r="Y84" s="683">
        <v>0.85923178701244685</v>
      </c>
      <c r="Z84" s="683">
        <v>0.63098277395732483</v>
      </c>
      <c r="AA84" s="683">
        <v>0.45022264959184094</v>
      </c>
      <c r="AB84" s="683">
        <v>0.32245698915237403</v>
      </c>
      <c r="AC84" s="683">
        <v>0.22564856065549821</v>
      </c>
      <c r="AD84" s="683">
        <v>0.10637755997494298</v>
      </c>
      <c r="AE84" s="683">
        <v>0.10637755997494298</v>
      </c>
      <c r="AF84" s="683">
        <v>0.10637755997494298</v>
      </c>
      <c r="AG84" s="790">
        <v>3600</v>
      </c>
      <c r="AH84" s="781">
        <v>1000</v>
      </c>
      <c r="AI84" s="781">
        <v>1031.8951253132689</v>
      </c>
      <c r="AJ84" s="781">
        <v>9.0508827184961405</v>
      </c>
      <c r="AK84" s="781">
        <v>10955.455476378422</v>
      </c>
      <c r="AL84" s="781">
        <v>1140.4861473806941</v>
      </c>
      <c r="AM84" s="819">
        <v>0.92055433931608777</v>
      </c>
    </row>
    <row r="85" spans="1:39" ht="15" customHeight="1">
      <c r="A85" s="663" t="s">
        <v>857</v>
      </c>
      <c r="B85" s="682">
        <v>0</v>
      </c>
      <c r="C85" s="682">
        <v>0</v>
      </c>
      <c r="D85" s="682">
        <v>0</v>
      </c>
      <c r="E85" s="682">
        <v>0</v>
      </c>
      <c r="F85" s="682">
        <v>0</v>
      </c>
      <c r="G85" s="682">
        <v>0</v>
      </c>
      <c r="H85" s="682">
        <v>0</v>
      </c>
      <c r="I85" s="682">
        <v>0</v>
      </c>
      <c r="J85" s="682">
        <v>0</v>
      </c>
      <c r="K85" s="682">
        <v>0</v>
      </c>
      <c r="L85" s="682">
        <v>0</v>
      </c>
      <c r="M85" s="682">
        <v>0</v>
      </c>
      <c r="N85" s="682">
        <v>0</v>
      </c>
      <c r="O85" s="682">
        <v>0</v>
      </c>
      <c r="P85" s="682">
        <v>0</v>
      </c>
      <c r="Q85" s="682">
        <v>0</v>
      </c>
      <c r="R85" s="682">
        <v>0</v>
      </c>
      <c r="S85" s="682">
        <v>0</v>
      </c>
      <c r="T85" s="682">
        <v>0</v>
      </c>
      <c r="U85" s="682">
        <v>0</v>
      </c>
      <c r="V85" s="682">
        <v>0</v>
      </c>
      <c r="W85" s="683">
        <v>0</v>
      </c>
      <c r="X85" s="683">
        <v>0</v>
      </c>
      <c r="Y85" s="683">
        <v>0</v>
      </c>
      <c r="Z85" s="683">
        <v>0</v>
      </c>
      <c r="AA85" s="683">
        <v>0</v>
      </c>
      <c r="AB85" s="683">
        <v>0</v>
      </c>
      <c r="AC85" s="683">
        <v>0</v>
      </c>
      <c r="AD85" s="683">
        <v>0</v>
      </c>
      <c r="AE85" s="683">
        <v>0</v>
      </c>
      <c r="AF85" s="683">
        <v>0</v>
      </c>
      <c r="AG85" s="790">
        <v>2050</v>
      </c>
      <c r="AH85" s="781">
        <v>0</v>
      </c>
      <c r="AI85" s="781">
        <v>0</v>
      </c>
      <c r="AJ85" s="781">
        <v>0</v>
      </c>
      <c r="AK85" s="781">
        <v>0</v>
      </c>
      <c r="AL85" s="781">
        <v>0</v>
      </c>
      <c r="AM85" s="819">
        <v>0</v>
      </c>
    </row>
    <row r="86" spans="1:39" ht="15" customHeight="1">
      <c r="A86" s="663" t="s">
        <v>858</v>
      </c>
      <c r="B86" s="682">
        <v>0</v>
      </c>
      <c r="C86" s="682">
        <v>0</v>
      </c>
      <c r="D86" s="682">
        <v>0</v>
      </c>
      <c r="E86" s="682">
        <v>0</v>
      </c>
      <c r="F86" s="682">
        <v>0</v>
      </c>
      <c r="G86" s="682">
        <v>0</v>
      </c>
      <c r="H86" s="682">
        <v>0</v>
      </c>
      <c r="I86" s="682">
        <v>0</v>
      </c>
      <c r="J86" s="682">
        <v>0</v>
      </c>
      <c r="K86" s="682">
        <v>0</v>
      </c>
      <c r="L86" s="682">
        <v>0</v>
      </c>
      <c r="M86" s="682">
        <v>0</v>
      </c>
      <c r="N86" s="682">
        <v>0</v>
      </c>
      <c r="O86" s="682">
        <v>0</v>
      </c>
      <c r="P86" s="682">
        <v>0</v>
      </c>
      <c r="Q86" s="682">
        <v>0</v>
      </c>
      <c r="R86" s="682">
        <v>0</v>
      </c>
      <c r="S86" s="682">
        <v>0</v>
      </c>
      <c r="T86" s="682">
        <v>0</v>
      </c>
      <c r="U86" s="682">
        <v>0</v>
      </c>
      <c r="V86" s="682">
        <v>0</v>
      </c>
      <c r="W86" s="683">
        <v>0</v>
      </c>
      <c r="X86" s="683">
        <v>0</v>
      </c>
      <c r="Y86" s="683">
        <v>0</v>
      </c>
      <c r="Z86" s="683">
        <v>0</v>
      </c>
      <c r="AA86" s="683">
        <v>0</v>
      </c>
      <c r="AB86" s="683">
        <v>0</v>
      </c>
      <c r="AC86" s="683">
        <v>0</v>
      </c>
      <c r="AD86" s="683">
        <v>0</v>
      </c>
      <c r="AE86" s="683">
        <v>0</v>
      </c>
      <c r="AF86" s="683">
        <v>0</v>
      </c>
      <c r="AG86" s="790">
        <v>3600</v>
      </c>
      <c r="AH86" s="781">
        <v>0</v>
      </c>
      <c r="AI86" s="781">
        <v>0</v>
      </c>
      <c r="AJ86" s="781">
        <v>0</v>
      </c>
      <c r="AK86" s="781">
        <v>0</v>
      </c>
      <c r="AL86" s="781">
        <v>0</v>
      </c>
      <c r="AM86" s="819">
        <v>0</v>
      </c>
    </row>
    <row r="87" spans="1:39" ht="15" customHeight="1">
      <c r="A87" s="663" t="s">
        <v>859</v>
      </c>
      <c r="B87" s="682">
        <v>0</v>
      </c>
      <c r="C87" s="682">
        <v>0</v>
      </c>
      <c r="D87" s="682">
        <v>0</v>
      </c>
      <c r="E87" s="682">
        <v>0</v>
      </c>
      <c r="F87" s="682">
        <v>0</v>
      </c>
      <c r="G87" s="682">
        <v>0</v>
      </c>
      <c r="H87" s="682">
        <v>0</v>
      </c>
      <c r="I87" s="682">
        <v>0</v>
      </c>
      <c r="J87" s="682">
        <v>0</v>
      </c>
      <c r="K87" s="682">
        <v>0</v>
      </c>
      <c r="L87" s="682">
        <v>0</v>
      </c>
      <c r="M87" s="682">
        <v>0</v>
      </c>
      <c r="N87" s="682">
        <v>0</v>
      </c>
      <c r="O87" s="682">
        <v>0</v>
      </c>
      <c r="P87" s="682">
        <v>0</v>
      </c>
      <c r="Q87" s="682">
        <v>0</v>
      </c>
      <c r="R87" s="682">
        <v>0</v>
      </c>
      <c r="S87" s="682">
        <v>0</v>
      </c>
      <c r="T87" s="682">
        <v>0</v>
      </c>
      <c r="U87" s="682">
        <v>0</v>
      </c>
      <c r="V87" s="682">
        <v>0</v>
      </c>
      <c r="W87" s="683">
        <v>0</v>
      </c>
      <c r="X87" s="683">
        <v>0</v>
      </c>
      <c r="Y87" s="683">
        <v>0</v>
      </c>
      <c r="Z87" s="683">
        <v>0</v>
      </c>
      <c r="AA87" s="683">
        <v>0</v>
      </c>
      <c r="AB87" s="683">
        <v>0</v>
      </c>
      <c r="AC87" s="683">
        <v>0</v>
      </c>
      <c r="AD87" s="683">
        <v>0</v>
      </c>
      <c r="AE87" s="683">
        <v>0</v>
      </c>
      <c r="AF87" s="683">
        <v>0</v>
      </c>
      <c r="AG87" s="790">
        <v>3600</v>
      </c>
      <c r="AH87" s="781">
        <v>0</v>
      </c>
      <c r="AI87" s="781">
        <v>0</v>
      </c>
      <c r="AJ87" s="781">
        <v>0</v>
      </c>
      <c r="AK87" s="781">
        <v>0</v>
      </c>
      <c r="AL87" s="781">
        <v>0</v>
      </c>
      <c r="AM87" s="819">
        <v>0</v>
      </c>
    </row>
    <row r="88" spans="1:39" ht="15" customHeight="1">
      <c r="A88" s="663" t="s">
        <v>999</v>
      </c>
      <c r="B88" s="682">
        <v>2940</v>
      </c>
      <c r="C88" s="682">
        <v>1657.1693668695275</v>
      </c>
      <c r="D88" s="682">
        <v>1608.2820684319845</v>
      </c>
      <c r="E88" s="682">
        <v>1520.8098352297309</v>
      </c>
      <c r="F88" s="682">
        <v>1325.0938015820229</v>
      </c>
      <c r="G88" s="682">
        <v>1124.565078582322</v>
      </c>
      <c r="H88" s="682">
        <v>855.05447487072422</v>
      </c>
      <c r="I88" s="682">
        <v>531.00005850320781</v>
      </c>
      <c r="J88" s="682">
        <v>531.00005850320781</v>
      </c>
      <c r="K88" s="682">
        <v>531.00005850320781</v>
      </c>
      <c r="L88" s="682">
        <v>531.00005850320781</v>
      </c>
      <c r="M88" s="682">
        <v>7064.3258777899064</v>
      </c>
      <c r="N88" s="682">
        <v>9359.1195698415067</v>
      </c>
      <c r="O88" s="682">
        <v>11434.648397962375</v>
      </c>
      <c r="P88" s="682">
        <v>14158.783683771628</v>
      </c>
      <c r="Q88" s="682">
        <v>16254.237240889201</v>
      </c>
      <c r="R88" s="682">
        <v>18372.805182635624</v>
      </c>
      <c r="S88" s="682">
        <v>20683.680582186411</v>
      </c>
      <c r="T88" s="682">
        <v>20683.680582186411</v>
      </c>
      <c r="U88" s="682">
        <v>20683.680582186411</v>
      </c>
      <c r="V88" s="682">
        <v>20683.680582186411</v>
      </c>
      <c r="W88" s="683">
        <v>0.77411806071135947</v>
      </c>
      <c r="X88" s="683">
        <v>0.82876177991349287</v>
      </c>
      <c r="Y88" s="683">
        <v>0.83506033383785938</v>
      </c>
      <c r="Z88" s="683">
        <v>0.78018976406556118</v>
      </c>
      <c r="AA88" s="683">
        <v>0.67967441817993046</v>
      </c>
      <c r="AB88" s="683">
        <v>0.54336996673374915</v>
      </c>
      <c r="AC88" s="683">
        <v>0.35160193735061124</v>
      </c>
      <c r="AD88" s="683">
        <v>0.35160193735061124</v>
      </c>
      <c r="AE88" s="683">
        <v>0.35160193735061124</v>
      </c>
      <c r="AF88" s="683">
        <v>0.35160193735061124</v>
      </c>
      <c r="AG88" s="790">
        <v>3600</v>
      </c>
      <c r="AH88" s="781">
        <v>1000</v>
      </c>
      <c r="AI88" s="781">
        <v>2484.7187508247807</v>
      </c>
      <c r="AJ88" s="781">
        <v>61.432743128234506</v>
      </c>
      <c r="AK88" s="781">
        <v>25326.955814922138</v>
      </c>
      <c r="AL88" s="781">
        <v>2402.8319312210565</v>
      </c>
      <c r="AM88" s="819">
        <v>0.83506033383785938</v>
      </c>
    </row>
    <row r="89" spans="1:39" ht="15" customHeight="1">
      <c r="A89" s="663" t="s">
        <v>1000</v>
      </c>
      <c r="B89" s="682">
        <v>3500</v>
      </c>
      <c r="C89" s="682">
        <v>2385.0231381992667</v>
      </c>
      <c r="D89" s="682">
        <v>2379.6544755657592</v>
      </c>
      <c r="E89" s="682">
        <v>2222.1403495682839</v>
      </c>
      <c r="F89" s="682">
        <v>2090.5712852966308</v>
      </c>
      <c r="G89" s="682">
        <v>1917.5878848949365</v>
      </c>
      <c r="H89" s="682">
        <v>1692.0145874064121</v>
      </c>
      <c r="I89" s="682">
        <v>1377.7392507607838</v>
      </c>
      <c r="J89" s="682">
        <v>985.41731520453197</v>
      </c>
      <c r="K89" s="682">
        <v>561.01427432125786</v>
      </c>
      <c r="L89" s="682">
        <v>561.01427432125786</v>
      </c>
      <c r="M89" s="682">
        <v>6087.8634068954952</v>
      </c>
      <c r="N89" s="682">
        <v>8300.5594291776833</v>
      </c>
      <c r="O89" s="682">
        <v>11125.279209965262</v>
      </c>
      <c r="P89" s="682">
        <v>12440.918515193118</v>
      </c>
      <c r="Q89" s="682">
        <v>13687.426081748496</v>
      </c>
      <c r="R89" s="682">
        <v>15177.276742128797</v>
      </c>
      <c r="S89" s="682">
        <v>16778.43276169305</v>
      </c>
      <c r="T89" s="682">
        <v>18416.165862036516</v>
      </c>
      <c r="U89" s="682">
        <v>19746.036967419401</v>
      </c>
      <c r="V89" s="682">
        <v>19746.036967419401</v>
      </c>
      <c r="W89" s="683">
        <v>0.67035061645104943</v>
      </c>
      <c r="X89" s="683">
        <v>0.73265294191920605</v>
      </c>
      <c r="Y89" s="683">
        <v>0.73495866422074996</v>
      </c>
      <c r="Z89" s="683">
        <v>0.70897497168949386</v>
      </c>
      <c r="AA89" s="683">
        <v>0.67028355731813827</v>
      </c>
      <c r="AB89" s="683">
        <v>0.60786930231841518</v>
      </c>
      <c r="AC89" s="683">
        <v>0.51378703542416992</v>
      </c>
      <c r="AD89" s="683">
        <v>0.39241637527049616</v>
      </c>
      <c r="AE89" s="683">
        <v>0.25782356211324831</v>
      </c>
      <c r="AF89" s="683">
        <v>0.25782356211324831</v>
      </c>
      <c r="AG89" s="790">
        <v>3600</v>
      </c>
      <c r="AH89" s="781">
        <v>1000</v>
      </c>
      <c r="AI89" s="781">
        <v>2523.257132331632</v>
      </c>
      <c r="AJ89" s="781">
        <v>45.797083618061862</v>
      </c>
      <c r="AK89" s="781">
        <v>20310.209452202809</v>
      </c>
      <c r="AL89" s="781">
        <v>1739.3895448272842</v>
      </c>
      <c r="AM89" s="819">
        <v>0.73495866422074996</v>
      </c>
    </row>
    <row r="90" spans="1:39" ht="15" customHeight="1">
      <c r="A90" s="663" t="s">
        <v>1001</v>
      </c>
      <c r="B90" s="682">
        <v>2880</v>
      </c>
      <c r="C90" s="682">
        <v>407.36413878952459</v>
      </c>
      <c r="D90" s="682">
        <v>393.6498695424886</v>
      </c>
      <c r="E90" s="682">
        <v>348.90996535893106</v>
      </c>
      <c r="F90" s="682">
        <v>294.17804629809291</v>
      </c>
      <c r="G90" s="682">
        <v>233.76911619368403</v>
      </c>
      <c r="H90" s="682">
        <v>166.34548293002797</v>
      </c>
      <c r="I90" s="682">
        <v>166.34548293002797</v>
      </c>
      <c r="J90" s="682">
        <v>166.34548293002797</v>
      </c>
      <c r="K90" s="682">
        <v>166.17479799971719</v>
      </c>
      <c r="L90" s="682">
        <v>166.17479799971719</v>
      </c>
      <c r="M90" s="682">
        <v>1635.7527493587106</v>
      </c>
      <c r="N90" s="682">
        <v>3108.7661647601262</v>
      </c>
      <c r="O90" s="682">
        <v>4339.7043665304809</v>
      </c>
      <c r="P90" s="682">
        <v>5374.8719967735969</v>
      </c>
      <c r="Q90" s="682">
        <v>6195.6921930470917</v>
      </c>
      <c r="R90" s="682">
        <v>6968.5193253290581</v>
      </c>
      <c r="S90" s="682">
        <v>6968.5193253290581</v>
      </c>
      <c r="T90" s="682">
        <v>6968.5193253290581</v>
      </c>
      <c r="U90" s="682">
        <v>6964.9432543606808</v>
      </c>
      <c r="V90" s="682">
        <v>6964.9432543606808</v>
      </c>
      <c r="W90" s="683">
        <v>0.68312966299859756</v>
      </c>
      <c r="X90" s="683">
        <v>0.89655488315223719</v>
      </c>
      <c r="Y90" s="683">
        <v>0.91597428429647498</v>
      </c>
      <c r="Z90" s="683">
        <v>0.85582204282909291</v>
      </c>
      <c r="AA90" s="683">
        <v>0.74242000072595904</v>
      </c>
      <c r="AB90" s="683">
        <v>0.59480741015896166</v>
      </c>
      <c r="AC90" s="683">
        <v>0.59480741015896166</v>
      </c>
      <c r="AD90" s="683">
        <v>0.59480741015896166</v>
      </c>
      <c r="AE90" s="683">
        <v>0.59372076140499508</v>
      </c>
      <c r="AF90" s="683">
        <v>0.59372076140499508</v>
      </c>
      <c r="AG90" s="790">
        <v>3600</v>
      </c>
      <c r="AH90" s="781">
        <v>1000</v>
      </c>
      <c r="AI90" s="781">
        <v>636.50646685863217</v>
      </c>
      <c r="AJ90" s="781">
        <v>20.034577305135656</v>
      </c>
      <c r="AK90" s="781">
        <v>8710.6491566613222</v>
      </c>
      <c r="AL90" s="781">
        <v>567.96970463844116</v>
      </c>
      <c r="AM90" s="819">
        <v>0.91597428429647498</v>
      </c>
    </row>
    <row r="91" spans="1:39" ht="15" customHeight="1">
      <c r="A91" s="663" t="s">
        <v>1002</v>
      </c>
      <c r="B91" s="682">
        <v>2960</v>
      </c>
      <c r="C91" s="682">
        <v>690.81587586786895</v>
      </c>
      <c r="D91" s="682">
        <v>655.85089205594647</v>
      </c>
      <c r="E91" s="682">
        <v>578.65319383313863</v>
      </c>
      <c r="F91" s="682">
        <v>458.47336580628973</v>
      </c>
      <c r="G91" s="682">
        <v>349.89114242449824</v>
      </c>
      <c r="H91" s="682">
        <v>238.38209692576424</v>
      </c>
      <c r="I91" s="682">
        <v>175.49026246277228</v>
      </c>
      <c r="J91" s="682">
        <v>128.2775198483933</v>
      </c>
      <c r="K91" s="682">
        <v>96.506887696955616</v>
      </c>
      <c r="L91" s="682">
        <v>96.506887696955616</v>
      </c>
      <c r="M91" s="682">
        <v>5868.1822502882405</v>
      </c>
      <c r="N91" s="682">
        <v>9801.8533695276838</v>
      </c>
      <c r="O91" s="682">
        <v>12915.276229926216</v>
      </c>
      <c r="P91" s="682">
        <v>15935.226449675662</v>
      </c>
      <c r="Q91" s="682">
        <v>17898.314189143137</v>
      </c>
      <c r="R91" s="682">
        <v>19533.808379252299</v>
      </c>
      <c r="S91" s="682">
        <v>20421.971126826607</v>
      </c>
      <c r="T91" s="682">
        <v>21072.519763488239</v>
      </c>
      <c r="U91" s="682">
        <v>21410.960976392933</v>
      </c>
      <c r="V91" s="682">
        <v>21410.960976392933</v>
      </c>
      <c r="W91" s="683">
        <v>0.66019613571483526</v>
      </c>
      <c r="X91" s="683">
        <v>0.85035454687922085</v>
      </c>
      <c r="Y91" s="683">
        <v>0.88153148401388925</v>
      </c>
      <c r="Z91" s="683">
        <v>0.80867986846070539</v>
      </c>
      <c r="AA91" s="683">
        <v>0.69594000839923309</v>
      </c>
      <c r="AB91" s="683">
        <v>0.5595598261767023</v>
      </c>
      <c r="AC91" s="683">
        <v>0.46558064363539581</v>
      </c>
      <c r="AD91" s="683">
        <v>0.37803599419084671</v>
      </c>
      <c r="AE91" s="683">
        <v>0.29855323198677297</v>
      </c>
      <c r="AF91" s="683">
        <v>0.29855323198677297</v>
      </c>
      <c r="AG91" s="790">
        <v>3600</v>
      </c>
      <c r="AH91" s="781">
        <v>1000</v>
      </c>
      <c r="AI91" s="781">
        <v>1021.8423291690538</v>
      </c>
      <c r="AJ91" s="781">
        <v>11.014756174323823</v>
      </c>
      <c r="AK91" s="781">
        <v>26040.357944261676</v>
      </c>
      <c r="AL91" s="781">
        <v>1982.4940034757569</v>
      </c>
      <c r="AM91" s="819">
        <v>0.88153148401388925</v>
      </c>
    </row>
    <row r="92" spans="1:39" ht="15" customHeight="1">
      <c r="A92" s="663" t="s">
        <v>1003</v>
      </c>
      <c r="B92" s="682">
        <v>3000</v>
      </c>
      <c r="C92" s="682">
        <v>1268.2639412986653</v>
      </c>
      <c r="D92" s="682">
        <v>1227.3144597991695</v>
      </c>
      <c r="E92" s="682">
        <v>1132.5456597574796</v>
      </c>
      <c r="F92" s="682">
        <v>1003.8472893304934</v>
      </c>
      <c r="G92" s="682">
        <v>876.31890408920674</v>
      </c>
      <c r="H92" s="682">
        <v>727.73078550532273</v>
      </c>
      <c r="I92" s="682">
        <v>727.73078550532273</v>
      </c>
      <c r="J92" s="682">
        <v>727.73078550532273</v>
      </c>
      <c r="K92" s="682">
        <v>727.73078550532273</v>
      </c>
      <c r="L92" s="682">
        <v>727.73078550532273</v>
      </c>
      <c r="M92" s="682">
        <v>4320.0360498808359</v>
      </c>
      <c r="N92" s="682">
        <v>5861.6848798839337</v>
      </c>
      <c r="O92" s="682">
        <v>7742.3910027835927</v>
      </c>
      <c r="P92" s="682">
        <v>9277.1892456515034</v>
      </c>
      <c r="Q92" s="682">
        <v>10525.302017052989</v>
      </c>
      <c r="R92" s="682">
        <v>11284.177897416323</v>
      </c>
      <c r="S92" s="682">
        <v>11284.177897416323</v>
      </c>
      <c r="T92" s="682">
        <v>11284.177897416323</v>
      </c>
      <c r="U92" s="682">
        <v>11284.177897416323</v>
      </c>
      <c r="V92" s="682">
        <v>11284.177897416323</v>
      </c>
      <c r="W92" s="683">
        <v>0.69372107666454741</v>
      </c>
      <c r="X92" s="683">
        <v>0.74875734573019082</v>
      </c>
      <c r="Y92" s="683">
        <v>0.77995218731429428</v>
      </c>
      <c r="Z92" s="683">
        <v>0.7232937236055057</v>
      </c>
      <c r="AA92" s="683">
        <v>0.6817759120706085</v>
      </c>
      <c r="AB92" s="683">
        <v>0.56211171139560567</v>
      </c>
      <c r="AC92" s="683">
        <v>0.56211171139560567</v>
      </c>
      <c r="AD92" s="683">
        <v>0.56211171139560567</v>
      </c>
      <c r="AE92" s="683">
        <v>0.56211171139560567</v>
      </c>
      <c r="AF92" s="683">
        <v>0.56211171139560567</v>
      </c>
      <c r="AG92" s="790">
        <v>3600</v>
      </c>
      <c r="AH92" s="781">
        <v>1000</v>
      </c>
      <c r="AI92" s="781">
        <v>1771.9219907229563</v>
      </c>
      <c r="AJ92" s="781">
        <v>80.858976167258078</v>
      </c>
      <c r="AK92" s="781">
        <v>13337.898274746092</v>
      </c>
      <c r="AL92" s="781">
        <v>1440.0120166269453</v>
      </c>
      <c r="AM92" s="819">
        <v>0.77995218731429428</v>
      </c>
    </row>
    <row r="93" spans="1:39" s="768" customFormat="1" ht="13.5">
      <c r="A93" s="663" t="s">
        <v>1004</v>
      </c>
      <c r="B93" s="682">
        <v>2980</v>
      </c>
      <c r="C93" s="682">
        <v>2267.6708143697078</v>
      </c>
      <c r="D93" s="682">
        <v>2331.7067872346656</v>
      </c>
      <c r="E93" s="682">
        <v>2030.9720903260422</v>
      </c>
      <c r="F93" s="682">
        <v>1613.7868422765891</v>
      </c>
      <c r="G93" s="682">
        <v>1144.1067608033329</v>
      </c>
      <c r="H93" s="682">
        <v>731.04975240834938</v>
      </c>
      <c r="I93" s="682">
        <v>491.16751441557216</v>
      </c>
      <c r="J93" s="682">
        <v>491.16751441557216</v>
      </c>
      <c r="K93" s="682">
        <v>491.16751441557216</v>
      </c>
      <c r="L93" s="682">
        <v>491.16751441557216</v>
      </c>
      <c r="M93" s="682">
        <v>8507.2105104205366</v>
      </c>
      <c r="N93" s="682">
        <v>14665.033657040618</v>
      </c>
      <c r="O93" s="682">
        <v>21093.587228512348</v>
      </c>
      <c r="P93" s="682">
        <v>25261.720330826909</v>
      </c>
      <c r="Q93" s="682">
        <v>28400.651855751988</v>
      </c>
      <c r="R93" s="682">
        <v>30527.252557229349</v>
      </c>
      <c r="S93" s="682">
        <v>31673.93190830839</v>
      </c>
      <c r="T93" s="682">
        <v>31673.93190830839</v>
      </c>
      <c r="U93" s="682">
        <v>31673.93190830839</v>
      </c>
      <c r="V93" s="682">
        <v>31673.93190830839</v>
      </c>
      <c r="W93" s="683">
        <v>0.65071704913768114</v>
      </c>
      <c r="X93" s="683">
        <v>0.86505408201897793</v>
      </c>
      <c r="Y93" s="683">
        <v>0.85123181945182624</v>
      </c>
      <c r="Z93" s="683">
        <v>0.71946299027922023</v>
      </c>
      <c r="AA93" s="683">
        <v>0.57717193165756053</v>
      </c>
      <c r="AB93" s="683">
        <v>0.41528704451704884</v>
      </c>
      <c r="AC93" s="683">
        <v>0.28984524731772093</v>
      </c>
      <c r="AD93" s="683">
        <v>0.29564215226407536</v>
      </c>
      <c r="AE93" s="683">
        <v>0.29564215226407536</v>
      </c>
      <c r="AF93" s="683">
        <v>0.29564215226407536</v>
      </c>
      <c r="AG93" s="790">
        <v>3600</v>
      </c>
      <c r="AH93" s="781">
        <v>1000</v>
      </c>
      <c r="AI93" s="781">
        <v>3402.8782445116517</v>
      </c>
      <c r="AJ93" s="781">
        <v>55.309165624923679</v>
      </c>
      <c r="AK93" s="781">
        <v>38263.810359030271</v>
      </c>
      <c r="AL93" s="781">
        <v>2854.7686276578984</v>
      </c>
      <c r="AM93" s="819">
        <v>0.86505408201897793</v>
      </c>
    </row>
    <row r="94" spans="1:39" s="768" customFormat="1" ht="13.5">
      <c r="A94" s="663" t="s">
        <v>1005</v>
      </c>
      <c r="B94" s="682">
        <v>2930</v>
      </c>
      <c r="C94" s="682">
        <v>381.26635200313876</v>
      </c>
      <c r="D94" s="682">
        <v>379.01098206086601</v>
      </c>
      <c r="E94" s="682">
        <v>339.35436631497691</v>
      </c>
      <c r="F94" s="682">
        <v>308.5179501806146</v>
      </c>
      <c r="G94" s="682">
        <v>272.54607776021118</v>
      </c>
      <c r="H94" s="682">
        <v>204.03686595445726</v>
      </c>
      <c r="I94" s="682">
        <v>137.2982284092331</v>
      </c>
      <c r="J94" s="682">
        <v>92.086319306999627</v>
      </c>
      <c r="K94" s="682">
        <v>72.399529471897054</v>
      </c>
      <c r="L94" s="682">
        <v>72.399529471897054</v>
      </c>
      <c r="M94" s="682">
        <v>2474.4104319547973</v>
      </c>
      <c r="N94" s="682">
        <v>3947.3294804406078</v>
      </c>
      <c r="O94" s="682">
        <v>6349.6987750159278</v>
      </c>
      <c r="P94" s="682">
        <v>7478.8873958969989</v>
      </c>
      <c r="Q94" s="682">
        <v>8535.6702628414187</v>
      </c>
      <c r="R94" s="682">
        <v>10136.775948552655</v>
      </c>
      <c r="S94" s="682">
        <v>11403.841833368775</v>
      </c>
      <c r="T94" s="682">
        <v>12160.601464147823</v>
      </c>
      <c r="U94" s="682">
        <v>12421.608848491376</v>
      </c>
      <c r="V94" s="682">
        <v>12421.608848491376</v>
      </c>
      <c r="W94" s="683">
        <v>0.51069821761125189</v>
      </c>
      <c r="X94" s="683">
        <v>0.70261194702037566</v>
      </c>
      <c r="Y94" s="683">
        <v>0.86450355564469139</v>
      </c>
      <c r="Z94" s="683">
        <v>0.88105639537247049</v>
      </c>
      <c r="AA94" s="683">
        <v>0.85180941310023417</v>
      </c>
      <c r="AB94" s="683">
        <v>0.74985261083287125</v>
      </c>
      <c r="AC94" s="683">
        <v>0.60724775736458103</v>
      </c>
      <c r="AD94" s="683">
        <v>0.49389706268738387</v>
      </c>
      <c r="AE94" s="683">
        <v>0.4365800256690045</v>
      </c>
      <c r="AF94" s="683">
        <v>0.4365800256690045</v>
      </c>
      <c r="AG94" s="790">
        <v>3600</v>
      </c>
      <c r="AH94" s="781">
        <v>1000</v>
      </c>
      <c r="AI94" s="781">
        <v>575.57011985703718</v>
      </c>
      <c r="AJ94" s="781">
        <v>8.4333573450939507</v>
      </c>
      <c r="AK94" s="781">
        <v>15262.045001559371</v>
      </c>
      <c r="AL94" s="781">
        <v>844.50867984805382</v>
      </c>
      <c r="AM94" s="819">
        <v>0.88105639537247049</v>
      </c>
    </row>
    <row r="95" spans="1:39" s="768" customFormat="1" ht="13.5">
      <c r="A95" s="663" t="s">
        <v>1006</v>
      </c>
      <c r="B95" s="682">
        <v>3550</v>
      </c>
      <c r="C95" s="682">
        <v>2605.5627683578296</v>
      </c>
      <c r="D95" s="682">
        <v>2408.6353300818168</v>
      </c>
      <c r="E95" s="682">
        <v>2153.6967793421427</v>
      </c>
      <c r="F95" s="682">
        <v>1830.5726634031976</v>
      </c>
      <c r="G95" s="682">
        <v>1487.5611975369916</v>
      </c>
      <c r="H95" s="682">
        <v>1287.7575730508431</v>
      </c>
      <c r="I95" s="682">
        <v>1287.7575730508431</v>
      </c>
      <c r="J95" s="682">
        <v>1287.7575730508431</v>
      </c>
      <c r="K95" s="682">
        <v>1287.3246446070857</v>
      </c>
      <c r="L95" s="682">
        <v>1287.3246446070857</v>
      </c>
      <c r="M95" s="682">
        <v>889.66002881759982</v>
      </c>
      <c r="N95" s="682">
        <v>1496.9141155287905</v>
      </c>
      <c r="O95" s="682">
        <v>2022.11381750846</v>
      </c>
      <c r="P95" s="682">
        <v>2609.9659378966444</v>
      </c>
      <c r="Q95" s="682">
        <v>3193.039853642983</v>
      </c>
      <c r="R95" s="682">
        <v>3439.9573228494241</v>
      </c>
      <c r="S95" s="682">
        <v>3439.9573228494241</v>
      </c>
      <c r="T95" s="682">
        <v>3439.9573228494241</v>
      </c>
      <c r="U95" s="682">
        <v>3439.3790383221281</v>
      </c>
      <c r="V95" s="682">
        <v>3439.3790383221281</v>
      </c>
      <c r="W95" s="683">
        <v>0.22477575077717901</v>
      </c>
      <c r="X95" s="683">
        <v>0.3005474162113953</v>
      </c>
      <c r="Y95" s="683">
        <v>0.32076306298599705</v>
      </c>
      <c r="Z95" s="683">
        <v>0.3247833593100366</v>
      </c>
      <c r="AA95" s="683">
        <v>0.30318622181445759</v>
      </c>
      <c r="AB95" s="683">
        <v>0.28236820169368748</v>
      </c>
      <c r="AC95" s="683">
        <v>0.28236820169368748</v>
      </c>
      <c r="AD95" s="683">
        <v>0.28236820169368748</v>
      </c>
      <c r="AE95" s="683">
        <v>0.28224996302572131</v>
      </c>
      <c r="AF95" s="683">
        <v>0.28224996302572131</v>
      </c>
      <c r="AG95" s="790">
        <v>4000</v>
      </c>
      <c r="AH95" s="781">
        <v>1000</v>
      </c>
      <c r="AI95" s="781">
        <v>3307.9947862507661</v>
      </c>
      <c r="AJ95" s="781">
        <v>102.14835505709866</v>
      </c>
      <c r="AK95" s="781">
        <v>3876.0082510979428</v>
      </c>
      <c r="AL95" s="781">
        <v>250.60845882185913</v>
      </c>
      <c r="AM95" s="819">
        <v>0.3247833593100366</v>
      </c>
    </row>
    <row r="96" spans="1:39" s="768" customFormat="1" ht="13.5">
      <c r="A96" s="663" t="s">
        <v>1007</v>
      </c>
      <c r="B96" s="682">
        <v>3600</v>
      </c>
      <c r="C96" s="682">
        <v>546.01912442079856</v>
      </c>
      <c r="D96" s="682">
        <v>634.94732058053773</v>
      </c>
      <c r="E96" s="682">
        <v>800.35376543765256</v>
      </c>
      <c r="F96" s="682">
        <v>1113.7722999830373</v>
      </c>
      <c r="G96" s="682">
        <v>1433.5225220949953</v>
      </c>
      <c r="H96" s="682">
        <v>1773.1037319505754</v>
      </c>
      <c r="I96" s="682">
        <v>1981.3202104389889</v>
      </c>
      <c r="J96" s="682">
        <v>2112.9339407554025</v>
      </c>
      <c r="K96" s="682">
        <v>2180.5193698368043</v>
      </c>
      <c r="L96" s="682">
        <v>2180.5193698368043</v>
      </c>
      <c r="M96" s="682">
        <v>17292.817146737776</v>
      </c>
      <c r="N96" s="682">
        <v>17087.746169326831</v>
      </c>
      <c r="O96" s="682">
        <v>16682.42160354368</v>
      </c>
      <c r="P96" s="682">
        <v>15743.681297201978</v>
      </c>
      <c r="Q96" s="682">
        <v>14512.215314217825</v>
      </c>
      <c r="R96" s="682">
        <v>12415.241523657898</v>
      </c>
      <c r="S96" s="682">
        <v>10499.180992939486</v>
      </c>
      <c r="T96" s="682">
        <v>8809.3611963186377</v>
      </c>
      <c r="U96" s="682">
        <v>7159.3141362720644</v>
      </c>
      <c r="V96" s="682">
        <v>7159.3141362720644</v>
      </c>
      <c r="W96" s="683">
        <v>0.27041281282531227</v>
      </c>
      <c r="X96" s="683">
        <v>0.31271678695902083</v>
      </c>
      <c r="Y96" s="683">
        <v>0.38237962885562554</v>
      </c>
      <c r="Z96" s="683">
        <v>0.49585979043791822</v>
      </c>
      <c r="AA96" s="683">
        <v>0.63201856141449675</v>
      </c>
      <c r="AB96" s="683">
        <v>0.74420226962169511</v>
      </c>
      <c r="AC96" s="683">
        <v>0.80631625936332307</v>
      </c>
      <c r="AD96" s="683">
        <v>0.82050924590230723</v>
      </c>
      <c r="AE96" s="683">
        <v>0.77990584088783554</v>
      </c>
      <c r="AF96" s="683">
        <v>0.77990584088783554</v>
      </c>
      <c r="AG96" s="790">
        <v>3600</v>
      </c>
      <c r="AH96" s="781">
        <v>1000</v>
      </c>
      <c r="AI96" s="781">
        <v>2180.5193698368043</v>
      </c>
      <c r="AJ96" s="781">
        <v>42.131105279382609</v>
      </c>
      <c r="AK96" s="781">
        <v>17292.817146737776</v>
      </c>
      <c r="AL96" s="781">
        <v>1988.6983711866847</v>
      </c>
      <c r="AM96" s="819">
        <v>0.82050924590230723</v>
      </c>
    </row>
    <row r="97" spans="1:39" s="768" customFormat="1" ht="13.5">
      <c r="A97" s="663" t="s">
        <v>1184</v>
      </c>
      <c r="B97" s="682">
        <v>3500</v>
      </c>
      <c r="C97" s="682">
        <v>2410.9656659919287</v>
      </c>
      <c r="D97" s="682">
        <v>2524.8695557238316</v>
      </c>
      <c r="E97" s="682">
        <v>2634.0274500502373</v>
      </c>
      <c r="F97" s="682">
        <v>2516.3267639939386</v>
      </c>
      <c r="G97" s="682">
        <v>2304.65536890882</v>
      </c>
      <c r="H97" s="682">
        <v>2047.9349854347347</v>
      </c>
      <c r="I97" s="682">
        <v>1791.9431122553931</v>
      </c>
      <c r="J97" s="682">
        <v>1559.2232275469003</v>
      </c>
      <c r="K97" s="682">
        <v>1559.2232275469003</v>
      </c>
      <c r="L97" s="682">
        <v>1559.2232275469003</v>
      </c>
      <c r="M97" s="682">
        <v>2926.8126791901882</v>
      </c>
      <c r="N97" s="682">
        <v>3827.1388483340779</v>
      </c>
      <c r="O97" s="682">
        <v>5608.5551916663062</v>
      </c>
      <c r="P97" s="682">
        <v>7142.9709486288248</v>
      </c>
      <c r="Q97" s="682">
        <v>8425.6957957225168</v>
      </c>
      <c r="R97" s="682">
        <v>9441.1640032851901</v>
      </c>
      <c r="S97" s="682">
        <v>10233.209822946217</v>
      </c>
      <c r="T97" s="682">
        <v>10853.2335849715</v>
      </c>
      <c r="U97" s="682">
        <v>10853.2335849715</v>
      </c>
      <c r="V97" s="682">
        <v>10853.2335849715</v>
      </c>
      <c r="W97" s="683">
        <v>0.5280891460849847</v>
      </c>
      <c r="X97" s="683">
        <v>0.63447064826571975</v>
      </c>
      <c r="Y97" s="683">
        <v>0.76332227379435247</v>
      </c>
      <c r="Z97" s="683">
        <v>0.78677949497451372</v>
      </c>
      <c r="AA97" s="683">
        <v>0.75083325231230091</v>
      </c>
      <c r="AB97" s="683">
        <v>0.6831275163307664</v>
      </c>
      <c r="AC97" s="683">
        <v>0.60549755186880516</v>
      </c>
      <c r="AD97" s="683">
        <v>0.52447243353616213</v>
      </c>
      <c r="AE97" s="683">
        <v>0.52447243353616213</v>
      </c>
      <c r="AF97" s="683">
        <v>0.52447243353616213</v>
      </c>
      <c r="AG97" s="790">
        <v>4000</v>
      </c>
      <c r="AH97" s="781">
        <v>1000</v>
      </c>
      <c r="AI97" s="781">
        <v>3440.3623837390851</v>
      </c>
      <c r="AJ97" s="781">
        <v>127.28352877933878</v>
      </c>
      <c r="AK97" s="781">
        <v>12403.695525681713</v>
      </c>
      <c r="AL97" s="781">
        <v>836.2321940543394</v>
      </c>
      <c r="AM97" s="819">
        <v>0.78677949497451372</v>
      </c>
    </row>
    <row r="98" spans="1:39" s="768" customFormat="1" ht="13.5">
      <c r="A98" s="663" t="s">
        <v>1009</v>
      </c>
      <c r="B98" s="682">
        <v>0</v>
      </c>
      <c r="C98" s="682">
        <v>0</v>
      </c>
      <c r="D98" s="682">
        <v>0</v>
      </c>
      <c r="E98" s="682">
        <v>0</v>
      </c>
      <c r="F98" s="682">
        <v>0</v>
      </c>
      <c r="G98" s="682">
        <v>0</v>
      </c>
      <c r="H98" s="682">
        <v>0</v>
      </c>
      <c r="I98" s="682">
        <v>0</v>
      </c>
      <c r="J98" s="682">
        <v>0</v>
      </c>
      <c r="K98" s="682">
        <v>0</v>
      </c>
      <c r="L98" s="682">
        <v>0</v>
      </c>
      <c r="M98" s="682">
        <v>0</v>
      </c>
      <c r="N98" s="682">
        <v>0</v>
      </c>
      <c r="O98" s="682">
        <v>0</v>
      </c>
      <c r="P98" s="682">
        <v>0</v>
      </c>
      <c r="Q98" s="682">
        <v>0</v>
      </c>
      <c r="R98" s="682">
        <v>0</v>
      </c>
      <c r="S98" s="682">
        <v>0</v>
      </c>
      <c r="T98" s="682">
        <v>0</v>
      </c>
      <c r="U98" s="682">
        <v>0</v>
      </c>
      <c r="V98" s="682">
        <v>0</v>
      </c>
      <c r="W98" s="683">
        <v>0</v>
      </c>
      <c r="X98" s="683">
        <v>0</v>
      </c>
      <c r="Y98" s="683">
        <v>0</v>
      </c>
      <c r="Z98" s="683">
        <v>0</v>
      </c>
      <c r="AA98" s="683">
        <v>0</v>
      </c>
      <c r="AB98" s="683">
        <v>0</v>
      </c>
      <c r="AC98" s="683">
        <v>0</v>
      </c>
      <c r="AD98" s="683">
        <v>0</v>
      </c>
      <c r="AE98" s="683">
        <v>0</v>
      </c>
      <c r="AF98" s="683">
        <v>0</v>
      </c>
      <c r="AG98" s="790">
        <v>3600</v>
      </c>
      <c r="AH98" s="781">
        <v>0</v>
      </c>
      <c r="AI98" s="781">
        <v>0</v>
      </c>
      <c r="AJ98" s="781">
        <v>0</v>
      </c>
      <c r="AK98" s="781">
        <v>0</v>
      </c>
      <c r="AL98" s="781">
        <v>0</v>
      </c>
      <c r="AM98" s="819">
        <v>0</v>
      </c>
    </row>
    <row r="99" spans="1:39" s="768" customFormat="1" ht="13.5">
      <c r="A99" s="663" t="s">
        <v>1010</v>
      </c>
      <c r="B99" s="682">
        <v>1788</v>
      </c>
      <c r="C99" s="682">
        <v>845.28802474630834</v>
      </c>
      <c r="D99" s="682">
        <v>822.91220996454354</v>
      </c>
      <c r="E99" s="682">
        <v>771.63615592939061</v>
      </c>
      <c r="F99" s="682">
        <v>620.14343891537931</v>
      </c>
      <c r="G99" s="682">
        <v>499.25696309909858</v>
      </c>
      <c r="H99" s="682">
        <v>239.20515749294347</v>
      </c>
      <c r="I99" s="682">
        <v>239.20515749294347</v>
      </c>
      <c r="J99" s="682">
        <v>239.20515749294347</v>
      </c>
      <c r="K99" s="682">
        <v>239.37601831972418</v>
      </c>
      <c r="L99" s="682">
        <v>239.37601831972418</v>
      </c>
      <c r="M99" s="682">
        <v>46745.740285305437</v>
      </c>
      <c r="N99" s="682">
        <v>67049.004436812102</v>
      </c>
      <c r="O99" s="682">
        <v>90152.693396151401</v>
      </c>
      <c r="P99" s="682">
        <v>127161.64131463828</v>
      </c>
      <c r="Q99" s="682">
        <v>149023.92837280032</v>
      </c>
      <c r="R99" s="682">
        <v>184200.66119914548</v>
      </c>
      <c r="S99" s="682">
        <v>184200.66119914548</v>
      </c>
      <c r="T99" s="682">
        <v>184200.66119914548</v>
      </c>
      <c r="U99" s="682">
        <v>184266.43540627623</v>
      </c>
      <c r="V99" s="682">
        <v>184266.43540627623</v>
      </c>
      <c r="W99" s="683">
        <v>0.73174024236190482</v>
      </c>
      <c r="X99" s="683">
        <v>0.8623193101075689</v>
      </c>
      <c r="Y99" s="683">
        <v>0.94396946150720917</v>
      </c>
      <c r="Z99" s="683">
        <v>0.92688070237706166</v>
      </c>
      <c r="AA99" s="683">
        <v>0.82735741581282518</v>
      </c>
      <c r="AB99" s="683">
        <v>0.53264895563477577</v>
      </c>
      <c r="AC99" s="683">
        <v>0.53264895563477577</v>
      </c>
      <c r="AD99" s="683">
        <v>0.53264895563477577</v>
      </c>
      <c r="AE99" s="683">
        <v>0.53322584995333899</v>
      </c>
      <c r="AF99" s="683">
        <v>0.53322584995333899</v>
      </c>
      <c r="AG99" s="790">
        <v>3600</v>
      </c>
      <c r="AH99" s="781">
        <v>1000</v>
      </c>
      <c r="AI99" s="781">
        <v>3381.1520989852334</v>
      </c>
      <c r="AJ99" s="781">
        <v>74.823067746242501</v>
      </c>
      <c r="AK99" s="781">
        <v>368532.87081255246</v>
      </c>
      <c r="AL99" s="781">
        <v>26144.150047709976</v>
      </c>
      <c r="AM99" s="819">
        <v>0.94396946150720917</v>
      </c>
    </row>
    <row r="100" spans="1:39" s="768" customFormat="1" ht="13.5">
      <c r="A100" s="663" t="s">
        <v>1011</v>
      </c>
      <c r="B100" s="682">
        <v>1492</v>
      </c>
      <c r="C100" s="682">
        <v>693.01841621665926</v>
      </c>
      <c r="D100" s="682">
        <v>659.69137346022444</v>
      </c>
      <c r="E100" s="682">
        <v>617.64533812160971</v>
      </c>
      <c r="F100" s="682">
        <v>541.58706731929158</v>
      </c>
      <c r="G100" s="682">
        <v>442.53646360694154</v>
      </c>
      <c r="H100" s="682">
        <v>318.09995022068352</v>
      </c>
      <c r="I100" s="682">
        <v>200.39412192940321</v>
      </c>
      <c r="J100" s="682">
        <v>200.47860252267003</v>
      </c>
      <c r="K100" s="682">
        <v>200.47860252267003</v>
      </c>
      <c r="L100" s="682">
        <v>200.47860252267003</v>
      </c>
      <c r="M100" s="682">
        <v>72628.708451979561</v>
      </c>
      <c r="N100" s="682">
        <v>105184.06897547026</v>
      </c>
      <c r="O100" s="682">
        <v>137130.95892605197</v>
      </c>
      <c r="P100" s="682">
        <v>180577.0721244649</v>
      </c>
      <c r="Q100" s="682">
        <v>223535.96819433427</v>
      </c>
      <c r="R100" s="682">
        <v>269095.10906642687</v>
      </c>
      <c r="S100" s="682">
        <v>305118.43837370595</v>
      </c>
      <c r="T100" s="682">
        <v>305182.74632431252</v>
      </c>
      <c r="U100" s="682">
        <v>305182.74632431252</v>
      </c>
      <c r="V100" s="682">
        <v>305182.74632431252</v>
      </c>
      <c r="W100" s="683">
        <v>0.55944622760476903</v>
      </c>
      <c r="X100" s="683">
        <v>0.68712782047492915</v>
      </c>
      <c r="Y100" s="683">
        <v>0.77066017621679006</v>
      </c>
      <c r="Z100" s="683">
        <v>0.81047912599214345</v>
      </c>
      <c r="AA100" s="683">
        <v>0.76674939390602292</v>
      </c>
      <c r="AB100" s="683">
        <v>0.64024640957858014</v>
      </c>
      <c r="AC100" s="683">
        <v>0.47485401593967869</v>
      </c>
      <c r="AD100" s="683">
        <v>0.47515432547152092</v>
      </c>
      <c r="AE100" s="683">
        <v>0.47513660984111461</v>
      </c>
      <c r="AF100" s="683">
        <v>0.47513660984111461</v>
      </c>
      <c r="AG100" s="790">
        <v>3600</v>
      </c>
      <c r="AH100" s="781">
        <v>1000</v>
      </c>
      <c r="AI100" s="781">
        <v>2772.073664866637</v>
      </c>
      <c r="AJ100" s="781">
        <v>90.021725309516356</v>
      </c>
      <c r="AK100" s="781">
        <v>610365.49264862505</v>
      </c>
      <c r="AL100" s="781">
        <v>48678.759016072094</v>
      </c>
      <c r="AM100" s="819">
        <v>0.81047912599214345</v>
      </c>
    </row>
    <row r="101" spans="1:39" s="768" customFormat="1" ht="13.5">
      <c r="A101" s="663" t="s">
        <v>1162</v>
      </c>
      <c r="B101" s="682">
        <v>1490</v>
      </c>
      <c r="C101" s="682">
        <v>637.06846206830664</v>
      </c>
      <c r="D101" s="682">
        <v>651.38197079249323</v>
      </c>
      <c r="E101" s="682">
        <v>575.80407628122782</v>
      </c>
      <c r="F101" s="682">
        <v>493.17546280711042</v>
      </c>
      <c r="G101" s="682">
        <v>418.0126073936957</v>
      </c>
      <c r="H101" s="682">
        <v>300.12318588209303</v>
      </c>
      <c r="I101" s="682">
        <v>300.12318588209303</v>
      </c>
      <c r="J101" s="682">
        <v>300.12318588209303</v>
      </c>
      <c r="K101" s="682">
        <v>300.09296204364006</v>
      </c>
      <c r="L101" s="682">
        <v>300.09296204364006</v>
      </c>
      <c r="M101" s="682">
        <v>71320.823801754697</v>
      </c>
      <c r="N101" s="682">
        <v>96156.777732792965</v>
      </c>
      <c r="O101" s="682">
        <v>135609.67062113073</v>
      </c>
      <c r="P101" s="682">
        <v>166500.61475551961</v>
      </c>
      <c r="Q101" s="682">
        <v>192573.59298682582</v>
      </c>
      <c r="R101" s="682">
        <v>228444.0509774558</v>
      </c>
      <c r="S101" s="682">
        <v>228444.0509774558</v>
      </c>
      <c r="T101" s="682">
        <v>228444.0509774558</v>
      </c>
      <c r="U101" s="682">
        <v>228432.54798426203</v>
      </c>
      <c r="V101" s="682">
        <v>228432.54798426203</v>
      </c>
      <c r="W101" s="683">
        <v>0.56997657957835157</v>
      </c>
      <c r="X101" s="683">
        <v>0.67578361725092106</v>
      </c>
      <c r="Y101" s="683">
        <v>0.75222670885163478</v>
      </c>
      <c r="Z101" s="683">
        <v>0.75765796907997862</v>
      </c>
      <c r="AA101" s="683">
        <v>0.71660156297067734</v>
      </c>
      <c r="AB101" s="683">
        <v>0.62676001872838571</v>
      </c>
      <c r="AC101" s="683">
        <v>0.62676001872838571</v>
      </c>
      <c r="AD101" s="683">
        <v>0.62676001872838571</v>
      </c>
      <c r="AE101" s="683">
        <v>0.62667794533154886</v>
      </c>
      <c r="AF101" s="683">
        <v>0.62667794533154886</v>
      </c>
      <c r="AG101" s="790">
        <v>2584</v>
      </c>
      <c r="AH101" s="781">
        <v>745</v>
      </c>
      <c r="AI101" s="781">
        <v>1959.0621577279587</v>
      </c>
      <c r="AJ101" s="781">
        <v>75.023240510910014</v>
      </c>
      <c r="AK101" s="781">
        <v>396174.11256761459</v>
      </c>
      <c r="AL101" s="781">
        <v>35660.411900877349</v>
      </c>
      <c r="AM101" s="819">
        <v>0.75765796907997862</v>
      </c>
    </row>
    <row r="102" spans="1:39" s="768" customFormat="1" ht="13.5">
      <c r="A102" s="663" t="s">
        <v>1186</v>
      </c>
      <c r="B102" s="682">
        <v>2000</v>
      </c>
      <c r="C102" s="682">
        <v>261.87737758469831</v>
      </c>
      <c r="D102" s="682">
        <v>300.61809507825495</v>
      </c>
      <c r="E102" s="682">
        <v>343.83798743284666</v>
      </c>
      <c r="F102" s="682">
        <v>390.38529492471639</v>
      </c>
      <c r="G102" s="682">
        <v>430.63751030317712</v>
      </c>
      <c r="H102" s="682">
        <v>454.77854814622282</v>
      </c>
      <c r="I102" s="682">
        <v>454.77854814622282</v>
      </c>
      <c r="J102" s="682">
        <v>454.77854814622282</v>
      </c>
      <c r="K102" s="682">
        <v>454.77854814622282</v>
      </c>
      <c r="L102" s="682">
        <v>454.77854814622282</v>
      </c>
      <c r="M102" s="682">
        <v>2487.1891336260128</v>
      </c>
      <c r="N102" s="682">
        <v>2340.7175758068474</v>
      </c>
      <c r="O102" s="682">
        <v>2118.2036780686772</v>
      </c>
      <c r="P102" s="682">
        <v>1846.6616880989816</v>
      </c>
      <c r="Q102" s="682">
        <v>1508.5234740537251</v>
      </c>
      <c r="R102" s="682">
        <v>1107.3071249087795</v>
      </c>
      <c r="S102" s="682">
        <v>1107.3071249087795</v>
      </c>
      <c r="T102" s="682">
        <v>1107.3071249087795</v>
      </c>
      <c r="U102" s="682">
        <v>1107.3071249087795</v>
      </c>
      <c r="V102" s="682">
        <v>1107.3071249087795</v>
      </c>
      <c r="W102" s="683">
        <v>0.44946596718324222</v>
      </c>
      <c r="X102" s="683">
        <v>0.5111290298883141</v>
      </c>
      <c r="Y102" s="683">
        <v>0.55775579040544776</v>
      </c>
      <c r="Z102" s="683">
        <v>0.60589840654539406</v>
      </c>
      <c r="AA102" s="683">
        <v>0.64525832532418792</v>
      </c>
      <c r="AB102" s="683">
        <v>0.61291789082817083</v>
      </c>
      <c r="AC102" s="683">
        <v>0.61291789082817072</v>
      </c>
      <c r="AD102" s="683">
        <v>0.61291789082817072</v>
      </c>
      <c r="AE102" s="683">
        <v>0.61291789082817072</v>
      </c>
      <c r="AF102" s="683">
        <v>0.61291789082817072</v>
      </c>
      <c r="AG102" s="791">
        <v>4000</v>
      </c>
      <c r="AH102" s="781">
        <v>1000</v>
      </c>
      <c r="AI102" s="781">
        <v>1819.1141925848913</v>
      </c>
      <c r="AJ102" s="781">
        <v>65.469344396174577</v>
      </c>
      <c r="AK102" s="781">
        <v>4974.3782672520256</v>
      </c>
      <c r="AL102" s="781">
        <v>553.65356245438977</v>
      </c>
      <c r="AM102" s="819">
        <v>0.64525832532418792</v>
      </c>
    </row>
    <row r="103" spans="1:39" s="768" customFormat="1" ht="13.5">
      <c r="A103" s="663" t="s">
        <v>1193</v>
      </c>
      <c r="B103" s="682">
        <v>2960</v>
      </c>
      <c r="C103" s="682">
        <v>1624.6141140751859</v>
      </c>
      <c r="D103" s="682">
        <v>1591.0611243774306</v>
      </c>
      <c r="E103" s="682">
        <v>1544.7020590843965</v>
      </c>
      <c r="F103" s="682">
        <v>1440.6138479907211</v>
      </c>
      <c r="G103" s="682">
        <v>1322.637206795388</v>
      </c>
      <c r="H103" s="682">
        <v>1205.5928907689158</v>
      </c>
      <c r="I103" s="682">
        <v>1205.5928907689158</v>
      </c>
      <c r="J103" s="682">
        <v>1205.5928907689158</v>
      </c>
      <c r="K103" s="682">
        <v>1205.5928907689158</v>
      </c>
      <c r="L103" s="682">
        <v>1205.5928907689158</v>
      </c>
      <c r="M103" s="682">
        <v>2488.0328137125725</v>
      </c>
      <c r="N103" s="682">
        <v>2954.6474705787505</v>
      </c>
      <c r="O103" s="682">
        <v>3396.4982194241702</v>
      </c>
      <c r="P103" s="682">
        <v>4217.230031393191</v>
      </c>
      <c r="Q103" s="682">
        <v>4938.8295898373517</v>
      </c>
      <c r="R103" s="682">
        <v>5572.5590599342131</v>
      </c>
      <c r="S103" s="682">
        <v>5572.5590599342131</v>
      </c>
      <c r="T103" s="682">
        <v>5572.5590599342131</v>
      </c>
      <c r="U103" s="682">
        <v>5572.5590599342131</v>
      </c>
      <c r="V103" s="682">
        <v>5572.5590599342131</v>
      </c>
      <c r="W103" s="683">
        <v>0.4974228966346903</v>
      </c>
      <c r="X103" s="683">
        <v>0.54522701895541525</v>
      </c>
      <c r="Y103" s="683">
        <v>0.57010041579219306</v>
      </c>
      <c r="Z103" s="683">
        <v>0.59664128143709494</v>
      </c>
      <c r="AA103" s="683">
        <v>0.59232308393633148</v>
      </c>
      <c r="AB103" s="683">
        <v>0.56201056003080641</v>
      </c>
      <c r="AC103" s="683">
        <v>0.56201056003080641</v>
      </c>
      <c r="AD103" s="683">
        <v>0.56201056003080641</v>
      </c>
      <c r="AE103" s="683">
        <v>0.56201056003080641</v>
      </c>
      <c r="AF103" s="683">
        <v>0.56201056003080641</v>
      </c>
      <c r="AG103" s="791">
        <v>4000</v>
      </c>
      <c r="AH103" s="781">
        <v>1000</v>
      </c>
      <c r="AI103" s="781">
        <v>2966.7898357837576</v>
      </c>
      <c r="AJ103" s="781">
        <v>137.59962686825645</v>
      </c>
      <c r="AK103" s="781">
        <v>7530.4852161273147</v>
      </c>
      <c r="AL103" s="781">
        <v>840.55162625424748</v>
      </c>
      <c r="AM103" s="819">
        <v>0.59664128143709494</v>
      </c>
    </row>
    <row r="104" spans="1:39" s="768" customFormat="1" ht="13.5">
      <c r="A104" s="663" t="s">
        <v>1194</v>
      </c>
      <c r="B104" s="682">
        <v>3600</v>
      </c>
      <c r="C104" s="682">
        <v>1985.1038466319178</v>
      </c>
      <c r="D104" s="682">
        <v>1974.5830981446143</v>
      </c>
      <c r="E104" s="682">
        <v>1918.6878163626166</v>
      </c>
      <c r="F104" s="682">
        <v>1830.3890642287686</v>
      </c>
      <c r="G104" s="682">
        <v>1712.1120530419789</v>
      </c>
      <c r="H104" s="682">
        <v>1497.4126247657427</v>
      </c>
      <c r="I104" s="682">
        <v>1280.9154029035137</v>
      </c>
      <c r="J104" s="682">
        <v>918.20620251654907</v>
      </c>
      <c r="K104" s="682">
        <v>453.72570645297515</v>
      </c>
      <c r="L104" s="682">
        <v>453.72570645297515</v>
      </c>
      <c r="M104" s="682">
        <v>19568.857245471459</v>
      </c>
      <c r="N104" s="682">
        <v>27261.746805238065</v>
      </c>
      <c r="O104" s="682">
        <v>35118.285034282024</v>
      </c>
      <c r="P104" s="682">
        <v>42652.161388588793</v>
      </c>
      <c r="Q104" s="682">
        <v>50193.634139150206</v>
      </c>
      <c r="R104" s="682">
        <v>60699.702631136621</v>
      </c>
      <c r="S104" s="682">
        <v>67618.076909641502</v>
      </c>
      <c r="T104" s="682">
        <v>76684.9319047381</v>
      </c>
      <c r="U104" s="682">
        <v>83903.183764276953</v>
      </c>
      <c r="V104" s="682">
        <v>83903.183764276953</v>
      </c>
      <c r="W104" s="683">
        <v>0.7032230594519624</v>
      </c>
      <c r="X104" s="683">
        <v>0.79417554103601207</v>
      </c>
      <c r="Y104" s="683">
        <v>0.87673743435407991</v>
      </c>
      <c r="Z104" s="683">
        <v>0.92347194048829639</v>
      </c>
      <c r="AA104" s="683">
        <v>0.90561200310405987</v>
      </c>
      <c r="AB104" s="683">
        <v>0.88524707482465714</v>
      </c>
      <c r="AC104" s="683">
        <v>0.84847215316033631</v>
      </c>
      <c r="AD104" s="683">
        <v>0.67438963925728446</v>
      </c>
      <c r="AE104" s="683">
        <v>0.37958844632584982</v>
      </c>
      <c r="AF104" s="683">
        <v>0.37958844632584982</v>
      </c>
      <c r="AG104" s="791">
        <v>4000</v>
      </c>
      <c r="AH104" s="781">
        <v>1000</v>
      </c>
      <c r="AI104" s="781">
        <v>2450.7454896690347</v>
      </c>
      <c r="AJ104" s="781">
        <v>35.009699571988826</v>
      </c>
      <c r="AK104" s="781">
        <v>93225.759738085515</v>
      </c>
      <c r="AL104" s="781">
        <v>5435.7936792976279</v>
      </c>
      <c r="AM104" s="819">
        <v>0.92347194048829639</v>
      </c>
    </row>
    <row r="105" spans="1:39" s="768" customFormat="1" ht="13.5">
      <c r="A105" s="663" t="s">
        <v>1197</v>
      </c>
      <c r="B105" s="682">
        <v>2950</v>
      </c>
      <c r="C105" s="682">
        <v>566.89528494591366</v>
      </c>
      <c r="D105" s="682">
        <v>574.8871028593627</v>
      </c>
      <c r="E105" s="682">
        <v>570.97534204713895</v>
      </c>
      <c r="F105" s="682">
        <v>545.23580249871429</v>
      </c>
      <c r="G105" s="682">
        <v>511.0438968663384</v>
      </c>
      <c r="H105" s="682">
        <v>445.21196872027565</v>
      </c>
      <c r="I105" s="682">
        <v>375.37479715631093</v>
      </c>
      <c r="J105" s="682">
        <v>292.44315592410271</v>
      </c>
      <c r="K105" s="682">
        <v>292.44315592410271</v>
      </c>
      <c r="L105" s="682">
        <v>292.44315592410271</v>
      </c>
      <c r="M105" s="682">
        <v>1691.2686125135369</v>
      </c>
      <c r="N105" s="682">
        <v>3974.0125546661175</v>
      </c>
      <c r="O105" s="682">
        <v>5657.8129921094205</v>
      </c>
      <c r="P105" s="682">
        <v>8293.223198181824</v>
      </c>
      <c r="Q105" s="682">
        <v>10705.30415083013</v>
      </c>
      <c r="R105" s="682">
        <v>13739.028400565046</v>
      </c>
      <c r="S105" s="682">
        <v>16056.116533209148</v>
      </c>
      <c r="T105" s="682">
        <v>18221.039797849378</v>
      </c>
      <c r="U105" s="682">
        <v>18221.039797849378</v>
      </c>
      <c r="V105" s="682">
        <v>18221.039797849378</v>
      </c>
      <c r="W105" s="683">
        <v>0.3326151163104108</v>
      </c>
      <c r="X105" s="683">
        <v>0.57538843535594186</v>
      </c>
      <c r="Y105" s="683">
        <v>0.69457766909352314</v>
      </c>
      <c r="Z105" s="683">
        <v>0.82806823681669872</v>
      </c>
      <c r="AA105" s="683">
        <v>0.87840032902659626</v>
      </c>
      <c r="AB105" s="683">
        <v>0.841362912126419</v>
      </c>
      <c r="AC105" s="683">
        <v>0.73376685560027644</v>
      </c>
      <c r="AD105" s="683">
        <v>0.57665301207830222</v>
      </c>
      <c r="AE105" s="683">
        <v>0.57665301207830222</v>
      </c>
      <c r="AF105" s="683">
        <v>0.57665301207830222</v>
      </c>
      <c r="AG105" s="791">
        <v>4000</v>
      </c>
      <c r="AH105" s="781">
        <v>1000</v>
      </c>
      <c r="AI105" s="781">
        <v>1056.9599133294803</v>
      </c>
      <c r="AJ105" s="781">
        <v>33.604499388003759</v>
      </c>
      <c r="AK105" s="781">
        <v>24706.494641151698</v>
      </c>
      <c r="AL105" s="781">
        <v>573.31139407238538</v>
      </c>
      <c r="AM105" s="819">
        <v>0.87840032902659626</v>
      </c>
    </row>
    <row r="106" spans="1:39" s="768" customFormat="1" ht="13.5">
      <c r="A106" s="663" t="s">
        <v>860</v>
      </c>
      <c r="B106" s="682">
        <v>3000</v>
      </c>
      <c r="C106" s="682">
        <v>183</v>
      </c>
      <c r="D106" s="682">
        <v>173</v>
      </c>
      <c r="E106" s="682">
        <v>163</v>
      </c>
      <c r="F106" s="682">
        <v>142</v>
      </c>
      <c r="G106" s="682">
        <v>118</v>
      </c>
      <c r="H106" s="682">
        <v>90</v>
      </c>
      <c r="I106" s="682">
        <v>90</v>
      </c>
      <c r="J106" s="682">
        <v>90</v>
      </c>
      <c r="K106" s="682">
        <v>90</v>
      </c>
      <c r="L106" s="682">
        <v>90</v>
      </c>
      <c r="M106" s="682">
        <v>150</v>
      </c>
      <c r="N106" s="682">
        <v>200</v>
      </c>
      <c r="O106" s="682">
        <v>250</v>
      </c>
      <c r="P106" s="682">
        <v>300</v>
      </c>
      <c r="Q106" s="682">
        <v>350</v>
      </c>
      <c r="R106" s="682">
        <v>400</v>
      </c>
      <c r="S106" s="682">
        <v>400</v>
      </c>
      <c r="T106" s="682">
        <v>400</v>
      </c>
      <c r="U106" s="682">
        <v>400</v>
      </c>
      <c r="V106" s="682">
        <v>400</v>
      </c>
      <c r="W106" s="683">
        <v>0.19368825000000001</v>
      </c>
      <c r="X106" s="683">
        <v>0.28639594298245602</v>
      </c>
      <c r="Y106" s="683">
        <v>0.32976458762886601</v>
      </c>
      <c r="Z106" s="683">
        <v>0.33642135922330102</v>
      </c>
      <c r="AA106" s="683">
        <v>0.323081074766355</v>
      </c>
      <c r="AB106" s="683">
        <v>0.29407626818181798</v>
      </c>
      <c r="AC106" s="683">
        <v>0.29407626818181798</v>
      </c>
      <c r="AD106" s="683">
        <v>0.29407626818181798</v>
      </c>
      <c r="AE106" s="683">
        <v>0.29407626818181798</v>
      </c>
      <c r="AF106" s="683">
        <v>0.29407626818181798</v>
      </c>
      <c r="AG106" s="790">
        <v>3600</v>
      </c>
      <c r="AH106" s="781">
        <v>700</v>
      </c>
      <c r="AI106" s="781">
        <v>263.52</v>
      </c>
      <c r="AJ106" s="781">
        <v>4.9000000000000004</v>
      </c>
      <c r="AK106" s="781">
        <v>480</v>
      </c>
      <c r="AL106" s="781">
        <v>35</v>
      </c>
      <c r="AM106" s="819">
        <v>0.33642135922330102</v>
      </c>
    </row>
    <row r="107" spans="1:39" s="768" customFormat="1" ht="13.5">
      <c r="A107" s="663" t="s">
        <v>861</v>
      </c>
      <c r="B107" s="682">
        <v>3000</v>
      </c>
      <c r="C107" s="682">
        <v>297</v>
      </c>
      <c r="D107" s="682">
        <v>288</v>
      </c>
      <c r="E107" s="682">
        <v>260</v>
      </c>
      <c r="F107" s="682">
        <v>215</v>
      </c>
      <c r="G107" s="682">
        <v>152</v>
      </c>
      <c r="H107" s="682">
        <v>75</v>
      </c>
      <c r="I107" s="682">
        <v>75</v>
      </c>
      <c r="J107" s="682">
        <v>75</v>
      </c>
      <c r="K107" s="682">
        <v>75</v>
      </c>
      <c r="L107" s="682">
        <v>75</v>
      </c>
      <c r="M107" s="682">
        <v>200</v>
      </c>
      <c r="N107" s="682">
        <v>300</v>
      </c>
      <c r="O107" s="682">
        <v>400</v>
      </c>
      <c r="P107" s="682">
        <v>500</v>
      </c>
      <c r="Q107" s="682">
        <v>600</v>
      </c>
      <c r="R107" s="682">
        <v>700</v>
      </c>
      <c r="S107" s="682">
        <v>700</v>
      </c>
      <c r="T107" s="682">
        <v>700</v>
      </c>
      <c r="U107" s="682">
        <v>700</v>
      </c>
      <c r="V107" s="682">
        <v>700</v>
      </c>
      <c r="W107" s="683">
        <v>0.19368825000000001</v>
      </c>
      <c r="X107" s="683">
        <v>0.28639594298245602</v>
      </c>
      <c r="Y107" s="683">
        <v>0.32976458762886601</v>
      </c>
      <c r="Z107" s="683">
        <v>0.33642135922330102</v>
      </c>
      <c r="AA107" s="683">
        <v>0.323081074766355</v>
      </c>
      <c r="AB107" s="683">
        <v>0.29407626818181798</v>
      </c>
      <c r="AC107" s="683">
        <v>0.29407626818181798</v>
      </c>
      <c r="AD107" s="683">
        <v>0.29407626818181798</v>
      </c>
      <c r="AE107" s="683">
        <v>0.29407626818181798</v>
      </c>
      <c r="AF107" s="683">
        <v>0.29407626818181798</v>
      </c>
      <c r="AG107" s="790">
        <v>3600</v>
      </c>
      <c r="AH107" s="781">
        <v>700</v>
      </c>
      <c r="AI107" s="781">
        <v>427.68</v>
      </c>
      <c r="AJ107" s="781">
        <v>4.0833333333333339</v>
      </c>
      <c r="AK107" s="781">
        <v>840</v>
      </c>
      <c r="AL107" s="781">
        <v>46.666666666666664</v>
      </c>
      <c r="AM107" s="819">
        <v>0.33642135922330102</v>
      </c>
    </row>
    <row r="108" spans="1:39" s="768" customFormat="1" ht="13.5">
      <c r="A108" s="663" t="s">
        <v>862</v>
      </c>
      <c r="B108" s="682">
        <v>3000</v>
      </c>
      <c r="C108" s="682">
        <v>237</v>
      </c>
      <c r="D108" s="682">
        <v>235</v>
      </c>
      <c r="E108" s="682">
        <v>228</v>
      </c>
      <c r="F108" s="682">
        <v>212</v>
      </c>
      <c r="G108" s="682">
        <v>188</v>
      </c>
      <c r="H108" s="682">
        <v>162</v>
      </c>
      <c r="I108" s="682">
        <v>162</v>
      </c>
      <c r="J108" s="682">
        <v>162</v>
      </c>
      <c r="K108" s="682">
        <v>162</v>
      </c>
      <c r="L108" s="682">
        <v>162</v>
      </c>
      <c r="M108" s="682">
        <v>300</v>
      </c>
      <c r="N108" s="682">
        <v>425</v>
      </c>
      <c r="O108" s="682">
        <v>515</v>
      </c>
      <c r="P108" s="682">
        <v>600</v>
      </c>
      <c r="Q108" s="682">
        <v>675</v>
      </c>
      <c r="R108" s="682">
        <v>733</v>
      </c>
      <c r="S108" s="682">
        <v>733</v>
      </c>
      <c r="T108" s="682">
        <v>733</v>
      </c>
      <c r="U108" s="682">
        <v>733</v>
      </c>
      <c r="V108" s="682">
        <v>733</v>
      </c>
      <c r="W108" s="683">
        <v>0.19368825000000001</v>
      </c>
      <c r="X108" s="683">
        <v>0.28639594298245602</v>
      </c>
      <c r="Y108" s="683">
        <v>0.32976458762886601</v>
      </c>
      <c r="Z108" s="683">
        <v>0.33642135922330102</v>
      </c>
      <c r="AA108" s="683">
        <v>0.323081074766355</v>
      </c>
      <c r="AB108" s="683">
        <v>0.29407626818181798</v>
      </c>
      <c r="AC108" s="683">
        <v>0.29407626818181798</v>
      </c>
      <c r="AD108" s="683">
        <v>0.29407626818181798</v>
      </c>
      <c r="AE108" s="683">
        <v>0.29407626818181798</v>
      </c>
      <c r="AF108" s="683">
        <v>0.29407626818181798</v>
      </c>
      <c r="AG108" s="790">
        <v>3600</v>
      </c>
      <c r="AH108" s="781">
        <v>700</v>
      </c>
      <c r="AI108" s="781">
        <v>341.28</v>
      </c>
      <c r="AJ108" s="781">
        <v>8.82</v>
      </c>
      <c r="AK108" s="781">
        <v>879.6</v>
      </c>
      <c r="AL108" s="781">
        <v>70</v>
      </c>
      <c r="AM108" s="819">
        <v>0.33642135922330102</v>
      </c>
    </row>
    <row r="109" spans="1:39" s="768" customFormat="1" ht="13.5">
      <c r="A109" s="663" t="s">
        <v>863</v>
      </c>
      <c r="B109" s="682">
        <v>3000</v>
      </c>
      <c r="C109" s="682">
        <v>217</v>
      </c>
      <c r="D109" s="682">
        <v>212</v>
      </c>
      <c r="E109" s="682">
        <v>203</v>
      </c>
      <c r="F109" s="682">
        <v>191</v>
      </c>
      <c r="G109" s="682">
        <v>175</v>
      </c>
      <c r="H109" s="682">
        <v>155</v>
      </c>
      <c r="I109" s="682">
        <v>155</v>
      </c>
      <c r="J109" s="682">
        <v>155</v>
      </c>
      <c r="K109" s="682">
        <v>155</v>
      </c>
      <c r="L109" s="682">
        <v>155</v>
      </c>
      <c r="M109" s="682">
        <v>540</v>
      </c>
      <c r="N109" s="682">
        <v>655</v>
      </c>
      <c r="O109" s="682">
        <v>760</v>
      </c>
      <c r="P109" s="682">
        <v>865</v>
      </c>
      <c r="Q109" s="682">
        <v>975</v>
      </c>
      <c r="R109" s="682">
        <v>1075</v>
      </c>
      <c r="S109" s="682">
        <v>1075</v>
      </c>
      <c r="T109" s="682">
        <v>1075</v>
      </c>
      <c r="U109" s="682">
        <v>1075</v>
      </c>
      <c r="V109" s="682">
        <v>1075</v>
      </c>
      <c r="W109" s="683">
        <v>0.31921785000000003</v>
      </c>
      <c r="X109" s="683">
        <v>0.37827778333333301</v>
      </c>
      <c r="Y109" s="683">
        <v>0.412043562091503</v>
      </c>
      <c r="Z109" s="683">
        <v>0.428641138888889</v>
      </c>
      <c r="AA109" s="683">
        <v>0.41500976562500003</v>
      </c>
      <c r="AB109" s="683">
        <v>0.37826189236111102</v>
      </c>
      <c r="AC109" s="683">
        <v>0.37826189236111102</v>
      </c>
      <c r="AD109" s="683">
        <v>0.37826189236111102</v>
      </c>
      <c r="AE109" s="683">
        <v>0.37826189236111102</v>
      </c>
      <c r="AF109" s="683">
        <v>0.37826189236111102</v>
      </c>
      <c r="AG109" s="790">
        <v>3600</v>
      </c>
      <c r="AH109" s="781">
        <v>700</v>
      </c>
      <c r="AI109" s="781">
        <v>312.47999999999996</v>
      </c>
      <c r="AJ109" s="781">
        <v>8.43888888888889</v>
      </c>
      <c r="AK109" s="781">
        <v>1290</v>
      </c>
      <c r="AL109" s="781">
        <v>126</v>
      </c>
      <c r="AM109" s="819">
        <v>0.428641138888889</v>
      </c>
    </row>
    <row r="110" spans="1:39" ht="15" customHeight="1">
      <c r="A110" s="663" t="s">
        <v>864</v>
      </c>
      <c r="B110" s="682">
        <v>3000</v>
      </c>
      <c r="C110" s="682">
        <v>410</v>
      </c>
      <c r="D110" s="682">
        <v>400</v>
      </c>
      <c r="E110" s="682">
        <v>375</v>
      </c>
      <c r="F110" s="682">
        <v>335</v>
      </c>
      <c r="G110" s="682">
        <v>280</v>
      </c>
      <c r="H110" s="682">
        <v>190</v>
      </c>
      <c r="I110" s="682">
        <v>190</v>
      </c>
      <c r="J110" s="682">
        <v>190</v>
      </c>
      <c r="K110" s="682">
        <v>190</v>
      </c>
      <c r="L110" s="682">
        <v>190</v>
      </c>
      <c r="M110" s="682">
        <v>200</v>
      </c>
      <c r="N110" s="682">
        <v>300</v>
      </c>
      <c r="O110" s="682">
        <v>400</v>
      </c>
      <c r="P110" s="682">
        <v>500</v>
      </c>
      <c r="Q110" s="682">
        <v>600</v>
      </c>
      <c r="R110" s="682">
        <v>700</v>
      </c>
      <c r="S110" s="682">
        <v>700</v>
      </c>
      <c r="T110" s="682">
        <v>700</v>
      </c>
      <c r="U110" s="682">
        <v>700</v>
      </c>
      <c r="V110" s="682">
        <v>700</v>
      </c>
      <c r="W110" s="683">
        <v>0.31921785000000003</v>
      </c>
      <c r="X110" s="683">
        <v>0.37827778333333301</v>
      </c>
      <c r="Y110" s="683">
        <v>0.412043562091503</v>
      </c>
      <c r="Z110" s="683">
        <v>0.428641138888889</v>
      </c>
      <c r="AA110" s="683">
        <v>0.41500976562500003</v>
      </c>
      <c r="AB110" s="683">
        <v>0.37826189236111102</v>
      </c>
      <c r="AC110" s="683">
        <v>0.37826189236111102</v>
      </c>
      <c r="AD110" s="683">
        <v>0.37826189236111102</v>
      </c>
      <c r="AE110" s="683">
        <v>0.37826189236111102</v>
      </c>
      <c r="AF110" s="683">
        <v>0.37826189236111102</v>
      </c>
      <c r="AG110" s="790">
        <v>3600</v>
      </c>
      <c r="AH110" s="781">
        <v>700</v>
      </c>
      <c r="AI110" s="781">
        <v>590.4</v>
      </c>
      <c r="AJ110" s="781">
        <v>10.344444444444445</v>
      </c>
      <c r="AK110" s="781">
        <v>840</v>
      </c>
      <c r="AL110" s="781">
        <v>46.666666666666664</v>
      </c>
      <c r="AM110" s="819">
        <v>0.428641138888889</v>
      </c>
    </row>
    <row r="111" spans="1:39" ht="15" customHeight="1">
      <c r="A111" s="663" t="s">
        <v>865</v>
      </c>
      <c r="B111" s="682">
        <v>3000</v>
      </c>
      <c r="C111" s="682">
        <v>349</v>
      </c>
      <c r="D111" s="682">
        <v>340</v>
      </c>
      <c r="E111" s="682">
        <v>326</v>
      </c>
      <c r="F111" s="682">
        <v>308</v>
      </c>
      <c r="G111" s="682">
        <v>285</v>
      </c>
      <c r="H111" s="682">
        <v>260</v>
      </c>
      <c r="I111" s="682">
        <v>260</v>
      </c>
      <c r="J111" s="682">
        <v>260</v>
      </c>
      <c r="K111" s="682">
        <v>260</v>
      </c>
      <c r="L111" s="682">
        <v>260</v>
      </c>
      <c r="M111" s="682">
        <v>710</v>
      </c>
      <c r="N111" s="682">
        <v>935</v>
      </c>
      <c r="O111" s="682">
        <v>1160</v>
      </c>
      <c r="P111" s="682">
        <v>1390</v>
      </c>
      <c r="Q111" s="682">
        <v>1620</v>
      </c>
      <c r="R111" s="682">
        <v>1820</v>
      </c>
      <c r="S111" s="682">
        <v>1820</v>
      </c>
      <c r="T111" s="682">
        <v>1820</v>
      </c>
      <c r="U111" s="682">
        <v>1820</v>
      </c>
      <c r="V111" s="682">
        <v>1820</v>
      </c>
      <c r="W111" s="683">
        <v>0.33751062916666702</v>
      </c>
      <c r="X111" s="683">
        <v>0.42244516260162601</v>
      </c>
      <c r="Y111" s="683">
        <v>0.49055755555555602</v>
      </c>
      <c r="Z111" s="683">
        <v>0.518342325925926</v>
      </c>
      <c r="AA111" s="683">
        <v>0.513366428571428</v>
      </c>
      <c r="AB111" s="683">
        <v>0.47743543209876499</v>
      </c>
      <c r="AC111" s="683">
        <v>0.47743543209876499</v>
      </c>
      <c r="AD111" s="683">
        <v>0.47743543209876499</v>
      </c>
      <c r="AE111" s="683">
        <v>0.47743543209876499</v>
      </c>
      <c r="AF111" s="683">
        <v>0.47743543209876499</v>
      </c>
      <c r="AG111" s="790">
        <v>3600</v>
      </c>
      <c r="AH111" s="781">
        <v>700</v>
      </c>
      <c r="AI111" s="781">
        <v>502.56</v>
      </c>
      <c r="AJ111" s="781">
        <v>14.155555555555557</v>
      </c>
      <c r="AK111" s="781">
        <v>2184</v>
      </c>
      <c r="AL111" s="781">
        <v>165.66666666666666</v>
      </c>
      <c r="AM111" s="819">
        <v>0.518342325925926</v>
      </c>
    </row>
    <row r="112" spans="1:39" ht="15" customHeight="1">
      <c r="A112" s="663" t="s">
        <v>866</v>
      </c>
      <c r="B112" s="682">
        <v>3000</v>
      </c>
      <c r="C112" s="682">
        <v>294</v>
      </c>
      <c r="D112" s="682">
        <v>283</v>
      </c>
      <c r="E112" s="682">
        <v>255</v>
      </c>
      <c r="F112" s="682">
        <v>220</v>
      </c>
      <c r="G112" s="682">
        <v>175</v>
      </c>
      <c r="H112" s="682">
        <v>125</v>
      </c>
      <c r="I112" s="682">
        <v>125</v>
      </c>
      <c r="J112" s="682">
        <v>125</v>
      </c>
      <c r="K112" s="682">
        <v>125</v>
      </c>
      <c r="L112" s="682">
        <v>125</v>
      </c>
      <c r="M112" s="682">
        <v>1050</v>
      </c>
      <c r="N112" s="682">
        <v>1958</v>
      </c>
      <c r="O112" s="682">
        <v>2688</v>
      </c>
      <c r="P112" s="682">
        <v>3250</v>
      </c>
      <c r="Q112" s="682">
        <v>3800</v>
      </c>
      <c r="R112" s="682">
        <v>4300</v>
      </c>
      <c r="S112" s="682">
        <v>4300</v>
      </c>
      <c r="T112" s="682">
        <v>4300</v>
      </c>
      <c r="U112" s="682">
        <v>4300</v>
      </c>
      <c r="V112" s="682">
        <v>4300</v>
      </c>
      <c r="W112" s="683">
        <v>0.494676617647059</v>
      </c>
      <c r="X112" s="683">
        <v>0.59196034836601297</v>
      </c>
      <c r="Y112" s="683">
        <v>0.60233961290322602</v>
      </c>
      <c r="Z112" s="683">
        <v>0.55650833333333305</v>
      </c>
      <c r="AA112" s="683">
        <v>0.47672916666666698</v>
      </c>
      <c r="AB112" s="683">
        <v>0.35713160569105701</v>
      </c>
      <c r="AC112" s="683">
        <v>0.35713160569105701</v>
      </c>
      <c r="AD112" s="683">
        <v>0.35713160569105701</v>
      </c>
      <c r="AE112" s="683">
        <v>0.35713160569105701</v>
      </c>
      <c r="AF112" s="683">
        <v>0.35713160569105701</v>
      </c>
      <c r="AG112" s="790">
        <v>3600</v>
      </c>
      <c r="AH112" s="781">
        <v>700</v>
      </c>
      <c r="AI112" s="781">
        <v>423.35999999999996</v>
      </c>
      <c r="AJ112" s="781">
        <v>6.8055555555555562</v>
      </c>
      <c r="AK112" s="781">
        <v>5160</v>
      </c>
      <c r="AL112" s="781">
        <v>245</v>
      </c>
      <c r="AM112" s="819">
        <v>0.60233961290322602</v>
      </c>
    </row>
    <row r="113" spans="1:39" ht="15" customHeight="1">
      <c r="A113" s="663" t="s">
        <v>867</v>
      </c>
      <c r="B113" s="682">
        <v>3000</v>
      </c>
      <c r="C113" s="682">
        <v>325</v>
      </c>
      <c r="D113" s="682">
        <v>314</v>
      </c>
      <c r="E113" s="682">
        <v>297</v>
      </c>
      <c r="F113" s="682">
        <v>272</v>
      </c>
      <c r="G113" s="682">
        <v>240</v>
      </c>
      <c r="H113" s="682">
        <v>205</v>
      </c>
      <c r="I113" s="682">
        <v>205</v>
      </c>
      <c r="J113" s="682">
        <v>205</v>
      </c>
      <c r="K113" s="682">
        <v>205</v>
      </c>
      <c r="L113" s="682">
        <v>205</v>
      </c>
      <c r="M113" s="682">
        <v>1758</v>
      </c>
      <c r="N113" s="682">
        <v>2375</v>
      </c>
      <c r="O113" s="682">
        <v>3000</v>
      </c>
      <c r="P113" s="682">
        <v>3541</v>
      </c>
      <c r="Q113" s="682">
        <v>4167</v>
      </c>
      <c r="R113" s="682">
        <v>4750</v>
      </c>
      <c r="S113" s="682">
        <v>4750</v>
      </c>
      <c r="T113" s="682">
        <v>4750</v>
      </c>
      <c r="U113" s="682">
        <v>4750</v>
      </c>
      <c r="V113" s="682">
        <v>4750</v>
      </c>
      <c r="W113" s="683">
        <v>0.471652310606061</v>
      </c>
      <c r="X113" s="683">
        <v>0.49309400283171501</v>
      </c>
      <c r="Y113" s="683">
        <v>0.50567343750000004</v>
      </c>
      <c r="Z113" s="683">
        <v>0.50947312103559905</v>
      </c>
      <c r="AA113" s="683">
        <v>0.50639118959107798</v>
      </c>
      <c r="AB113" s="683">
        <v>0.49582379283489098</v>
      </c>
      <c r="AC113" s="683">
        <v>0.49582379283489098</v>
      </c>
      <c r="AD113" s="683">
        <v>0.49582379283489098</v>
      </c>
      <c r="AE113" s="683">
        <v>0.49582379283489098</v>
      </c>
      <c r="AF113" s="683">
        <v>0.49582379283489098</v>
      </c>
      <c r="AG113" s="790">
        <v>3600</v>
      </c>
      <c r="AH113" s="781">
        <v>700</v>
      </c>
      <c r="AI113" s="781">
        <v>468</v>
      </c>
      <c r="AJ113" s="781">
        <v>11.161111111111111</v>
      </c>
      <c r="AK113" s="781">
        <v>5700</v>
      </c>
      <c r="AL113" s="781">
        <v>410.2</v>
      </c>
      <c r="AM113" s="819">
        <v>0.50947312103559905</v>
      </c>
    </row>
    <row r="114" spans="1:39" ht="15" customHeight="1">
      <c r="A114" s="663" t="s">
        <v>868</v>
      </c>
      <c r="B114" s="682">
        <v>3000</v>
      </c>
      <c r="C114" s="682">
        <v>495</v>
      </c>
      <c r="D114" s="682">
        <v>500</v>
      </c>
      <c r="E114" s="682">
        <v>462.5</v>
      </c>
      <c r="F114" s="682">
        <v>383.625</v>
      </c>
      <c r="G114" s="682">
        <v>274.51</v>
      </c>
      <c r="H114" s="682">
        <v>158.4</v>
      </c>
      <c r="I114" s="682">
        <v>158.4</v>
      </c>
      <c r="J114" s="682">
        <v>158.4</v>
      </c>
      <c r="K114" s="682">
        <v>158.4</v>
      </c>
      <c r="L114" s="682">
        <v>158.4</v>
      </c>
      <c r="M114" s="682">
        <v>1492.48115565993</v>
      </c>
      <c r="N114" s="682">
        <v>2450</v>
      </c>
      <c r="O114" s="682">
        <v>3467</v>
      </c>
      <c r="P114" s="682">
        <v>4218.7467333320701</v>
      </c>
      <c r="Q114" s="682">
        <v>4688.0563136549499</v>
      </c>
      <c r="R114" s="682">
        <v>4974.9371855331001</v>
      </c>
      <c r="S114" s="682">
        <v>4974.9371855331001</v>
      </c>
      <c r="T114" s="682">
        <v>4974.9371855331001</v>
      </c>
      <c r="U114" s="682">
        <v>4974.9371855331001</v>
      </c>
      <c r="V114" s="682">
        <v>4974.9371855331001</v>
      </c>
      <c r="W114" s="683">
        <v>0.54393374874704803</v>
      </c>
      <c r="X114" s="683">
        <v>0.71002216312056698</v>
      </c>
      <c r="Y114" s="683">
        <v>0.69335987268518495</v>
      </c>
      <c r="Z114" s="683">
        <v>0.55110460866803002</v>
      </c>
      <c r="AA114" s="683">
        <v>0.40066057610325501</v>
      </c>
      <c r="AB114" s="683">
        <v>0.25864158976566498</v>
      </c>
      <c r="AC114" s="683">
        <v>0.25864158976566498</v>
      </c>
      <c r="AD114" s="683">
        <v>0.25864158976566498</v>
      </c>
      <c r="AE114" s="683">
        <v>0.25864158976566498</v>
      </c>
      <c r="AF114" s="683">
        <v>0.25864158976566498</v>
      </c>
      <c r="AG114" s="790">
        <v>3600</v>
      </c>
      <c r="AH114" s="781">
        <v>700</v>
      </c>
      <c r="AI114" s="781">
        <v>720</v>
      </c>
      <c r="AJ114" s="781">
        <v>8.6240000000000006</v>
      </c>
      <c r="AK114" s="781">
        <v>5969.9246226397199</v>
      </c>
      <c r="AL114" s="781">
        <v>348.245602987317</v>
      </c>
      <c r="AM114" s="819">
        <v>0.71002216312056698</v>
      </c>
    </row>
    <row r="115" spans="1:39" ht="15" customHeight="1">
      <c r="A115" s="663" t="s">
        <v>869</v>
      </c>
      <c r="B115" s="682">
        <v>2930</v>
      </c>
      <c r="C115" s="682">
        <v>414.84139706655344</v>
      </c>
      <c r="D115" s="682">
        <v>383.95678886364823</v>
      </c>
      <c r="E115" s="682">
        <v>336.84617435345461</v>
      </c>
      <c r="F115" s="682">
        <v>301.65225957587882</v>
      </c>
      <c r="G115" s="682">
        <v>264.37054871053158</v>
      </c>
      <c r="H115" s="682">
        <v>217.16831838374418</v>
      </c>
      <c r="I115" s="682">
        <v>217.16831838374418</v>
      </c>
      <c r="J115" s="682">
        <v>217.16831838374418</v>
      </c>
      <c r="K115" s="682">
        <v>217.16831838374418</v>
      </c>
      <c r="L115" s="682">
        <v>217.16831838374418</v>
      </c>
      <c r="M115" s="682">
        <v>4068.4438924522819</v>
      </c>
      <c r="N115" s="682">
        <v>4556.6771856396972</v>
      </c>
      <c r="O115" s="682">
        <v>5088.7514892540876</v>
      </c>
      <c r="P115" s="682">
        <v>5488.7271352092939</v>
      </c>
      <c r="Q115" s="682">
        <v>5817.0161096005513</v>
      </c>
      <c r="R115" s="682">
        <v>6150.901242943356</v>
      </c>
      <c r="S115" s="682">
        <v>6150.901242943356</v>
      </c>
      <c r="T115" s="682">
        <v>6150.901242943356</v>
      </c>
      <c r="U115" s="682">
        <v>6150.901242943356</v>
      </c>
      <c r="V115" s="682">
        <v>6150.901242943356</v>
      </c>
      <c r="W115" s="683">
        <v>0.65203912864799085</v>
      </c>
      <c r="X115" s="683">
        <v>0.638961208069597</v>
      </c>
      <c r="Y115" s="683">
        <v>0.59155607347041117</v>
      </c>
      <c r="Z115" s="683">
        <v>0.54959839936432742</v>
      </c>
      <c r="AA115" s="683">
        <v>0.49921890607516539</v>
      </c>
      <c r="AB115" s="683">
        <v>0.437577611874096</v>
      </c>
      <c r="AC115" s="683">
        <v>0.437577611874096</v>
      </c>
      <c r="AD115" s="683">
        <v>0.437577611874096</v>
      </c>
      <c r="AE115" s="683">
        <v>0.437577611874096</v>
      </c>
      <c r="AF115" s="683">
        <v>0.437577611874096</v>
      </c>
      <c r="AG115" s="790">
        <v>3600</v>
      </c>
      <c r="AH115" s="781">
        <v>700</v>
      </c>
      <c r="AI115" s="781">
        <v>626.25592679967531</v>
      </c>
      <c r="AJ115" s="781">
        <v>12.395307575863976</v>
      </c>
      <c r="AK115" s="781">
        <v>7557.4213223877414</v>
      </c>
      <c r="AL115" s="781">
        <v>971.98318249713225</v>
      </c>
      <c r="AM115" s="819">
        <v>0.65203912864799085</v>
      </c>
    </row>
    <row r="116" spans="1:39" ht="15" customHeight="1">
      <c r="A116" s="663" t="s">
        <v>870</v>
      </c>
      <c r="B116" s="682">
        <v>3000</v>
      </c>
      <c r="C116" s="682">
        <v>425</v>
      </c>
      <c r="D116" s="682">
        <v>417</v>
      </c>
      <c r="E116" s="682">
        <v>407</v>
      </c>
      <c r="F116" s="682">
        <v>395</v>
      </c>
      <c r="G116" s="682">
        <v>377</v>
      </c>
      <c r="H116" s="682">
        <v>357</v>
      </c>
      <c r="I116" s="682">
        <v>357</v>
      </c>
      <c r="J116" s="682">
        <v>357</v>
      </c>
      <c r="K116" s="682">
        <v>357</v>
      </c>
      <c r="L116" s="682">
        <v>357</v>
      </c>
      <c r="M116" s="682">
        <v>3400</v>
      </c>
      <c r="N116" s="682">
        <v>4100</v>
      </c>
      <c r="O116" s="682">
        <v>4800</v>
      </c>
      <c r="P116" s="682">
        <v>5450</v>
      </c>
      <c r="Q116" s="682">
        <v>6150</v>
      </c>
      <c r="R116" s="682">
        <v>6800</v>
      </c>
      <c r="S116" s="682">
        <v>6800</v>
      </c>
      <c r="T116" s="682">
        <v>6800</v>
      </c>
      <c r="U116" s="682">
        <v>6800</v>
      </c>
      <c r="V116" s="682">
        <v>6800</v>
      </c>
      <c r="W116" s="683">
        <v>0.53923573059360697</v>
      </c>
      <c r="X116" s="683">
        <v>0.58955794303797504</v>
      </c>
      <c r="Y116" s="683">
        <v>0.61882930232558098</v>
      </c>
      <c r="Z116" s="683">
        <v>0.63058599910394297</v>
      </c>
      <c r="AA116" s="683">
        <v>0.6316116625</v>
      </c>
      <c r="AB116" s="683">
        <v>0.61805485981308395</v>
      </c>
      <c r="AC116" s="683">
        <v>0.61805485981308395</v>
      </c>
      <c r="AD116" s="683">
        <v>0.61805485981308395</v>
      </c>
      <c r="AE116" s="683">
        <v>0.61805485981308395</v>
      </c>
      <c r="AF116" s="683">
        <v>0.61805485981308395</v>
      </c>
      <c r="AG116" s="790">
        <v>3600</v>
      </c>
      <c r="AH116" s="781">
        <v>700</v>
      </c>
      <c r="AI116" s="781">
        <v>612</v>
      </c>
      <c r="AJ116" s="781">
        <v>19.436666666666667</v>
      </c>
      <c r="AK116" s="781">
        <v>8160</v>
      </c>
      <c r="AL116" s="781">
        <v>793.33333333333337</v>
      </c>
      <c r="AM116" s="819">
        <v>0.6316116625</v>
      </c>
    </row>
    <row r="117" spans="1:39" ht="15" customHeight="1">
      <c r="A117" s="663" t="s">
        <v>871</v>
      </c>
      <c r="B117" s="682">
        <v>3000</v>
      </c>
      <c r="C117" s="682">
        <v>750</v>
      </c>
      <c r="D117" s="682">
        <v>720</v>
      </c>
      <c r="E117" s="682">
        <v>656</v>
      </c>
      <c r="F117" s="682">
        <v>575</v>
      </c>
      <c r="G117" s="682">
        <v>462</v>
      </c>
      <c r="H117" s="682">
        <v>335</v>
      </c>
      <c r="I117" s="682">
        <v>335</v>
      </c>
      <c r="J117" s="682">
        <v>335</v>
      </c>
      <c r="K117" s="682">
        <v>335</v>
      </c>
      <c r="L117" s="682">
        <v>335</v>
      </c>
      <c r="M117" s="682">
        <v>1485</v>
      </c>
      <c r="N117" s="682">
        <v>2450</v>
      </c>
      <c r="O117" s="682">
        <v>3400</v>
      </c>
      <c r="P117" s="682">
        <v>4100</v>
      </c>
      <c r="Q117" s="682">
        <v>4800</v>
      </c>
      <c r="R117" s="682">
        <v>5450</v>
      </c>
      <c r="S117" s="682">
        <v>5450</v>
      </c>
      <c r="T117" s="682">
        <v>5450</v>
      </c>
      <c r="U117" s="682">
        <v>5450</v>
      </c>
      <c r="V117" s="682">
        <v>5450</v>
      </c>
      <c r="W117" s="683">
        <v>0.48159374999999999</v>
      </c>
      <c r="X117" s="683">
        <v>0.58247636363636401</v>
      </c>
      <c r="Y117" s="683">
        <v>0.61373548821548796</v>
      </c>
      <c r="Z117" s="683">
        <v>0.56833831120944001</v>
      </c>
      <c r="AA117" s="683">
        <v>0.47567811023621998</v>
      </c>
      <c r="AB117" s="683">
        <v>0.35025685152582198</v>
      </c>
      <c r="AC117" s="683">
        <v>0.35025685152582198</v>
      </c>
      <c r="AD117" s="683">
        <v>0.35025685152582198</v>
      </c>
      <c r="AE117" s="683">
        <v>0.35025685152582198</v>
      </c>
      <c r="AF117" s="683">
        <v>0.35025685152582198</v>
      </c>
      <c r="AG117" s="790">
        <v>3600</v>
      </c>
      <c r="AH117" s="781">
        <v>700</v>
      </c>
      <c r="AI117" s="781">
        <v>1080</v>
      </c>
      <c r="AJ117" s="781">
        <v>18.238888888888891</v>
      </c>
      <c r="AK117" s="781">
        <v>6540</v>
      </c>
      <c r="AL117" s="781">
        <v>346.5</v>
      </c>
      <c r="AM117" s="819">
        <v>0.61373548821548796</v>
      </c>
    </row>
    <row r="118" spans="1:39" ht="15" customHeight="1">
      <c r="A118" s="663" t="s">
        <v>872</v>
      </c>
      <c r="B118" s="682">
        <v>3000</v>
      </c>
      <c r="C118" s="682">
        <v>740</v>
      </c>
      <c r="D118" s="682">
        <v>735</v>
      </c>
      <c r="E118" s="682">
        <v>666</v>
      </c>
      <c r="F118" s="682">
        <v>520</v>
      </c>
      <c r="G118" s="682">
        <v>360</v>
      </c>
      <c r="H118" s="682">
        <v>200</v>
      </c>
      <c r="I118" s="682">
        <v>200</v>
      </c>
      <c r="J118" s="682">
        <v>200</v>
      </c>
      <c r="K118" s="682">
        <v>200</v>
      </c>
      <c r="L118" s="682">
        <v>200</v>
      </c>
      <c r="M118" s="682">
        <v>3450</v>
      </c>
      <c r="N118" s="682">
        <v>4833</v>
      </c>
      <c r="O118" s="682">
        <v>6333</v>
      </c>
      <c r="P118" s="682">
        <v>7900</v>
      </c>
      <c r="Q118" s="682">
        <v>9100</v>
      </c>
      <c r="R118" s="682">
        <v>10200</v>
      </c>
      <c r="S118" s="682">
        <v>10200</v>
      </c>
      <c r="T118" s="682">
        <v>10200</v>
      </c>
      <c r="U118" s="682">
        <v>10200</v>
      </c>
      <c r="V118" s="682">
        <v>10200</v>
      </c>
      <c r="W118" s="683">
        <v>0.56087076612903197</v>
      </c>
      <c r="X118" s="683">
        <v>0.64512897749999998</v>
      </c>
      <c r="Y118" s="683">
        <v>0.63832945750000003</v>
      </c>
      <c r="Z118" s="683">
        <v>0.53931935742971904</v>
      </c>
      <c r="AA118" s="683">
        <v>0.41508697674418599</v>
      </c>
      <c r="AB118" s="683">
        <v>0.22229199999999999</v>
      </c>
      <c r="AC118" s="683">
        <v>0.22229199999999999</v>
      </c>
      <c r="AD118" s="683">
        <v>0.22229199999999999</v>
      </c>
      <c r="AE118" s="683">
        <v>0.22229199999999999</v>
      </c>
      <c r="AF118" s="683">
        <v>0.22229199999999999</v>
      </c>
      <c r="AG118" s="790">
        <v>3600</v>
      </c>
      <c r="AH118" s="781">
        <v>700</v>
      </c>
      <c r="AI118" s="781">
        <v>1065.5999999999999</v>
      </c>
      <c r="AJ118" s="781">
        <v>10.888888888888889</v>
      </c>
      <c r="AK118" s="781">
        <v>12240</v>
      </c>
      <c r="AL118" s="781">
        <v>805</v>
      </c>
      <c r="AM118" s="819">
        <v>0.64512897749999998</v>
      </c>
    </row>
    <row r="119" spans="1:39" ht="15" customHeight="1">
      <c r="A119" s="663" t="s">
        <v>873</v>
      </c>
      <c r="B119" s="682">
        <v>3000</v>
      </c>
      <c r="C119" s="682">
        <v>740</v>
      </c>
      <c r="D119" s="682">
        <v>735</v>
      </c>
      <c r="E119" s="682">
        <v>666</v>
      </c>
      <c r="F119" s="682">
        <v>520</v>
      </c>
      <c r="G119" s="682">
        <v>360</v>
      </c>
      <c r="H119" s="682">
        <v>200</v>
      </c>
      <c r="I119" s="682">
        <v>200</v>
      </c>
      <c r="J119" s="682">
        <v>200</v>
      </c>
      <c r="K119" s="682">
        <v>200</v>
      </c>
      <c r="L119" s="682">
        <v>200</v>
      </c>
      <c r="M119" s="682">
        <v>3450</v>
      </c>
      <c r="N119" s="682">
        <v>4833</v>
      </c>
      <c r="O119" s="682">
        <v>6333</v>
      </c>
      <c r="P119" s="682">
        <v>7900</v>
      </c>
      <c r="Q119" s="682">
        <v>9100</v>
      </c>
      <c r="R119" s="682">
        <v>10200</v>
      </c>
      <c r="S119" s="682">
        <v>10200</v>
      </c>
      <c r="T119" s="682">
        <v>10200</v>
      </c>
      <c r="U119" s="682">
        <v>10200</v>
      </c>
      <c r="V119" s="682">
        <v>10200</v>
      </c>
      <c r="W119" s="683">
        <v>0.56087076612903197</v>
      </c>
      <c r="X119" s="683">
        <v>0.64512897749999998</v>
      </c>
      <c r="Y119" s="683">
        <v>0.63832945750000003</v>
      </c>
      <c r="Z119" s="683">
        <v>0.53931935742971904</v>
      </c>
      <c r="AA119" s="683">
        <v>0.41508697674418599</v>
      </c>
      <c r="AB119" s="683">
        <v>0.22229199999999999</v>
      </c>
      <c r="AC119" s="683">
        <v>0.22229199999999999</v>
      </c>
      <c r="AD119" s="683">
        <v>0.22229199999999999</v>
      </c>
      <c r="AE119" s="683">
        <v>0.22229199999999999</v>
      </c>
      <c r="AF119" s="683">
        <v>0.22229199999999999</v>
      </c>
      <c r="AG119" s="790">
        <v>3600</v>
      </c>
      <c r="AH119" s="781">
        <v>700</v>
      </c>
      <c r="AI119" s="781">
        <v>1065.5999999999999</v>
      </c>
      <c r="AJ119" s="781">
        <v>10.888888888888889</v>
      </c>
      <c r="AK119" s="781">
        <v>12240</v>
      </c>
      <c r="AL119" s="781">
        <v>805</v>
      </c>
      <c r="AM119" s="819">
        <v>0.64512897749999998</v>
      </c>
    </row>
    <row r="120" spans="1:39" ht="15" customHeight="1">
      <c r="A120" s="663" t="s">
        <v>874</v>
      </c>
      <c r="B120" s="682">
        <v>3000</v>
      </c>
      <c r="C120" s="682">
        <v>740</v>
      </c>
      <c r="D120" s="682">
        <v>735</v>
      </c>
      <c r="E120" s="682">
        <v>666</v>
      </c>
      <c r="F120" s="682">
        <v>520</v>
      </c>
      <c r="G120" s="682">
        <v>360</v>
      </c>
      <c r="H120" s="682">
        <v>200</v>
      </c>
      <c r="I120" s="682">
        <v>200</v>
      </c>
      <c r="J120" s="682">
        <v>200</v>
      </c>
      <c r="K120" s="682">
        <v>200</v>
      </c>
      <c r="L120" s="682">
        <v>200</v>
      </c>
      <c r="M120" s="682">
        <v>3450</v>
      </c>
      <c r="N120" s="682">
        <v>4833</v>
      </c>
      <c r="O120" s="682">
        <v>6333</v>
      </c>
      <c r="P120" s="682">
        <v>7900</v>
      </c>
      <c r="Q120" s="682">
        <v>9100</v>
      </c>
      <c r="R120" s="682">
        <v>10200</v>
      </c>
      <c r="S120" s="682">
        <v>10200</v>
      </c>
      <c r="T120" s="682">
        <v>10200</v>
      </c>
      <c r="U120" s="682">
        <v>10200</v>
      </c>
      <c r="V120" s="682">
        <v>10200</v>
      </c>
      <c r="W120" s="683">
        <v>0.56087076612903197</v>
      </c>
      <c r="X120" s="683">
        <v>0.64512897749999998</v>
      </c>
      <c r="Y120" s="683">
        <v>0.63832945750000003</v>
      </c>
      <c r="Z120" s="683">
        <v>0.53931935742971904</v>
      </c>
      <c r="AA120" s="683">
        <v>0.41508697674418599</v>
      </c>
      <c r="AB120" s="683">
        <v>0.22229199999999999</v>
      </c>
      <c r="AC120" s="683">
        <v>0.22229199999999999</v>
      </c>
      <c r="AD120" s="683">
        <v>0.22229199999999999</v>
      </c>
      <c r="AE120" s="683">
        <v>0.22229199999999999</v>
      </c>
      <c r="AF120" s="683">
        <v>0.22229199999999999</v>
      </c>
      <c r="AG120" s="790">
        <v>3600</v>
      </c>
      <c r="AH120" s="781">
        <v>700</v>
      </c>
      <c r="AI120" s="781">
        <v>1065.5999999999999</v>
      </c>
      <c r="AJ120" s="781">
        <v>10.888888888888889</v>
      </c>
      <c r="AK120" s="781">
        <v>12240</v>
      </c>
      <c r="AL120" s="781">
        <v>805</v>
      </c>
      <c r="AM120" s="819">
        <v>0.64512897749999998</v>
      </c>
    </row>
    <row r="121" spans="1:39" ht="15" customHeight="1">
      <c r="A121" s="663" t="s">
        <v>875</v>
      </c>
      <c r="B121" s="682">
        <v>3000</v>
      </c>
      <c r="C121" s="682">
        <v>653.4</v>
      </c>
      <c r="D121" s="682">
        <v>667</v>
      </c>
      <c r="E121" s="682">
        <v>637</v>
      </c>
      <c r="F121" s="682">
        <v>559.35</v>
      </c>
      <c r="G121" s="682">
        <v>436.5</v>
      </c>
      <c r="H121" s="682">
        <v>321.75</v>
      </c>
      <c r="I121" s="682">
        <v>321.75</v>
      </c>
      <c r="J121" s="682">
        <v>321.75</v>
      </c>
      <c r="K121" s="682">
        <v>321.75</v>
      </c>
      <c r="L121" s="682">
        <v>321.75</v>
      </c>
      <c r="M121" s="682">
        <v>3780.9522610051599</v>
      </c>
      <c r="N121" s="682">
        <v>6550</v>
      </c>
      <c r="O121" s="682">
        <v>8666.7000000000007</v>
      </c>
      <c r="P121" s="682">
        <v>10497.1174614748</v>
      </c>
      <c r="Q121" s="682">
        <v>12163.3393852182</v>
      </c>
      <c r="R121" s="682">
        <v>13631.3278883607</v>
      </c>
      <c r="S121" s="682">
        <v>13631.3278883607</v>
      </c>
      <c r="T121" s="682">
        <v>13631.3278883607</v>
      </c>
      <c r="U121" s="682">
        <v>13631.3278883607</v>
      </c>
      <c r="V121" s="682">
        <v>13631.3278883607</v>
      </c>
      <c r="W121" s="683">
        <v>0.503458648700017</v>
      </c>
      <c r="X121" s="683">
        <v>0.65035385473588303</v>
      </c>
      <c r="Y121" s="683">
        <v>0.67440690377802703</v>
      </c>
      <c r="Z121" s="683">
        <v>0.61757201768456504</v>
      </c>
      <c r="AA121" s="683">
        <v>0.50571369436324198</v>
      </c>
      <c r="AB121" s="683">
        <v>0.39693911673515198</v>
      </c>
      <c r="AC121" s="683">
        <v>0.39693911673515198</v>
      </c>
      <c r="AD121" s="683">
        <v>0.39693911673515198</v>
      </c>
      <c r="AE121" s="683">
        <v>0.39693911673515198</v>
      </c>
      <c r="AF121" s="683">
        <v>0.39693911673515198</v>
      </c>
      <c r="AG121" s="790">
        <v>3600</v>
      </c>
      <c r="AH121" s="781">
        <v>700</v>
      </c>
      <c r="AI121" s="781">
        <v>960.48</v>
      </c>
      <c r="AJ121" s="781">
        <v>17.517500000000002</v>
      </c>
      <c r="AK121" s="781">
        <v>16357.593466032831</v>
      </c>
      <c r="AL121" s="781">
        <v>882.22219423453635</v>
      </c>
      <c r="AM121" s="819">
        <v>0.67440690377802703</v>
      </c>
    </row>
    <row r="122" spans="1:39" ht="15" customHeight="1">
      <c r="A122" s="663" t="s">
        <v>876</v>
      </c>
      <c r="B122" s="682">
        <v>3000</v>
      </c>
      <c r="C122" s="682">
        <v>653.4</v>
      </c>
      <c r="D122" s="682">
        <v>667</v>
      </c>
      <c r="E122" s="682">
        <v>637</v>
      </c>
      <c r="F122" s="682">
        <v>559.35</v>
      </c>
      <c r="G122" s="682">
        <v>436.5</v>
      </c>
      <c r="H122" s="682">
        <v>321.75</v>
      </c>
      <c r="I122" s="682">
        <v>321.75</v>
      </c>
      <c r="J122" s="682">
        <v>321.75</v>
      </c>
      <c r="K122" s="682">
        <v>321.75</v>
      </c>
      <c r="L122" s="682">
        <v>321.75</v>
      </c>
      <c r="M122" s="682">
        <v>3780.9522610051599</v>
      </c>
      <c r="N122" s="682">
        <v>6550</v>
      </c>
      <c r="O122" s="682">
        <v>8666.7000000000007</v>
      </c>
      <c r="P122" s="682">
        <v>10497.1174614748</v>
      </c>
      <c r="Q122" s="682">
        <v>12163.3393852182</v>
      </c>
      <c r="R122" s="682">
        <v>13631.3278883607</v>
      </c>
      <c r="S122" s="682">
        <v>13631.3278883607</v>
      </c>
      <c r="T122" s="682">
        <v>13631.3278883607</v>
      </c>
      <c r="U122" s="682">
        <v>13631.3278883607</v>
      </c>
      <c r="V122" s="682">
        <v>13631.3278883607</v>
      </c>
      <c r="W122" s="683">
        <v>0.503458648700017</v>
      </c>
      <c r="X122" s="683">
        <v>0.65035385473588303</v>
      </c>
      <c r="Y122" s="683">
        <v>0.67440690377802703</v>
      </c>
      <c r="Z122" s="683">
        <v>0.61757201768456504</v>
      </c>
      <c r="AA122" s="683">
        <v>0.50571369436324198</v>
      </c>
      <c r="AB122" s="683">
        <v>0.39693911673515198</v>
      </c>
      <c r="AC122" s="683">
        <v>0.39693911673515198</v>
      </c>
      <c r="AD122" s="683">
        <v>0.39693911673515198</v>
      </c>
      <c r="AE122" s="683">
        <v>0.39693911673515198</v>
      </c>
      <c r="AF122" s="683">
        <v>0.39693911673515198</v>
      </c>
      <c r="AG122" s="790">
        <v>3600</v>
      </c>
      <c r="AH122" s="781">
        <v>700</v>
      </c>
      <c r="AI122" s="781">
        <v>960.48</v>
      </c>
      <c r="AJ122" s="781">
        <v>17.517500000000002</v>
      </c>
      <c r="AK122" s="781">
        <v>16357.593466032831</v>
      </c>
      <c r="AL122" s="781">
        <v>882.22219423453635</v>
      </c>
      <c r="AM122" s="819">
        <v>0.67440690377802703</v>
      </c>
    </row>
    <row r="123" spans="1:39" ht="15" customHeight="1">
      <c r="A123" s="663" t="s">
        <v>877</v>
      </c>
      <c r="B123" s="682">
        <v>3000</v>
      </c>
      <c r="C123" s="682">
        <v>653.4</v>
      </c>
      <c r="D123" s="682">
        <v>667</v>
      </c>
      <c r="E123" s="682">
        <v>637</v>
      </c>
      <c r="F123" s="682">
        <v>559.35</v>
      </c>
      <c r="G123" s="682">
        <v>436.5</v>
      </c>
      <c r="H123" s="682">
        <v>321.75</v>
      </c>
      <c r="I123" s="682">
        <v>321.75</v>
      </c>
      <c r="J123" s="682">
        <v>321.75</v>
      </c>
      <c r="K123" s="682">
        <v>321.75</v>
      </c>
      <c r="L123" s="682">
        <v>321.75</v>
      </c>
      <c r="M123" s="682">
        <v>3780.9522610051599</v>
      </c>
      <c r="N123" s="682">
        <v>6550</v>
      </c>
      <c r="O123" s="682">
        <v>8666.7000000000007</v>
      </c>
      <c r="P123" s="682">
        <v>10497.1174614748</v>
      </c>
      <c r="Q123" s="682">
        <v>12163.3393852182</v>
      </c>
      <c r="R123" s="682">
        <v>13631.3278883607</v>
      </c>
      <c r="S123" s="682">
        <v>13631.3278883607</v>
      </c>
      <c r="T123" s="682">
        <v>13631.3278883607</v>
      </c>
      <c r="U123" s="682">
        <v>13631.3278883607</v>
      </c>
      <c r="V123" s="682">
        <v>13631.3278883607</v>
      </c>
      <c r="W123" s="683">
        <v>0.503458648700017</v>
      </c>
      <c r="X123" s="683">
        <v>0.65035385473588303</v>
      </c>
      <c r="Y123" s="683">
        <v>0.67440690377802703</v>
      </c>
      <c r="Z123" s="683">
        <v>0.61757201768456504</v>
      </c>
      <c r="AA123" s="683">
        <v>0.50571369436324198</v>
      </c>
      <c r="AB123" s="683">
        <v>0.39693911673515198</v>
      </c>
      <c r="AC123" s="683">
        <v>0.39693911673515198</v>
      </c>
      <c r="AD123" s="683">
        <v>0.39693911673515198</v>
      </c>
      <c r="AE123" s="683">
        <v>0.39693911673515198</v>
      </c>
      <c r="AF123" s="683">
        <v>0.39693911673515198</v>
      </c>
      <c r="AG123" s="790">
        <v>3600</v>
      </c>
      <c r="AH123" s="781">
        <v>700</v>
      </c>
      <c r="AI123" s="781">
        <v>960.48</v>
      </c>
      <c r="AJ123" s="781">
        <v>17.517500000000002</v>
      </c>
      <c r="AK123" s="781">
        <v>16357.593466032831</v>
      </c>
      <c r="AL123" s="781">
        <v>882.22219423453635</v>
      </c>
      <c r="AM123" s="819">
        <v>0.67440690377802703</v>
      </c>
    </row>
    <row r="124" spans="1:39" ht="15" customHeight="1">
      <c r="A124" s="663" t="s">
        <v>878</v>
      </c>
      <c r="B124" s="682">
        <v>3000</v>
      </c>
      <c r="C124" s="682">
        <v>720</v>
      </c>
      <c r="D124" s="682">
        <v>695</v>
      </c>
      <c r="E124" s="682">
        <v>658</v>
      </c>
      <c r="F124" s="682">
        <v>615</v>
      </c>
      <c r="G124" s="682">
        <v>560</v>
      </c>
      <c r="H124" s="682">
        <v>510</v>
      </c>
      <c r="I124" s="682">
        <v>510</v>
      </c>
      <c r="J124" s="682">
        <v>510</v>
      </c>
      <c r="K124" s="682">
        <v>510</v>
      </c>
      <c r="L124" s="682">
        <v>510</v>
      </c>
      <c r="M124" s="682">
        <v>6900</v>
      </c>
      <c r="N124" s="682">
        <v>8410</v>
      </c>
      <c r="O124" s="682">
        <v>9900</v>
      </c>
      <c r="P124" s="682">
        <v>11250</v>
      </c>
      <c r="Q124" s="682">
        <v>12700</v>
      </c>
      <c r="R124" s="682">
        <v>13800</v>
      </c>
      <c r="S124" s="682">
        <v>13800</v>
      </c>
      <c r="T124" s="682">
        <v>13800</v>
      </c>
      <c r="U124" s="682">
        <v>13800</v>
      </c>
      <c r="V124" s="682">
        <v>13800</v>
      </c>
      <c r="W124" s="683">
        <v>0.58587272727272699</v>
      </c>
      <c r="X124" s="683">
        <v>0.64464040317139004</v>
      </c>
      <c r="Y124" s="683">
        <v>0.67991442528735602</v>
      </c>
      <c r="Z124" s="683">
        <v>0.68787693886861301</v>
      </c>
      <c r="AA124" s="683">
        <v>0.66350251141552496</v>
      </c>
      <c r="AB124" s="683">
        <v>0.62861262295081999</v>
      </c>
      <c r="AC124" s="683">
        <v>0.62861262295081999</v>
      </c>
      <c r="AD124" s="683">
        <v>0.62861262295081999</v>
      </c>
      <c r="AE124" s="683">
        <v>0.62861262295081999</v>
      </c>
      <c r="AF124" s="683">
        <v>0.62861262295081999</v>
      </c>
      <c r="AG124" s="790">
        <v>3600</v>
      </c>
      <c r="AH124" s="781">
        <v>700</v>
      </c>
      <c r="AI124" s="781">
        <v>1036.8</v>
      </c>
      <c r="AJ124" s="781">
        <v>27.766666666666669</v>
      </c>
      <c r="AK124" s="781">
        <v>16560</v>
      </c>
      <c r="AL124" s="781">
        <v>1610</v>
      </c>
      <c r="AM124" s="819">
        <v>0.68787693886861301</v>
      </c>
    </row>
    <row r="125" spans="1:39" ht="15" customHeight="1">
      <c r="A125" s="663" t="s">
        <v>879</v>
      </c>
      <c r="B125" s="682">
        <v>3000</v>
      </c>
      <c r="C125" s="682">
        <v>720</v>
      </c>
      <c r="D125" s="682">
        <v>695</v>
      </c>
      <c r="E125" s="682">
        <v>658</v>
      </c>
      <c r="F125" s="682">
        <v>615</v>
      </c>
      <c r="G125" s="682">
        <v>560</v>
      </c>
      <c r="H125" s="682">
        <v>510</v>
      </c>
      <c r="I125" s="682">
        <v>510</v>
      </c>
      <c r="J125" s="682">
        <v>510</v>
      </c>
      <c r="K125" s="682">
        <v>510</v>
      </c>
      <c r="L125" s="682">
        <v>510</v>
      </c>
      <c r="M125" s="682">
        <v>6900</v>
      </c>
      <c r="N125" s="682">
        <v>8410</v>
      </c>
      <c r="O125" s="682">
        <v>9900</v>
      </c>
      <c r="P125" s="682">
        <v>11250</v>
      </c>
      <c r="Q125" s="682">
        <v>12700</v>
      </c>
      <c r="R125" s="682">
        <v>13800</v>
      </c>
      <c r="S125" s="682">
        <v>13800</v>
      </c>
      <c r="T125" s="682">
        <v>13800</v>
      </c>
      <c r="U125" s="682">
        <v>13800</v>
      </c>
      <c r="V125" s="682">
        <v>13800</v>
      </c>
      <c r="W125" s="683">
        <v>0.58587272727272699</v>
      </c>
      <c r="X125" s="683">
        <v>0.64464040317139004</v>
      </c>
      <c r="Y125" s="683">
        <v>0.67991442528735602</v>
      </c>
      <c r="Z125" s="683">
        <v>0.68787693886861301</v>
      </c>
      <c r="AA125" s="683">
        <v>0.66350251141552496</v>
      </c>
      <c r="AB125" s="683">
        <v>0.62861262295081999</v>
      </c>
      <c r="AC125" s="683">
        <v>0.62861262295081999</v>
      </c>
      <c r="AD125" s="683">
        <v>0.62861262295081999</v>
      </c>
      <c r="AE125" s="683">
        <v>0.62861262295081999</v>
      </c>
      <c r="AF125" s="683">
        <v>0.62861262295081999</v>
      </c>
      <c r="AG125" s="790">
        <v>3600</v>
      </c>
      <c r="AH125" s="781">
        <v>700</v>
      </c>
      <c r="AI125" s="781">
        <v>1036.8</v>
      </c>
      <c r="AJ125" s="781">
        <v>27.766666666666669</v>
      </c>
      <c r="AK125" s="781">
        <v>16560</v>
      </c>
      <c r="AL125" s="781">
        <v>1610</v>
      </c>
      <c r="AM125" s="819">
        <v>0.68787693886861301</v>
      </c>
    </row>
    <row r="126" spans="1:39" ht="15" customHeight="1">
      <c r="A126" s="663" t="s">
        <v>880</v>
      </c>
      <c r="B126" s="682">
        <v>3000</v>
      </c>
      <c r="C126" s="682">
        <v>720</v>
      </c>
      <c r="D126" s="682">
        <v>695</v>
      </c>
      <c r="E126" s="682">
        <v>658</v>
      </c>
      <c r="F126" s="682">
        <v>615</v>
      </c>
      <c r="G126" s="682">
        <v>560</v>
      </c>
      <c r="H126" s="682">
        <v>510</v>
      </c>
      <c r="I126" s="682">
        <v>510</v>
      </c>
      <c r="J126" s="682">
        <v>510</v>
      </c>
      <c r="K126" s="682">
        <v>510</v>
      </c>
      <c r="L126" s="682">
        <v>510</v>
      </c>
      <c r="M126" s="682">
        <v>6900</v>
      </c>
      <c r="N126" s="682">
        <v>8410</v>
      </c>
      <c r="O126" s="682">
        <v>9900</v>
      </c>
      <c r="P126" s="682">
        <v>11250</v>
      </c>
      <c r="Q126" s="682">
        <v>12700</v>
      </c>
      <c r="R126" s="682">
        <v>13800</v>
      </c>
      <c r="S126" s="682">
        <v>13800</v>
      </c>
      <c r="T126" s="682">
        <v>13800</v>
      </c>
      <c r="U126" s="682">
        <v>13800</v>
      </c>
      <c r="V126" s="682">
        <v>13800</v>
      </c>
      <c r="W126" s="683">
        <v>0.58587272727272699</v>
      </c>
      <c r="X126" s="683">
        <v>0.64464040317139004</v>
      </c>
      <c r="Y126" s="683">
        <v>0.67991442528735602</v>
      </c>
      <c r="Z126" s="683">
        <v>0.68787693886861301</v>
      </c>
      <c r="AA126" s="683">
        <v>0.66350251141552496</v>
      </c>
      <c r="AB126" s="683">
        <v>0.62861262295081999</v>
      </c>
      <c r="AC126" s="683">
        <v>0.62861262295081999</v>
      </c>
      <c r="AD126" s="683">
        <v>0.62861262295081999</v>
      </c>
      <c r="AE126" s="683">
        <v>0.62861262295081999</v>
      </c>
      <c r="AF126" s="683">
        <v>0.62861262295081999</v>
      </c>
      <c r="AG126" s="790">
        <v>3600</v>
      </c>
      <c r="AH126" s="781">
        <v>700</v>
      </c>
      <c r="AI126" s="781">
        <v>1036.8</v>
      </c>
      <c r="AJ126" s="781">
        <v>27.766666666666669</v>
      </c>
      <c r="AK126" s="781">
        <v>16560</v>
      </c>
      <c r="AL126" s="781">
        <v>1610</v>
      </c>
      <c r="AM126" s="819">
        <v>0.68787693886861301</v>
      </c>
    </row>
    <row r="127" spans="1:39" ht="15" customHeight="1">
      <c r="A127" s="663" t="s">
        <v>881</v>
      </c>
      <c r="B127" s="682">
        <v>3000</v>
      </c>
      <c r="C127" s="682">
        <v>900</v>
      </c>
      <c r="D127" s="682">
        <v>875</v>
      </c>
      <c r="E127" s="682">
        <v>835</v>
      </c>
      <c r="F127" s="682">
        <v>775</v>
      </c>
      <c r="G127" s="682">
        <v>680</v>
      </c>
      <c r="H127" s="682">
        <v>570</v>
      </c>
      <c r="I127" s="682">
        <v>570</v>
      </c>
      <c r="J127" s="682">
        <v>570</v>
      </c>
      <c r="K127" s="682">
        <v>570</v>
      </c>
      <c r="L127" s="682">
        <v>570</v>
      </c>
      <c r="M127" s="682">
        <v>2500</v>
      </c>
      <c r="N127" s="682">
        <v>3125</v>
      </c>
      <c r="O127" s="682">
        <v>3750</v>
      </c>
      <c r="P127" s="682">
        <v>4375</v>
      </c>
      <c r="Q127" s="682">
        <v>5000</v>
      </c>
      <c r="R127" s="682">
        <v>5625</v>
      </c>
      <c r="S127" s="682">
        <v>5625</v>
      </c>
      <c r="T127" s="682">
        <v>5625</v>
      </c>
      <c r="U127" s="682">
        <v>5625</v>
      </c>
      <c r="V127" s="682">
        <v>5625</v>
      </c>
      <c r="W127" s="683">
        <v>0.57824292452830195</v>
      </c>
      <c r="X127" s="683">
        <v>0.62074110243055602</v>
      </c>
      <c r="Y127" s="683">
        <v>0.63185532407407397</v>
      </c>
      <c r="Z127" s="683">
        <v>0.61990789289709203</v>
      </c>
      <c r="AA127" s="683">
        <v>0.56476626016260201</v>
      </c>
      <c r="AB127" s="683">
        <v>0.49627041903409103</v>
      </c>
      <c r="AC127" s="683">
        <v>0.49627041903409103</v>
      </c>
      <c r="AD127" s="683">
        <v>0.49627041903409103</v>
      </c>
      <c r="AE127" s="683">
        <v>0.49627041903409103</v>
      </c>
      <c r="AF127" s="683">
        <v>0.49627041903409103</v>
      </c>
      <c r="AG127" s="790">
        <v>3600</v>
      </c>
      <c r="AH127" s="781">
        <v>700</v>
      </c>
      <c r="AI127" s="781">
        <v>1296</v>
      </c>
      <c r="AJ127" s="781">
        <v>31.033333333333335</v>
      </c>
      <c r="AK127" s="781">
        <v>6750</v>
      </c>
      <c r="AL127" s="781">
        <v>583.33333333333337</v>
      </c>
      <c r="AM127" s="819">
        <v>0.63185532407407397</v>
      </c>
    </row>
    <row r="128" spans="1:39" ht="15" customHeight="1">
      <c r="A128" s="663" t="s">
        <v>882</v>
      </c>
      <c r="B128" s="682">
        <v>3000</v>
      </c>
      <c r="C128" s="682">
        <v>960</v>
      </c>
      <c r="D128" s="682">
        <v>950</v>
      </c>
      <c r="E128" s="682">
        <v>933</v>
      </c>
      <c r="F128" s="682">
        <v>900</v>
      </c>
      <c r="G128" s="682">
        <v>850</v>
      </c>
      <c r="H128" s="682">
        <v>790</v>
      </c>
      <c r="I128" s="682">
        <v>790</v>
      </c>
      <c r="J128" s="682">
        <v>790</v>
      </c>
      <c r="K128" s="682">
        <v>790</v>
      </c>
      <c r="L128" s="682">
        <v>790</v>
      </c>
      <c r="M128" s="682">
        <v>4400</v>
      </c>
      <c r="N128" s="682">
        <v>5200</v>
      </c>
      <c r="O128" s="682">
        <v>5900</v>
      </c>
      <c r="P128" s="682">
        <v>6650</v>
      </c>
      <c r="Q128" s="682">
        <v>7400</v>
      </c>
      <c r="R128" s="682">
        <v>8125</v>
      </c>
      <c r="S128" s="682">
        <v>8125</v>
      </c>
      <c r="T128" s="682">
        <v>8125</v>
      </c>
      <c r="U128" s="682">
        <v>8125</v>
      </c>
      <c r="V128" s="682">
        <v>8125</v>
      </c>
      <c r="W128" s="683">
        <v>0.67687529411764702</v>
      </c>
      <c r="X128" s="683">
        <v>0.71964616755793198</v>
      </c>
      <c r="Y128" s="683">
        <v>0.746055733830846</v>
      </c>
      <c r="Z128" s="683">
        <v>0.751342741935484</v>
      </c>
      <c r="AA128" s="683">
        <v>0.73857794540229904</v>
      </c>
      <c r="AB128" s="683">
        <v>0.70792489035087702</v>
      </c>
      <c r="AC128" s="683">
        <v>0.70792489035087702</v>
      </c>
      <c r="AD128" s="683">
        <v>0.70792489035087702</v>
      </c>
      <c r="AE128" s="683">
        <v>0.70792489035087702</v>
      </c>
      <c r="AF128" s="683">
        <v>0.70792489035087702</v>
      </c>
      <c r="AG128" s="790">
        <v>3600</v>
      </c>
      <c r="AH128" s="781">
        <v>700</v>
      </c>
      <c r="AI128" s="781">
        <v>1382.3999999999999</v>
      </c>
      <c r="AJ128" s="781">
        <v>43.011111111111113</v>
      </c>
      <c r="AK128" s="781">
        <v>9750</v>
      </c>
      <c r="AL128" s="781">
        <v>1026.6666666666667</v>
      </c>
      <c r="AM128" s="819">
        <v>0.751342741935484</v>
      </c>
    </row>
    <row r="129" spans="1:39" ht="15" customHeight="1">
      <c r="A129" s="663" t="s">
        <v>883</v>
      </c>
      <c r="B129" s="682">
        <v>3000</v>
      </c>
      <c r="C129" s="682">
        <v>915</v>
      </c>
      <c r="D129" s="682">
        <v>888</v>
      </c>
      <c r="E129" s="682">
        <v>847</v>
      </c>
      <c r="F129" s="682">
        <v>780</v>
      </c>
      <c r="G129" s="682">
        <v>691</v>
      </c>
      <c r="H129" s="682">
        <v>605</v>
      </c>
      <c r="I129" s="682">
        <v>605</v>
      </c>
      <c r="J129" s="682">
        <v>605</v>
      </c>
      <c r="K129" s="682">
        <v>605</v>
      </c>
      <c r="L129" s="682">
        <v>605</v>
      </c>
      <c r="M129" s="682">
        <v>5700</v>
      </c>
      <c r="N129" s="682">
        <v>7666</v>
      </c>
      <c r="O129" s="682">
        <v>9505</v>
      </c>
      <c r="P129" s="682">
        <v>11250</v>
      </c>
      <c r="Q129" s="682">
        <v>12750</v>
      </c>
      <c r="R129" s="682">
        <v>14000</v>
      </c>
      <c r="S129" s="682">
        <v>14000</v>
      </c>
      <c r="T129" s="682">
        <v>14000</v>
      </c>
      <c r="U129" s="682">
        <v>14000</v>
      </c>
      <c r="V129" s="682">
        <v>14000</v>
      </c>
      <c r="W129" s="683">
        <v>0.64876215753424704</v>
      </c>
      <c r="X129" s="683">
        <v>0.70780587633587799</v>
      </c>
      <c r="Y129" s="683">
        <v>0.71438253840933796</v>
      </c>
      <c r="Z129" s="683">
        <v>0.69692602040816298</v>
      </c>
      <c r="AA129" s="683">
        <v>0.64001571666666701</v>
      </c>
      <c r="AB129" s="683">
        <v>0.58861458333333305</v>
      </c>
      <c r="AC129" s="683">
        <v>0.58861458333333305</v>
      </c>
      <c r="AD129" s="683">
        <v>0.58861458333333305</v>
      </c>
      <c r="AE129" s="683">
        <v>0.58861458333333305</v>
      </c>
      <c r="AF129" s="683">
        <v>0.58861458333333305</v>
      </c>
      <c r="AG129" s="790">
        <v>3600</v>
      </c>
      <c r="AH129" s="781">
        <v>700</v>
      </c>
      <c r="AI129" s="781">
        <v>1317.6</v>
      </c>
      <c r="AJ129" s="781">
        <v>32.93888888888889</v>
      </c>
      <c r="AK129" s="781">
        <v>16800</v>
      </c>
      <c r="AL129" s="781">
        <v>1330</v>
      </c>
      <c r="AM129" s="819">
        <v>0.71438253840933796</v>
      </c>
    </row>
    <row r="130" spans="1:39" ht="15" customHeight="1">
      <c r="A130" s="663" t="s">
        <v>884</v>
      </c>
      <c r="B130" s="682">
        <v>3000</v>
      </c>
      <c r="C130" s="682">
        <v>920</v>
      </c>
      <c r="D130" s="682">
        <v>885</v>
      </c>
      <c r="E130" s="682">
        <v>840</v>
      </c>
      <c r="F130" s="682">
        <v>790</v>
      </c>
      <c r="G130" s="682">
        <v>735</v>
      </c>
      <c r="H130" s="682">
        <v>675</v>
      </c>
      <c r="I130" s="682">
        <v>675</v>
      </c>
      <c r="J130" s="682">
        <v>675</v>
      </c>
      <c r="K130" s="682">
        <v>675</v>
      </c>
      <c r="L130" s="682">
        <v>675</v>
      </c>
      <c r="M130" s="682">
        <v>9400</v>
      </c>
      <c r="N130" s="682">
        <v>10700</v>
      </c>
      <c r="O130" s="682">
        <v>12000</v>
      </c>
      <c r="P130" s="682">
        <v>13250</v>
      </c>
      <c r="Q130" s="682">
        <v>14600</v>
      </c>
      <c r="R130" s="682">
        <v>15800</v>
      </c>
      <c r="S130" s="682">
        <v>15800</v>
      </c>
      <c r="T130" s="682">
        <v>15800</v>
      </c>
      <c r="U130" s="682">
        <v>15800</v>
      </c>
      <c r="V130" s="682">
        <v>15800</v>
      </c>
      <c r="W130" s="683">
        <v>0.65990457516339895</v>
      </c>
      <c r="X130" s="683">
        <v>0.67707339238845099</v>
      </c>
      <c r="Y130" s="683">
        <v>0.67634482758620695</v>
      </c>
      <c r="Z130" s="683">
        <v>0.66314452519379896</v>
      </c>
      <c r="AA130" s="683">
        <v>0.642484230769231</v>
      </c>
      <c r="AB130" s="683">
        <v>0.60527578125000003</v>
      </c>
      <c r="AC130" s="683">
        <v>0.60527578125000003</v>
      </c>
      <c r="AD130" s="683">
        <v>0.60527578125000003</v>
      </c>
      <c r="AE130" s="683">
        <v>0.60527578125000003</v>
      </c>
      <c r="AF130" s="683">
        <v>0.60527578125000003</v>
      </c>
      <c r="AG130" s="790">
        <v>3600</v>
      </c>
      <c r="AH130" s="781">
        <v>700</v>
      </c>
      <c r="AI130" s="781">
        <v>1252.2222222222224</v>
      </c>
      <c r="AJ130" s="781">
        <v>36.75</v>
      </c>
      <c r="AK130" s="781">
        <v>18433.333333333336</v>
      </c>
      <c r="AL130" s="781">
        <v>2193.3333333333335</v>
      </c>
      <c r="AM130" s="819">
        <v>0.67707339238845099</v>
      </c>
    </row>
    <row r="131" spans="1:39" ht="15" customHeight="1">
      <c r="A131" s="663" t="s">
        <v>885</v>
      </c>
      <c r="B131" s="682">
        <v>3000</v>
      </c>
      <c r="C131" s="682">
        <v>815</v>
      </c>
      <c r="D131" s="682">
        <v>795</v>
      </c>
      <c r="E131" s="682">
        <v>770</v>
      </c>
      <c r="F131" s="682">
        <v>740</v>
      </c>
      <c r="G131" s="682">
        <v>710</v>
      </c>
      <c r="H131" s="682">
        <v>670</v>
      </c>
      <c r="I131" s="682">
        <v>670</v>
      </c>
      <c r="J131" s="682">
        <v>670</v>
      </c>
      <c r="K131" s="682">
        <v>670</v>
      </c>
      <c r="L131" s="682">
        <v>670</v>
      </c>
      <c r="M131" s="682">
        <v>9270</v>
      </c>
      <c r="N131" s="682">
        <v>10650</v>
      </c>
      <c r="O131" s="682">
        <v>12000</v>
      </c>
      <c r="P131" s="682">
        <v>13350</v>
      </c>
      <c r="Q131" s="682">
        <v>14620</v>
      </c>
      <c r="R131" s="682">
        <v>16000</v>
      </c>
      <c r="S131" s="682">
        <v>16000</v>
      </c>
      <c r="T131" s="682">
        <v>16000</v>
      </c>
      <c r="U131" s="682">
        <v>16000</v>
      </c>
      <c r="V131" s="682">
        <v>16000</v>
      </c>
      <c r="W131" s="683">
        <v>0.62556885638297899</v>
      </c>
      <c r="X131" s="683">
        <v>0.65525108309659097</v>
      </c>
      <c r="Y131" s="683">
        <v>0.67483378016085804</v>
      </c>
      <c r="Z131" s="683">
        <v>0.68740849297573403</v>
      </c>
      <c r="AA131" s="683">
        <v>0.691378846780766</v>
      </c>
      <c r="AB131" s="683">
        <v>0.68713098039215703</v>
      </c>
      <c r="AC131" s="683">
        <v>0.68713098039215703</v>
      </c>
      <c r="AD131" s="683">
        <v>0.68713098039215703</v>
      </c>
      <c r="AE131" s="683">
        <v>0.68713098039215703</v>
      </c>
      <c r="AF131" s="683">
        <v>0.68713098039215703</v>
      </c>
      <c r="AG131" s="790">
        <v>3600</v>
      </c>
      <c r="AH131" s="781">
        <v>700</v>
      </c>
      <c r="AI131" s="781">
        <v>1173.5999999999999</v>
      </c>
      <c r="AJ131" s="781">
        <v>36.477777777777781</v>
      </c>
      <c r="AK131" s="781">
        <v>19200</v>
      </c>
      <c r="AL131" s="781">
        <v>2163</v>
      </c>
      <c r="AM131" s="819">
        <v>0.691378846780766</v>
      </c>
    </row>
    <row r="132" spans="1:39" ht="15" customHeight="1">
      <c r="A132" s="663" t="s">
        <v>789</v>
      </c>
      <c r="B132" s="682">
        <v>3000</v>
      </c>
      <c r="C132" s="682">
        <v>880</v>
      </c>
      <c r="D132" s="682">
        <v>860</v>
      </c>
      <c r="E132" s="682">
        <v>825</v>
      </c>
      <c r="F132" s="682">
        <v>787</v>
      </c>
      <c r="G132" s="682">
        <v>730</v>
      </c>
      <c r="H132" s="682">
        <v>675</v>
      </c>
      <c r="I132" s="682">
        <v>675</v>
      </c>
      <c r="J132" s="682">
        <v>675</v>
      </c>
      <c r="K132" s="682">
        <v>675</v>
      </c>
      <c r="L132" s="682">
        <v>675</v>
      </c>
      <c r="M132" s="682">
        <v>12000</v>
      </c>
      <c r="N132" s="682">
        <v>15250</v>
      </c>
      <c r="O132" s="682">
        <v>18000</v>
      </c>
      <c r="P132" s="682">
        <v>20500</v>
      </c>
      <c r="Q132" s="682">
        <v>23000</v>
      </c>
      <c r="R132" s="682">
        <v>25000</v>
      </c>
      <c r="S132" s="682">
        <v>25000</v>
      </c>
      <c r="T132" s="682">
        <v>25000</v>
      </c>
      <c r="U132" s="682">
        <v>25000</v>
      </c>
      <c r="V132" s="682">
        <v>25000</v>
      </c>
      <c r="W132" s="683">
        <v>0.62810480349344999</v>
      </c>
      <c r="X132" s="683">
        <v>0.71312267132401896</v>
      </c>
      <c r="Y132" s="683">
        <v>0.74363740808823497</v>
      </c>
      <c r="Z132" s="683">
        <v>0.76038655565167201</v>
      </c>
      <c r="AA132" s="683">
        <v>0.74371964769647703</v>
      </c>
      <c r="AB132" s="683">
        <v>0.70506614263803702</v>
      </c>
      <c r="AC132" s="683">
        <v>0.70506614263803702</v>
      </c>
      <c r="AD132" s="683">
        <v>0.70506614263803702</v>
      </c>
      <c r="AE132" s="683">
        <v>0.70506614263803702</v>
      </c>
      <c r="AF132" s="683">
        <v>0.70506614263803702</v>
      </c>
      <c r="AG132" s="790">
        <v>3600</v>
      </c>
      <c r="AH132" s="781">
        <v>700</v>
      </c>
      <c r="AI132" s="781">
        <v>1267.2</v>
      </c>
      <c r="AJ132" s="781">
        <v>36.75</v>
      </c>
      <c r="AK132" s="781">
        <v>30000</v>
      </c>
      <c r="AL132" s="781">
        <v>2800</v>
      </c>
      <c r="AM132" s="819">
        <v>0.76038655565167201</v>
      </c>
    </row>
    <row r="133" spans="1:39" ht="15" customHeight="1">
      <c r="A133" s="663" t="s">
        <v>886</v>
      </c>
      <c r="B133" s="682">
        <v>3000</v>
      </c>
      <c r="C133" s="682">
        <v>1270</v>
      </c>
      <c r="D133" s="682">
        <v>1200</v>
      </c>
      <c r="E133" s="682">
        <v>1125</v>
      </c>
      <c r="F133" s="682">
        <v>1030</v>
      </c>
      <c r="G133" s="682">
        <v>885</v>
      </c>
      <c r="H133" s="682">
        <v>700</v>
      </c>
      <c r="I133" s="682">
        <v>700</v>
      </c>
      <c r="J133" s="682">
        <v>700</v>
      </c>
      <c r="K133" s="682">
        <v>700</v>
      </c>
      <c r="L133" s="682">
        <v>700</v>
      </c>
      <c r="M133" s="682">
        <v>2300</v>
      </c>
      <c r="N133" s="682">
        <v>3250</v>
      </c>
      <c r="O133" s="682">
        <v>3850</v>
      </c>
      <c r="P133" s="682">
        <v>4400</v>
      </c>
      <c r="Q133" s="682">
        <v>5050</v>
      </c>
      <c r="R133" s="682">
        <v>5650</v>
      </c>
      <c r="S133" s="682">
        <v>5650</v>
      </c>
      <c r="T133" s="682">
        <v>5650</v>
      </c>
      <c r="U133" s="682">
        <v>5650</v>
      </c>
      <c r="V133" s="682">
        <v>5650</v>
      </c>
      <c r="W133" s="683">
        <v>0.35054144640235002</v>
      </c>
      <c r="X133" s="683">
        <v>0.40862500000000002</v>
      </c>
      <c r="Y133" s="683">
        <v>0.42139453124999998</v>
      </c>
      <c r="Z133" s="683">
        <v>0.41709200450450501</v>
      </c>
      <c r="AA133" s="683">
        <v>0.38528423655063299</v>
      </c>
      <c r="AB133" s="683">
        <v>0.326487247474747</v>
      </c>
      <c r="AC133" s="683">
        <v>0.326487247474747</v>
      </c>
      <c r="AD133" s="683">
        <v>0.326487247474747</v>
      </c>
      <c r="AE133" s="683">
        <v>0.326487247474747</v>
      </c>
      <c r="AF133" s="683">
        <v>0.326487247474747</v>
      </c>
      <c r="AG133" s="790">
        <v>3600</v>
      </c>
      <c r="AH133" s="781">
        <v>700</v>
      </c>
      <c r="AI133" s="781">
        <v>1828.8</v>
      </c>
      <c r="AJ133" s="781">
        <v>38.111111111111114</v>
      </c>
      <c r="AK133" s="781">
        <v>6780</v>
      </c>
      <c r="AL133" s="781">
        <v>536.66666666666663</v>
      </c>
      <c r="AM133" s="819">
        <v>0.42139453124999998</v>
      </c>
    </row>
    <row r="134" spans="1:39" ht="15" customHeight="1">
      <c r="A134" s="663" t="s">
        <v>887</v>
      </c>
      <c r="B134" s="682">
        <v>3000</v>
      </c>
      <c r="C134" s="682">
        <v>1210</v>
      </c>
      <c r="D134" s="682">
        <v>1210</v>
      </c>
      <c r="E134" s="682">
        <v>1165</v>
      </c>
      <c r="F134" s="682">
        <v>1040</v>
      </c>
      <c r="G134" s="682">
        <v>900</v>
      </c>
      <c r="H134" s="682">
        <v>750</v>
      </c>
      <c r="I134" s="682">
        <v>750</v>
      </c>
      <c r="J134" s="682">
        <v>750</v>
      </c>
      <c r="K134" s="682">
        <v>750</v>
      </c>
      <c r="L134" s="682">
        <v>750</v>
      </c>
      <c r="M134" s="682">
        <v>2200</v>
      </c>
      <c r="N134" s="682">
        <v>4400</v>
      </c>
      <c r="O134" s="682">
        <v>6390</v>
      </c>
      <c r="P134" s="682">
        <v>8250</v>
      </c>
      <c r="Q134" s="682">
        <v>9510</v>
      </c>
      <c r="R134" s="682">
        <v>10400</v>
      </c>
      <c r="S134" s="682">
        <v>10400</v>
      </c>
      <c r="T134" s="682">
        <v>10400</v>
      </c>
      <c r="U134" s="682">
        <v>10400</v>
      </c>
      <c r="V134" s="682">
        <v>10400</v>
      </c>
      <c r="W134" s="683">
        <v>0.37188367521367499</v>
      </c>
      <c r="X134" s="683">
        <v>0.56214974160206699</v>
      </c>
      <c r="Y134" s="683">
        <v>0.64379841666666704</v>
      </c>
      <c r="Z134" s="683">
        <v>0.62663136729222502</v>
      </c>
      <c r="AA134" s="683">
        <v>0.56183475903614499</v>
      </c>
      <c r="AB134" s="683">
        <v>0.48182539682539699</v>
      </c>
      <c r="AC134" s="683">
        <v>0.48182539682539699</v>
      </c>
      <c r="AD134" s="683">
        <v>0.48182539682539699</v>
      </c>
      <c r="AE134" s="683">
        <v>0.48182539682539699</v>
      </c>
      <c r="AF134" s="683">
        <v>0.48182539682539699</v>
      </c>
      <c r="AG134" s="790">
        <v>3600</v>
      </c>
      <c r="AH134" s="781">
        <v>700</v>
      </c>
      <c r="AI134" s="781">
        <v>1742.3999999999999</v>
      </c>
      <c r="AJ134" s="781">
        <v>40.833333333333336</v>
      </c>
      <c r="AK134" s="781">
        <v>12480</v>
      </c>
      <c r="AL134" s="781">
        <v>513.33333333333337</v>
      </c>
      <c r="AM134" s="819">
        <v>0.64379841666666704</v>
      </c>
    </row>
    <row r="135" spans="1:39" ht="15" customHeight="1">
      <c r="A135" s="663" t="s">
        <v>888</v>
      </c>
      <c r="B135" s="682">
        <v>3000</v>
      </c>
      <c r="C135" s="682">
        <v>1255</v>
      </c>
      <c r="D135" s="682">
        <v>1250</v>
      </c>
      <c r="E135" s="682">
        <v>1197.9000000000001</v>
      </c>
      <c r="F135" s="682">
        <v>1091.25</v>
      </c>
      <c r="G135" s="682">
        <v>980</v>
      </c>
      <c r="H135" s="682">
        <v>825</v>
      </c>
      <c r="I135" s="682">
        <v>825</v>
      </c>
      <c r="J135" s="682">
        <v>825</v>
      </c>
      <c r="K135" s="682">
        <v>825</v>
      </c>
      <c r="L135" s="682">
        <v>825</v>
      </c>
      <c r="M135" s="682">
        <v>7800</v>
      </c>
      <c r="N135" s="682">
        <v>10100</v>
      </c>
      <c r="O135" s="682">
        <v>12238.345476411399</v>
      </c>
      <c r="P135" s="682">
        <v>14280.8438126044</v>
      </c>
      <c r="Q135" s="682">
        <v>16000</v>
      </c>
      <c r="R135" s="682">
        <v>18000</v>
      </c>
      <c r="S135" s="682">
        <v>18000</v>
      </c>
      <c r="T135" s="682">
        <v>18000</v>
      </c>
      <c r="U135" s="682">
        <v>18000</v>
      </c>
      <c r="V135" s="682">
        <v>18000</v>
      </c>
      <c r="W135" s="683">
        <v>0.56617553078556304</v>
      </c>
      <c r="X135" s="683">
        <v>0.60871865781710899</v>
      </c>
      <c r="Y135" s="683">
        <v>0.62401779449226202</v>
      </c>
      <c r="Z135" s="683">
        <v>0.61526570748235798</v>
      </c>
      <c r="AA135" s="683">
        <v>0.58513607305936099</v>
      </c>
      <c r="AB135" s="683">
        <v>0.539385</v>
      </c>
      <c r="AC135" s="683">
        <v>0.539385</v>
      </c>
      <c r="AD135" s="683">
        <v>0.539385</v>
      </c>
      <c r="AE135" s="683">
        <v>0.539385</v>
      </c>
      <c r="AF135" s="683">
        <v>0.539385</v>
      </c>
      <c r="AG135" s="790">
        <v>3600</v>
      </c>
      <c r="AH135" s="781">
        <v>700</v>
      </c>
      <c r="AI135" s="781">
        <v>1807.2</v>
      </c>
      <c r="AJ135" s="781">
        <v>44.916666666666671</v>
      </c>
      <c r="AK135" s="781">
        <v>21600</v>
      </c>
      <c r="AL135" s="781">
        <v>1820</v>
      </c>
      <c r="AM135" s="819">
        <v>0.62401779449226202</v>
      </c>
    </row>
    <row r="136" spans="1:39" ht="15" customHeight="1">
      <c r="A136" s="663" t="s">
        <v>790</v>
      </c>
      <c r="B136" s="682">
        <v>3000</v>
      </c>
      <c r="C136" s="682">
        <v>1300</v>
      </c>
      <c r="D136" s="682">
        <v>1265</v>
      </c>
      <c r="E136" s="682">
        <v>1180</v>
      </c>
      <c r="F136" s="682">
        <v>1050</v>
      </c>
      <c r="G136" s="682">
        <v>850</v>
      </c>
      <c r="H136" s="682">
        <v>650</v>
      </c>
      <c r="I136" s="682">
        <v>650</v>
      </c>
      <c r="J136" s="682">
        <v>650</v>
      </c>
      <c r="K136" s="682">
        <v>650</v>
      </c>
      <c r="L136" s="682">
        <v>650</v>
      </c>
      <c r="M136" s="682">
        <v>10800</v>
      </c>
      <c r="N136" s="682">
        <v>14500</v>
      </c>
      <c r="O136" s="682">
        <v>18250</v>
      </c>
      <c r="P136" s="682">
        <v>21000</v>
      </c>
      <c r="Q136" s="682">
        <v>23500</v>
      </c>
      <c r="R136" s="682">
        <v>25500</v>
      </c>
      <c r="S136" s="682">
        <v>25500</v>
      </c>
      <c r="T136" s="682">
        <v>25500</v>
      </c>
      <c r="U136" s="682">
        <v>25500</v>
      </c>
      <c r="V136" s="682">
        <v>25500</v>
      </c>
      <c r="W136" s="683">
        <v>0.65604288164665503</v>
      </c>
      <c r="X136" s="683">
        <v>0.70377502934272296</v>
      </c>
      <c r="Y136" s="683">
        <v>0.68215033914728695</v>
      </c>
      <c r="Z136" s="683">
        <v>0.63229342105263198</v>
      </c>
      <c r="AA136" s="683">
        <v>0.52830319579287999</v>
      </c>
      <c r="AB136" s="683">
        <v>0.40315234374999998</v>
      </c>
      <c r="AC136" s="683">
        <v>0.40315234374999998</v>
      </c>
      <c r="AD136" s="683">
        <v>0.40315234374999998</v>
      </c>
      <c r="AE136" s="683">
        <v>0.40315234374999998</v>
      </c>
      <c r="AF136" s="683">
        <v>0.40315234374999998</v>
      </c>
      <c r="AG136" s="790">
        <v>3600</v>
      </c>
      <c r="AH136" s="781">
        <v>700</v>
      </c>
      <c r="AI136" s="781">
        <v>1872</v>
      </c>
      <c r="AJ136" s="781">
        <v>35.388888888888893</v>
      </c>
      <c r="AK136" s="781">
        <v>30600</v>
      </c>
      <c r="AL136" s="781">
        <v>2520</v>
      </c>
      <c r="AM136" s="819">
        <v>0.70377502934272296</v>
      </c>
    </row>
    <row r="137" spans="1:39" ht="15" customHeight="1">
      <c r="A137" s="663" t="s">
        <v>889</v>
      </c>
      <c r="B137" s="682">
        <v>1500</v>
      </c>
      <c r="C137" s="682">
        <v>310</v>
      </c>
      <c r="D137" s="682">
        <v>311</v>
      </c>
      <c r="E137" s="682">
        <v>305</v>
      </c>
      <c r="F137" s="682">
        <v>290</v>
      </c>
      <c r="G137" s="682">
        <v>275</v>
      </c>
      <c r="H137" s="682">
        <v>255</v>
      </c>
      <c r="I137" s="682">
        <v>255</v>
      </c>
      <c r="J137" s="682">
        <v>255</v>
      </c>
      <c r="K137" s="682">
        <v>255</v>
      </c>
      <c r="L137" s="682">
        <v>255</v>
      </c>
      <c r="M137" s="682">
        <v>6100</v>
      </c>
      <c r="N137" s="682">
        <v>7200</v>
      </c>
      <c r="O137" s="682">
        <v>8300</v>
      </c>
      <c r="P137" s="682">
        <v>9500</v>
      </c>
      <c r="Q137" s="682">
        <v>10450</v>
      </c>
      <c r="R137" s="682">
        <v>11300</v>
      </c>
      <c r="S137" s="682">
        <v>11300</v>
      </c>
      <c r="T137" s="682">
        <v>11300</v>
      </c>
      <c r="U137" s="682">
        <v>11300</v>
      </c>
      <c r="V137" s="682">
        <v>11300</v>
      </c>
      <c r="W137" s="683">
        <v>0.66901287878787896</v>
      </c>
      <c r="X137" s="683">
        <v>0.72618499999999997</v>
      </c>
      <c r="Y137" s="683">
        <v>0.75368611111111095</v>
      </c>
      <c r="Z137" s="683">
        <v>0.75427931323283104</v>
      </c>
      <c r="AA137" s="683">
        <v>0.73164242601246099</v>
      </c>
      <c r="AB137" s="683">
        <v>0.69466249999999996</v>
      </c>
      <c r="AC137" s="683">
        <v>0.69466249999999996</v>
      </c>
      <c r="AD137" s="683">
        <v>0.69466249999999996</v>
      </c>
      <c r="AE137" s="683">
        <v>0.69466249999999996</v>
      </c>
      <c r="AF137" s="683">
        <v>0.69466249999999996</v>
      </c>
      <c r="AG137" s="790">
        <v>3600</v>
      </c>
      <c r="AH137" s="781">
        <v>700</v>
      </c>
      <c r="AI137" s="781">
        <v>1791.36</v>
      </c>
      <c r="AJ137" s="781">
        <v>55.533333333333339</v>
      </c>
      <c r="AK137" s="781">
        <v>27120</v>
      </c>
      <c r="AL137" s="781">
        <v>2846.6666666666665</v>
      </c>
      <c r="AM137" s="819">
        <v>0.75427931323283104</v>
      </c>
    </row>
    <row r="138" spans="1:39" ht="15" customHeight="1">
      <c r="A138" s="663" t="s">
        <v>791</v>
      </c>
      <c r="B138" s="682">
        <v>1500</v>
      </c>
      <c r="C138" s="682">
        <v>285</v>
      </c>
      <c r="D138" s="682">
        <v>280</v>
      </c>
      <c r="E138" s="682">
        <v>270</v>
      </c>
      <c r="F138" s="682">
        <v>252</v>
      </c>
      <c r="G138" s="682">
        <v>230</v>
      </c>
      <c r="H138" s="682">
        <v>210</v>
      </c>
      <c r="I138" s="682">
        <v>210</v>
      </c>
      <c r="J138" s="682">
        <v>210</v>
      </c>
      <c r="K138" s="682">
        <v>210</v>
      </c>
      <c r="L138" s="682">
        <v>210</v>
      </c>
      <c r="M138" s="682">
        <v>7400</v>
      </c>
      <c r="N138" s="682">
        <v>9900</v>
      </c>
      <c r="O138" s="682">
        <v>11750</v>
      </c>
      <c r="P138" s="682">
        <v>13650</v>
      </c>
      <c r="Q138" s="682">
        <v>15400</v>
      </c>
      <c r="R138" s="682">
        <v>17000</v>
      </c>
      <c r="S138" s="682">
        <v>17000</v>
      </c>
      <c r="T138" s="682">
        <v>17000</v>
      </c>
      <c r="U138" s="682">
        <v>17000</v>
      </c>
      <c r="V138" s="682">
        <v>17000</v>
      </c>
      <c r="W138" s="683">
        <v>0.604765</v>
      </c>
      <c r="X138" s="683">
        <v>0.68649000000000004</v>
      </c>
      <c r="Y138" s="683">
        <v>0.71424948347107498</v>
      </c>
      <c r="Z138" s="683">
        <v>0.73494811764705903</v>
      </c>
      <c r="AA138" s="683">
        <v>0.709485171568627</v>
      </c>
      <c r="AB138" s="683">
        <v>0.68973581560283703</v>
      </c>
      <c r="AC138" s="683">
        <v>0.68973581560283703</v>
      </c>
      <c r="AD138" s="683">
        <v>0.68973581560283703</v>
      </c>
      <c r="AE138" s="683">
        <v>0.68973581560283703</v>
      </c>
      <c r="AF138" s="683">
        <v>0.68973581560283703</v>
      </c>
      <c r="AG138" s="790">
        <v>3600</v>
      </c>
      <c r="AH138" s="781">
        <v>700</v>
      </c>
      <c r="AI138" s="781">
        <v>1641.6</v>
      </c>
      <c r="AJ138" s="781">
        <v>45.733333333333334</v>
      </c>
      <c r="AK138" s="781">
        <v>40800</v>
      </c>
      <c r="AL138" s="781">
        <v>3453.3333333333335</v>
      </c>
      <c r="AM138" s="819">
        <v>0.73494811764705903</v>
      </c>
    </row>
    <row r="139" spans="1:39" ht="15" customHeight="1">
      <c r="A139" s="663" t="s">
        <v>792</v>
      </c>
      <c r="B139" s="682">
        <v>1500</v>
      </c>
      <c r="C139" s="682">
        <v>375</v>
      </c>
      <c r="D139" s="682">
        <v>370</v>
      </c>
      <c r="E139" s="682">
        <v>360</v>
      </c>
      <c r="F139" s="682">
        <v>345</v>
      </c>
      <c r="G139" s="682">
        <v>327</v>
      </c>
      <c r="H139" s="682">
        <v>300</v>
      </c>
      <c r="I139" s="682">
        <v>300</v>
      </c>
      <c r="J139" s="682">
        <v>300</v>
      </c>
      <c r="K139" s="682">
        <v>300</v>
      </c>
      <c r="L139" s="682">
        <v>300</v>
      </c>
      <c r="M139" s="682">
        <v>13300</v>
      </c>
      <c r="N139" s="682">
        <v>16000</v>
      </c>
      <c r="O139" s="682">
        <v>18000</v>
      </c>
      <c r="P139" s="682">
        <v>20100</v>
      </c>
      <c r="Q139" s="682">
        <v>22300</v>
      </c>
      <c r="R139" s="682">
        <v>24500</v>
      </c>
      <c r="S139" s="682">
        <v>24500</v>
      </c>
      <c r="T139" s="682">
        <v>24500</v>
      </c>
      <c r="U139" s="682">
        <v>24500</v>
      </c>
      <c r="V139" s="682">
        <v>24500</v>
      </c>
      <c r="W139" s="683">
        <v>0.62901765046296299</v>
      </c>
      <c r="X139" s="683">
        <v>0.67477266387726598</v>
      </c>
      <c r="Y139" s="683">
        <v>0.694984251968504</v>
      </c>
      <c r="Z139" s="683">
        <v>0.70225776022304798</v>
      </c>
      <c r="AA139" s="683">
        <v>0.69215664634146401</v>
      </c>
      <c r="AB139" s="683">
        <v>0.66742083333333302</v>
      </c>
      <c r="AC139" s="683">
        <v>0.66742083333333302</v>
      </c>
      <c r="AD139" s="683">
        <v>0.66742083333333302</v>
      </c>
      <c r="AE139" s="683">
        <v>0.66742083333333302</v>
      </c>
      <c r="AF139" s="683">
        <v>0.66742083333333302</v>
      </c>
      <c r="AG139" s="790">
        <v>3600</v>
      </c>
      <c r="AH139" s="781">
        <v>700</v>
      </c>
      <c r="AI139" s="781">
        <v>2160</v>
      </c>
      <c r="AJ139" s="781">
        <v>65.333333333333343</v>
      </c>
      <c r="AK139" s="781">
        <v>58800</v>
      </c>
      <c r="AL139" s="781">
        <v>6206.666666666667</v>
      </c>
      <c r="AM139" s="819">
        <v>0.70225776022304798</v>
      </c>
    </row>
    <row r="140" spans="1:39" ht="15" customHeight="1">
      <c r="A140" s="663" t="s">
        <v>793</v>
      </c>
      <c r="B140" s="682">
        <v>1500</v>
      </c>
      <c r="C140" s="682">
        <v>380</v>
      </c>
      <c r="D140" s="682">
        <v>370</v>
      </c>
      <c r="E140" s="682">
        <v>355</v>
      </c>
      <c r="F140" s="682">
        <v>335</v>
      </c>
      <c r="G140" s="682">
        <v>310</v>
      </c>
      <c r="H140" s="682">
        <v>280</v>
      </c>
      <c r="I140" s="682">
        <v>280</v>
      </c>
      <c r="J140" s="682">
        <v>280</v>
      </c>
      <c r="K140" s="682">
        <v>280</v>
      </c>
      <c r="L140" s="682">
        <v>280</v>
      </c>
      <c r="M140" s="682">
        <v>17000</v>
      </c>
      <c r="N140" s="682">
        <v>20000</v>
      </c>
      <c r="O140" s="682">
        <v>22800</v>
      </c>
      <c r="P140" s="682">
        <v>25600</v>
      </c>
      <c r="Q140" s="682">
        <v>28400</v>
      </c>
      <c r="R140" s="682">
        <v>31400</v>
      </c>
      <c r="S140" s="682">
        <v>31400</v>
      </c>
      <c r="T140" s="682">
        <v>31400</v>
      </c>
      <c r="U140" s="682">
        <v>31400</v>
      </c>
      <c r="V140" s="682">
        <v>31400</v>
      </c>
      <c r="W140" s="683">
        <v>0.69557773386034305</v>
      </c>
      <c r="X140" s="683">
        <v>0.73304848484848495</v>
      </c>
      <c r="Y140" s="683">
        <v>0.74240420875420898</v>
      </c>
      <c r="Z140" s="683">
        <v>0.73466834381551405</v>
      </c>
      <c r="AA140" s="683">
        <v>0.70333030303030297</v>
      </c>
      <c r="AB140" s="683">
        <v>0.65083894927536201</v>
      </c>
      <c r="AC140" s="683">
        <v>0.65083894927536201</v>
      </c>
      <c r="AD140" s="683">
        <v>0.65083894927536201</v>
      </c>
      <c r="AE140" s="683">
        <v>0.65083894927536201</v>
      </c>
      <c r="AF140" s="683">
        <v>0.65083894927536201</v>
      </c>
      <c r="AG140" s="562">
        <v>3550</v>
      </c>
      <c r="AH140" s="781">
        <v>700</v>
      </c>
      <c r="AI140" s="781">
        <v>2128.422222222222</v>
      </c>
      <c r="AJ140" s="781">
        <v>60.977777777777781</v>
      </c>
      <c r="AK140" s="781">
        <v>74313.333333333328</v>
      </c>
      <c r="AL140" s="781">
        <v>7933.333333333333</v>
      </c>
      <c r="AM140" s="819">
        <v>0.74240420875420898</v>
      </c>
    </row>
    <row r="141" spans="1:39" ht="15" customHeight="1">
      <c r="A141" s="663" t="s">
        <v>890</v>
      </c>
      <c r="B141" s="682">
        <v>1800</v>
      </c>
      <c r="C141" s="682">
        <v>757</v>
      </c>
      <c r="D141" s="682">
        <v>727</v>
      </c>
      <c r="E141" s="682">
        <v>670</v>
      </c>
      <c r="F141" s="682">
        <v>590</v>
      </c>
      <c r="G141" s="682">
        <v>505</v>
      </c>
      <c r="H141" s="682">
        <v>410</v>
      </c>
      <c r="I141" s="682">
        <v>410</v>
      </c>
      <c r="J141" s="682">
        <v>410</v>
      </c>
      <c r="K141" s="682">
        <v>410</v>
      </c>
      <c r="L141" s="682">
        <v>410</v>
      </c>
      <c r="M141" s="682">
        <v>30000</v>
      </c>
      <c r="N141" s="682">
        <v>37000</v>
      </c>
      <c r="O141" s="682">
        <v>46100</v>
      </c>
      <c r="P141" s="682">
        <v>55000</v>
      </c>
      <c r="Q141" s="682">
        <v>62500</v>
      </c>
      <c r="R141" s="682">
        <v>69500</v>
      </c>
      <c r="S141" s="682">
        <v>69500</v>
      </c>
      <c r="T141" s="682">
        <v>69500</v>
      </c>
      <c r="U141" s="682">
        <v>69500</v>
      </c>
      <c r="V141" s="682">
        <v>69500</v>
      </c>
      <c r="W141" s="683">
        <v>0.687398055555556</v>
      </c>
      <c r="X141" s="683">
        <v>0.72551840759075903</v>
      </c>
      <c r="Y141" s="683">
        <v>0.74461359144542805</v>
      </c>
      <c r="Z141" s="683">
        <v>0.72458367486338804</v>
      </c>
      <c r="AA141" s="683">
        <v>0.68239293981481497</v>
      </c>
      <c r="AB141" s="683">
        <v>0.60644632161458301</v>
      </c>
      <c r="AC141" s="683">
        <v>0.60644632161458301</v>
      </c>
      <c r="AD141" s="683">
        <v>0.60644632161458301</v>
      </c>
      <c r="AE141" s="683">
        <v>0.60644632161458301</v>
      </c>
      <c r="AF141" s="683">
        <v>0.60644632161458301</v>
      </c>
      <c r="AG141" s="562">
        <v>2850</v>
      </c>
      <c r="AH141" s="781">
        <v>700</v>
      </c>
      <c r="AI141" s="781">
        <v>1897.7569444444443</v>
      </c>
      <c r="AJ141" s="781">
        <v>62.006172839506178</v>
      </c>
      <c r="AK141" s="781">
        <v>110041.66666666666</v>
      </c>
      <c r="AL141" s="781">
        <v>11666.666666666666</v>
      </c>
      <c r="AM141" s="819">
        <v>0.74461359144542805</v>
      </c>
    </row>
    <row r="142" spans="1:39" ht="15" customHeight="1">
      <c r="A142" s="663" t="s">
        <v>891</v>
      </c>
      <c r="B142" s="682">
        <v>1600</v>
      </c>
      <c r="C142" s="682">
        <v>765</v>
      </c>
      <c r="D142" s="682">
        <v>715</v>
      </c>
      <c r="E142" s="682">
        <v>677</v>
      </c>
      <c r="F142" s="682">
        <v>630</v>
      </c>
      <c r="G142" s="682">
        <v>577</v>
      </c>
      <c r="H142" s="682">
        <v>467</v>
      </c>
      <c r="I142" s="682">
        <v>467</v>
      </c>
      <c r="J142" s="682">
        <v>467</v>
      </c>
      <c r="K142" s="682">
        <v>467</v>
      </c>
      <c r="L142" s="682">
        <v>467</v>
      </c>
      <c r="M142" s="682">
        <v>33000</v>
      </c>
      <c r="N142" s="682">
        <v>49000</v>
      </c>
      <c r="O142" s="682">
        <v>56500</v>
      </c>
      <c r="P142" s="682">
        <v>63500</v>
      </c>
      <c r="Q142" s="682">
        <v>70000</v>
      </c>
      <c r="R142" s="682">
        <v>81700</v>
      </c>
      <c r="S142" s="682">
        <v>81700</v>
      </c>
      <c r="T142" s="682">
        <v>81700</v>
      </c>
      <c r="U142" s="682">
        <v>81700</v>
      </c>
      <c r="V142" s="682">
        <v>81700</v>
      </c>
      <c r="W142" s="683">
        <v>0.66126526442307698</v>
      </c>
      <c r="X142" s="683">
        <v>0.751505347769029</v>
      </c>
      <c r="Y142" s="683">
        <v>0.76058932177615601</v>
      </c>
      <c r="Z142" s="683">
        <v>0.75680755208333295</v>
      </c>
      <c r="AA142" s="683">
        <v>0.73352727777777804</v>
      </c>
      <c r="AB142" s="683">
        <v>0.666266555021368</v>
      </c>
      <c r="AC142" s="683">
        <v>0.666266555021368</v>
      </c>
      <c r="AD142" s="683">
        <v>0.666266555021368</v>
      </c>
      <c r="AE142" s="683">
        <v>0.666266555021368</v>
      </c>
      <c r="AF142" s="683">
        <v>0.666266555021368</v>
      </c>
      <c r="AG142" s="790">
        <v>3000</v>
      </c>
      <c r="AH142" s="781">
        <v>700</v>
      </c>
      <c r="AI142" s="781">
        <v>1446.328125</v>
      </c>
      <c r="AJ142" s="781">
        <v>89.38671875</v>
      </c>
      <c r="AK142" s="781">
        <v>112337.5</v>
      </c>
      <c r="AL142" s="781">
        <v>14437.5</v>
      </c>
      <c r="AM142" s="819">
        <v>0.76058932177615601</v>
      </c>
    </row>
    <row r="143" spans="1:39" ht="15" customHeight="1">
      <c r="A143" s="663" t="s">
        <v>892</v>
      </c>
      <c r="B143" s="682">
        <v>0</v>
      </c>
      <c r="C143" s="682">
        <v>0</v>
      </c>
      <c r="D143" s="682">
        <v>0</v>
      </c>
      <c r="E143" s="682">
        <v>0</v>
      </c>
      <c r="F143" s="682">
        <v>0</v>
      </c>
      <c r="G143" s="682">
        <v>0</v>
      </c>
      <c r="H143" s="682">
        <v>0</v>
      </c>
      <c r="I143" s="682">
        <v>0</v>
      </c>
      <c r="J143" s="682">
        <v>0</v>
      </c>
      <c r="K143" s="682">
        <v>0</v>
      </c>
      <c r="L143" s="682">
        <v>0</v>
      </c>
      <c r="M143" s="682">
        <v>0</v>
      </c>
      <c r="N143" s="682">
        <v>0</v>
      </c>
      <c r="O143" s="682">
        <v>0</v>
      </c>
      <c r="P143" s="682">
        <v>0</v>
      </c>
      <c r="Q143" s="682">
        <v>0</v>
      </c>
      <c r="R143" s="682">
        <v>0</v>
      </c>
      <c r="S143" s="682">
        <v>0</v>
      </c>
      <c r="T143" s="682">
        <v>0</v>
      </c>
      <c r="U143" s="682">
        <v>0</v>
      </c>
      <c r="V143" s="682">
        <v>0</v>
      </c>
      <c r="W143" s="683">
        <v>0</v>
      </c>
      <c r="X143" s="683">
        <v>0</v>
      </c>
      <c r="Y143" s="683">
        <v>0</v>
      </c>
      <c r="Z143" s="683">
        <v>0</v>
      </c>
      <c r="AA143" s="683">
        <v>0</v>
      </c>
      <c r="AB143" s="683">
        <v>0</v>
      </c>
      <c r="AC143" s="683">
        <v>0</v>
      </c>
      <c r="AD143" s="683">
        <v>0</v>
      </c>
      <c r="AE143" s="683">
        <v>0</v>
      </c>
      <c r="AF143" s="683">
        <v>0</v>
      </c>
      <c r="AG143" s="790">
        <v>0</v>
      </c>
      <c r="AH143" s="781">
        <v>0</v>
      </c>
      <c r="AI143" s="781">
        <v>0</v>
      </c>
      <c r="AJ143" s="781">
        <v>0</v>
      </c>
      <c r="AK143" s="781">
        <v>0</v>
      </c>
      <c r="AL143" s="781">
        <v>0</v>
      </c>
      <c r="AM143" s="819">
        <v>0</v>
      </c>
    </row>
    <row r="144" spans="1:39" s="634" customFormat="1" ht="15" customHeight="1">
      <c r="A144" s="663" t="s">
        <v>893</v>
      </c>
      <c r="B144" s="682">
        <v>0</v>
      </c>
      <c r="C144" s="682">
        <v>0</v>
      </c>
      <c r="D144" s="682">
        <v>0</v>
      </c>
      <c r="E144" s="682">
        <v>0</v>
      </c>
      <c r="F144" s="682">
        <v>0</v>
      </c>
      <c r="G144" s="682">
        <v>0</v>
      </c>
      <c r="H144" s="682">
        <v>0</v>
      </c>
      <c r="I144" s="682">
        <v>0</v>
      </c>
      <c r="J144" s="682">
        <v>0</v>
      </c>
      <c r="K144" s="682">
        <v>0</v>
      </c>
      <c r="L144" s="682">
        <v>0</v>
      </c>
      <c r="M144" s="682">
        <v>0</v>
      </c>
      <c r="N144" s="682">
        <v>0</v>
      </c>
      <c r="O144" s="682">
        <v>0</v>
      </c>
      <c r="P144" s="682">
        <v>0</v>
      </c>
      <c r="Q144" s="682">
        <v>0</v>
      </c>
      <c r="R144" s="682">
        <v>0</v>
      </c>
      <c r="S144" s="682">
        <v>0</v>
      </c>
      <c r="T144" s="682">
        <v>0</v>
      </c>
      <c r="U144" s="682">
        <v>0</v>
      </c>
      <c r="V144" s="682">
        <v>0</v>
      </c>
      <c r="W144" s="683">
        <v>0</v>
      </c>
      <c r="X144" s="683">
        <v>0</v>
      </c>
      <c r="Y144" s="683">
        <v>0</v>
      </c>
      <c r="Z144" s="683">
        <v>0</v>
      </c>
      <c r="AA144" s="683">
        <v>0</v>
      </c>
      <c r="AB144" s="683">
        <v>0</v>
      </c>
      <c r="AC144" s="683">
        <v>0</v>
      </c>
      <c r="AD144" s="683">
        <v>0</v>
      </c>
      <c r="AE144" s="683">
        <v>0</v>
      </c>
      <c r="AF144" s="683">
        <v>0</v>
      </c>
      <c r="AG144" s="790">
        <v>0</v>
      </c>
      <c r="AH144" s="781">
        <v>0</v>
      </c>
      <c r="AI144" s="781">
        <v>0</v>
      </c>
      <c r="AJ144" s="781">
        <v>0</v>
      </c>
      <c r="AK144" s="781">
        <v>0</v>
      </c>
      <c r="AL144" s="781">
        <v>0</v>
      </c>
      <c r="AM144" s="819">
        <v>0</v>
      </c>
    </row>
    <row r="145" spans="1:39" s="634" customFormat="1" ht="15" customHeight="1">
      <c r="A145" s="663" t="s">
        <v>894</v>
      </c>
      <c r="B145" s="682">
        <v>0</v>
      </c>
      <c r="C145" s="682">
        <v>0</v>
      </c>
      <c r="D145" s="682">
        <v>0</v>
      </c>
      <c r="E145" s="682">
        <v>0</v>
      </c>
      <c r="F145" s="682">
        <v>0</v>
      </c>
      <c r="G145" s="682">
        <v>0</v>
      </c>
      <c r="H145" s="682">
        <v>0</v>
      </c>
      <c r="I145" s="682">
        <v>0</v>
      </c>
      <c r="J145" s="682">
        <v>0</v>
      </c>
      <c r="K145" s="682">
        <v>0</v>
      </c>
      <c r="L145" s="682">
        <v>0</v>
      </c>
      <c r="M145" s="682">
        <v>0</v>
      </c>
      <c r="N145" s="682">
        <v>0</v>
      </c>
      <c r="O145" s="682">
        <v>0</v>
      </c>
      <c r="P145" s="682">
        <v>0</v>
      </c>
      <c r="Q145" s="682">
        <v>0</v>
      </c>
      <c r="R145" s="682">
        <v>0</v>
      </c>
      <c r="S145" s="682">
        <v>0</v>
      </c>
      <c r="T145" s="682">
        <v>0</v>
      </c>
      <c r="U145" s="682">
        <v>0</v>
      </c>
      <c r="V145" s="682">
        <v>0</v>
      </c>
      <c r="W145" s="683">
        <v>0</v>
      </c>
      <c r="X145" s="683">
        <v>0</v>
      </c>
      <c r="Y145" s="683">
        <v>0</v>
      </c>
      <c r="Z145" s="683">
        <v>0</v>
      </c>
      <c r="AA145" s="683">
        <v>0</v>
      </c>
      <c r="AB145" s="683">
        <v>0</v>
      </c>
      <c r="AC145" s="683">
        <v>0</v>
      </c>
      <c r="AD145" s="683">
        <v>0</v>
      </c>
      <c r="AE145" s="683">
        <v>0</v>
      </c>
      <c r="AF145" s="683">
        <v>0</v>
      </c>
      <c r="AG145" s="790">
        <v>0</v>
      </c>
      <c r="AH145" s="781">
        <v>0</v>
      </c>
      <c r="AI145" s="781">
        <v>0</v>
      </c>
      <c r="AJ145" s="781">
        <v>0</v>
      </c>
      <c r="AK145" s="781">
        <v>0</v>
      </c>
      <c r="AL145" s="781">
        <v>0</v>
      </c>
      <c r="AM145" s="819">
        <v>0</v>
      </c>
    </row>
    <row r="146" spans="1:39" ht="15" customHeight="1">
      <c r="A146" s="663" t="s">
        <v>895</v>
      </c>
      <c r="B146" s="682">
        <v>0</v>
      </c>
      <c r="C146" s="682">
        <v>0</v>
      </c>
      <c r="D146" s="682">
        <v>0</v>
      </c>
      <c r="E146" s="682">
        <v>0</v>
      </c>
      <c r="F146" s="682">
        <v>0</v>
      </c>
      <c r="G146" s="682">
        <v>0</v>
      </c>
      <c r="H146" s="682">
        <v>0</v>
      </c>
      <c r="I146" s="682">
        <v>0</v>
      </c>
      <c r="J146" s="682">
        <v>0</v>
      </c>
      <c r="K146" s="682">
        <v>0</v>
      </c>
      <c r="L146" s="682">
        <v>0</v>
      </c>
      <c r="M146" s="682">
        <v>0</v>
      </c>
      <c r="N146" s="682">
        <v>0</v>
      </c>
      <c r="O146" s="682">
        <v>0</v>
      </c>
      <c r="P146" s="682">
        <v>0</v>
      </c>
      <c r="Q146" s="682">
        <v>0</v>
      </c>
      <c r="R146" s="682">
        <v>0</v>
      </c>
      <c r="S146" s="682">
        <v>0</v>
      </c>
      <c r="T146" s="682">
        <v>0</v>
      </c>
      <c r="U146" s="682">
        <v>0</v>
      </c>
      <c r="V146" s="682">
        <v>0</v>
      </c>
      <c r="W146" s="683">
        <v>0</v>
      </c>
      <c r="X146" s="683">
        <v>0</v>
      </c>
      <c r="Y146" s="683">
        <v>0</v>
      </c>
      <c r="Z146" s="683">
        <v>0</v>
      </c>
      <c r="AA146" s="683">
        <v>0</v>
      </c>
      <c r="AB146" s="683">
        <v>0</v>
      </c>
      <c r="AC146" s="683">
        <v>0</v>
      </c>
      <c r="AD146" s="683">
        <v>0</v>
      </c>
      <c r="AE146" s="683">
        <v>0</v>
      </c>
      <c r="AF146" s="683">
        <v>0</v>
      </c>
      <c r="AG146" s="790">
        <v>0</v>
      </c>
      <c r="AH146" s="781">
        <v>0</v>
      </c>
      <c r="AI146" s="781">
        <v>0</v>
      </c>
      <c r="AJ146" s="781">
        <v>0</v>
      </c>
      <c r="AK146" s="781">
        <v>0</v>
      </c>
      <c r="AL146" s="781">
        <v>0</v>
      </c>
      <c r="AM146" s="819">
        <v>0</v>
      </c>
    </row>
    <row r="147" spans="1:39" ht="15" customHeight="1">
      <c r="A147" s="663" t="s">
        <v>896</v>
      </c>
      <c r="B147" s="682">
        <v>0</v>
      </c>
      <c r="C147" s="682">
        <v>0</v>
      </c>
      <c r="D147" s="682">
        <v>0</v>
      </c>
      <c r="E147" s="682">
        <v>0</v>
      </c>
      <c r="F147" s="682">
        <v>0</v>
      </c>
      <c r="G147" s="682">
        <v>0</v>
      </c>
      <c r="H147" s="682">
        <v>0</v>
      </c>
      <c r="I147" s="682">
        <v>0</v>
      </c>
      <c r="J147" s="682">
        <v>0</v>
      </c>
      <c r="K147" s="682">
        <v>0</v>
      </c>
      <c r="L147" s="682">
        <v>0</v>
      </c>
      <c r="M147" s="682">
        <v>0</v>
      </c>
      <c r="N147" s="682">
        <v>0</v>
      </c>
      <c r="O147" s="682">
        <v>0</v>
      </c>
      <c r="P147" s="682">
        <v>0</v>
      </c>
      <c r="Q147" s="682">
        <v>0</v>
      </c>
      <c r="R147" s="682">
        <v>0</v>
      </c>
      <c r="S147" s="682">
        <v>0</v>
      </c>
      <c r="T147" s="682">
        <v>0</v>
      </c>
      <c r="U147" s="682">
        <v>0</v>
      </c>
      <c r="V147" s="682">
        <v>0</v>
      </c>
      <c r="W147" s="683">
        <v>0</v>
      </c>
      <c r="X147" s="683">
        <v>0</v>
      </c>
      <c r="Y147" s="683">
        <v>0</v>
      </c>
      <c r="Z147" s="683">
        <v>0</v>
      </c>
      <c r="AA147" s="683">
        <v>0</v>
      </c>
      <c r="AB147" s="683">
        <v>0</v>
      </c>
      <c r="AC147" s="683">
        <v>0</v>
      </c>
      <c r="AD147" s="683">
        <v>0</v>
      </c>
      <c r="AE147" s="683">
        <v>0</v>
      </c>
      <c r="AF147" s="683">
        <v>0</v>
      </c>
      <c r="AG147" s="790">
        <v>0</v>
      </c>
      <c r="AH147" s="781">
        <v>0</v>
      </c>
      <c r="AI147" s="781">
        <v>0</v>
      </c>
      <c r="AJ147" s="781">
        <v>0</v>
      </c>
      <c r="AK147" s="781">
        <v>0</v>
      </c>
      <c r="AL147" s="781">
        <v>0</v>
      </c>
      <c r="AM147" s="819">
        <v>0</v>
      </c>
    </row>
    <row r="148" spans="1:39" ht="15" customHeight="1">
      <c r="A148" s="663" t="s">
        <v>897</v>
      </c>
      <c r="B148" s="682">
        <v>0</v>
      </c>
      <c r="C148" s="682">
        <v>0</v>
      </c>
      <c r="D148" s="682">
        <v>0</v>
      </c>
      <c r="E148" s="682">
        <v>0</v>
      </c>
      <c r="F148" s="682">
        <v>0</v>
      </c>
      <c r="G148" s="682">
        <v>0</v>
      </c>
      <c r="H148" s="682">
        <v>0</v>
      </c>
      <c r="I148" s="682">
        <v>0</v>
      </c>
      <c r="J148" s="682">
        <v>0</v>
      </c>
      <c r="K148" s="682">
        <v>0</v>
      </c>
      <c r="L148" s="682">
        <v>0</v>
      </c>
      <c r="M148" s="682">
        <v>0</v>
      </c>
      <c r="N148" s="682">
        <v>0</v>
      </c>
      <c r="O148" s="682">
        <v>0</v>
      </c>
      <c r="P148" s="682">
        <v>0</v>
      </c>
      <c r="Q148" s="682">
        <v>0</v>
      </c>
      <c r="R148" s="682">
        <v>0</v>
      </c>
      <c r="S148" s="682">
        <v>0</v>
      </c>
      <c r="T148" s="682">
        <v>0</v>
      </c>
      <c r="U148" s="682">
        <v>0</v>
      </c>
      <c r="V148" s="682">
        <v>0</v>
      </c>
      <c r="W148" s="683">
        <v>0</v>
      </c>
      <c r="X148" s="683">
        <v>0</v>
      </c>
      <c r="Y148" s="683">
        <v>0</v>
      </c>
      <c r="Z148" s="683">
        <v>0</v>
      </c>
      <c r="AA148" s="683">
        <v>0</v>
      </c>
      <c r="AB148" s="683">
        <v>0</v>
      </c>
      <c r="AC148" s="683">
        <v>0</v>
      </c>
      <c r="AD148" s="683">
        <v>0</v>
      </c>
      <c r="AE148" s="683">
        <v>0</v>
      </c>
      <c r="AF148" s="683">
        <v>0</v>
      </c>
      <c r="AG148" s="790">
        <v>0</v>
      </c>
      <c r="AH148" s="781">
        <v>0</v>
      </c>
      <c r="AI148" s="781">
        <v>0</v>
      </c>
      <c r="AJ148" s="781">
        <v>0</v>
      </c>
      <c r="AK148" s="781">
        <v>0</v>
      </c>
      <c r="AL148" s="781">
        <v>0</v>
      </c>
      <c r="AM148" s="819">
        <v>0</v>
      </c>
    </row>
    <row r="149" spans="1:39" ht="15" customHeight="1">
      <c r="A149" s="663" t="s">
        <v>898</v>
      </c>
      <c r="B149" s="682">
        <v>0</v>
      </c>
      <c r="C149" s="682">
        <v>0</v>
      </c>
      <c r="D149" s="682">
        <v>0</v>
      </c>
      <c r="E149" s="682">
        <v>0</v>
      </c>
      <c r="F149" s="682">
        <v>0</v>
      </c>
      <c r="G149" s="682">
        <v>0</v>
      </c>
      <c r="H149" s="682">
        <v>0</v>
      </c>
      <c r="I149" s="682">
        <v>0</v>
      </c>
      <c r="J149" s="682">
        <v>0</v>
      </c>
      <c r="K149" s="682">
        <v>0</v>
      </c>
      <c r="L149" s="682">
        <v>0</v>
      </c>
      <c r="M149" s="682">
        <v>0</v>
      </c>
      <c r="N149" s="682">
        <v>0</v>
      </c>
      <c r="O149" s="682">
        <v>0</v>
      </c>
      <c r="P149" s="682">
        <v>0</v>
      </c>
      <c r="Q149" s="682">
        <v>0</v>
      </c>
      <c r="R149" s="682">
        <v>0</v>
      </c>
      <c r="S149" s="682">
        <v>0</v>
      </c>
      <c r="T149" s="682">
        <v>0</v>
      </c>
      <c r="U149" s="682">
        <v>0</v>
      </c>
      <c r="V149" s="682">
        <v>0</v>
      </c>
      <c r="W149" s="683">
        <v>0</v>
      </c>
      <c r="X149" s="683">
        <v>0</v>
      </c>
      <c r="Y149" s="683">
        <v>0</v>
      </c>
      <c r="Z149" s="683">
        <v>0</v>
      </c>
      <c r="AA149" s="683">
        <v>0</v>
      </c>
      <c r="AB149" s="683">
        <v>0</v>
      </c>
      <c r="AC149" s="683">
        <v>0</v>
      </c>
      <c r="AD149" s="683">
        <v>0</v>
      </c>
      <c r="AE149" s="683">
        <v>0</v>
      </c>
      <c r="AF149" s="683">
        <v>0</v>
      </c>
      <c r="AG149" s="790">
        <v>0</v>
      </c>
      <c r="AH149" s="781">
        <v>0</v>
      </c>
      <c r="AI149" s="781">
        <v>0</v>
      </c>
      <c r="AJ149" s="781">
        <v>0</v>
      </c>
      <c r="AK149" s="781">
        <v>0</v>
      </c>
      <c r="AL149" s="781">
        <v>0</v>
      </c>
      <c r="AM149" s="819">
        <v>0</v>
      </c>
    </row>
    <row r="150" spans="1:39" ht="15" customHeight="1">
      <c r="A150" s="663" t="s">
        <v>899</v>
      </c>
      <c r="B150" s="682">
        <v>0</v>
      </c>
      <c r="C150" s="682">
        <v>0</v>
      </c>
      <c r="D150" s="682">
        <v>0</v>
      </c>
      <c r="E150" s="682">
        <v>0</v>
      </c>
      <c r="F150" s="682">
        <v>0</v>
      </c>
      <c r="G150" s="682">
        <v>0</v>
      </c>
      <c r="H150" s="682">
        <v>0</v>
      </c>
      <c r="I150" s="682">
        <v>0</v>
      </c>
      <c r="J150" s="682">
        <v>0</v>
      </c>
      <c r="K150" s="682">
        <v>0</v>
      </c>
      <c r="L150" s="682">
        <v>0</v>
      </c>
      <c r="M150" s="682">
        <v>0</v>
      </c>
      <c r="N150" s="682">
        <v>0</v>
      </c>
      <c r="O150" s="682">
        <v>0</v>
      </c>
      <c r="P150" s="682">
        <v>0</v>
      </c>
      <c r="Q150" s="682">
        <v>0</v>
      </c>
      <c r="R150" s="682">
        <v>0</v>
      </c>
      <c r="S150" s="682">
        <v>0</v>
      </c>
      <c r="T150" s="682">
        <v>0</v>
      </c>
      <c r="U150" s="682">
        <v>0</v>
      </c>
      <c r="V150" s="682">
        <v>0</v>
      </c>
      <c r="W150" s="683">
        <v>0</v>
      </c>
      <c r="X150" s="683">
        <v>0</v>
      </c>
      <c r="Y150" s="683">
        <v>0</v>
      </c>
      <c r="Z150" s="683">
        <v>0</v>
      </c>
      <c r="AA150" s="683">
        <v>0</v>
      </c>
      <c r="AB150" s="683">
        <v>0</v>
      </c>
      <c r="AC150" s="683">
        <v>0</v>
      </c>
      <c r="AD150" s="683">
        <v>0</v>
      </c>
      <c r="AE150" s="683">
        <v>0</v>
      </c>
      <c r="AF150" s="683">
        <v>0</v>
      </c>
      <c r="AG150" s="790">
        <v>0</v>
      </c>
      <c r="AH150" s="781">
        <v>0</v>
      </c>
      <c r="AI150" s="781">
        <v>0</v>
      </c>
      <c r="AJ150" s="781">
        <v>0</v>
      </c>
      <c r="AK150" s="781">
        <v>0</v>
      </c>
      <c r="AL150" s="781">
        <v>0</v>
      </c>
      <c r="AM150" s="819">
        <v>0</v>
      </c>
    </row>
    <row r="151" spans="1:39" ht="15" customHeight="1">
      <c r="A151" s="663" t="s">
        <v>900</v>
      </c>
      <c r="B151" s="682">
        <v>0</v>
      </c>
      <c r="C151" s="682">
        <v>0</v>
      </c>
      <c r="D151" s="682">
        <v>0</v>
      </c>
      <c r="E151" s="682">
        <v>0</v>
      </c>
      <c r="F151" s="682">
        <v>0</v>
      </c>
      <c r="G151" s="682">
        <v>0</v>
      </c>
      <c r="H151" s="682">
        <v>0</v>
      </c>
      <c r="I151" s="682">
        <v>0</v>
      </c>
      <c r="J151" s="682">
        <v>0</v>
      </c>
      <c r="K151" s="682">
        <v>0</v>
      </c>
      <c r="L151" s="682">
        <v>0</v>
      </c>
      <c r="M151" s="682">
        <v>0</v>
      </c>
      <c r="N151" s="682">
        <v>0</v>
      </c>
      <c r="O151" s="682">
        <v>0</v>
      </c>
      <c r="P151" s="682">
        <v>0</v>
      </c>
      <c r="Q151" s="682">
        <v>0</v>
      </c>
      <c r="R151" s="682">
        <v>0</v>
      </c>
      <c r="S151" s="682">
        <v>0</v>
      </c>
      <c r="T151" s="682">
        <v>0</v>
      </c>
      <c r="U151" s="682">
        <v>0</v>
      </c>
      <c r="V151" s="682">
        <v>0</v>
      </c>
      <c r="W151" s="683">
        <v>0</v>
      </c>
      <c r="X151" s="683">
        <v>0</v>
      </c>
      <c r="Y151" s="683">
        <v>0</v>
      </c>
      <c r="Z151" s="683">
        <v>0</v>
      </c>
      <c r="AA151" s="683">
        <v>0</v>
      </c>
      <c r="AB151" s="683">
        <v>0</v>
      </c>
      <c r="AC151" s="683">
        <v>0</v>
      </c>
      <c r="AD151" s="683">
        <v>0</v>
      </c>
      <c r="AE151" s="683">
        <v>0</v>
      </c>
      <c r="AF151" s="683">
        <v>0</v>
      </c>
      <c r="AG151" s="790">
        <v>0</v>
      </c>
      <c r="AH151" s="781">
        <v>0</v>
      </c>
      <c r="AI151" s="781">
        <v>0</v>
      </c>
      <c r="AJ151" s="781">
        <v>0</v>
      </c>
      <c r="AK151" s="781">
        <v>0</v>
      </c>
      <c r="AL151" s="781">
        <v>0</v>
      </c>
      <c r="AM151" s="819">
        <v>0</v>
      </c>
    </row>
    <row r="152" spans="1:39" ht="15" customHeight="1">
      <c r="A152" s="663" t="s">
        <v>901</v>
      </c>
      <c r="B152" s="682">
        <v>0</v>
      </c>
      <c r="C152" s="682">
        <v>0</v>
      </c>
      <c r="D152" s="682">
        <v>0</v>
      </c>
      <c r="E152" s="682">
        <v>0</v>
      </c>
      <c r="F152" s="682">
        <v>0</v>
      </c>
      <c r="G152" s="682">
        <v>0</v>
      </c>
      <c r="H152" s="682">
        <v>0</v>
      </c>
      <c r="I152" s="682">
        <v>0</v>
      </c>
      <c r="J152" s="682">
        <v>0</v>
      </c>
      <c r="K152" s="682">
        <v>0</v>
      </c>
      <c r="L152" s="682">
        <v>0</v>
      </c>
      <c r="M152" s="682">
        <v>0</v>
      </c>
      <c r="N152" s="682">
        <v>0</v>
      </c>
      <c r="O152" s="682">
        <v>0</v>
      </c>
      <c r="P152" s="682">
        <v>0</v>
      </c>
      <c r="Q152" s="682">
        <v>0</v>
      </c>
      <c r="R152" s="682">
        <v>0</v>
      </c>
      <c r="S152" s="682">
        <v>0</v>
      </c>
      <c r="T152" s="682">
        <v>0</v>
      </c>
      <c r="U152" s="682">
        <v>0</v>
      </c>
      <c r="V152" s="682">
        <v>0</v>
      </c>
      <c r="W152" s="683">
        <v>0</v>
      </c>
      <c r="X152" s="683">
        <v>0</v>
      </c>
      <c r="Y152" s="683">
        <v>0</v>
      </c>
      <c r="Z152" s="683">
        <v>0</v>
      </c>
      <c r="AA152" s="683">
        <v>0</v>
      </c>
      <c r="AB152" s="683">
        <v>0</v>
      </c>
      <c r="AC152" s="683">
        <v>0</v>
      </c>
      <c r="AD152" s="683">
        <v>0</v>
      </c>
      <c r="AE152" s="683">
        <v>0</v>
      </c>
      <c r="AF152" s="683">
        <v>0</v>
      </c>
      <c r="AG152" s="790">
        <v>0</v>
      </c>
      <c r="AH152" s="781">
        <v>0</v>
      </c>
      <c r="AI152" s="781">
        <v>0</v>
      </c>
      <c r="AJ152" s="781">
        <v>0</v>
      </c>
      <c r="AK152" s="781">
        <v>0</v>
      </c>
      <c r="AL152" s="781">
        <v>0</v>
      </c>
      <c r="AM152" s="819">
        <v>0</v>
      </c>
    </row>
    <row r="153" spans="1:39" ht="15" customHeight="1">
      <c r="A153" s="663" t="s">
        <v>902</v>
      </c>
      <c r="B153" s="682">
        <v>0</v>
      </c>
      <c r="C153" s="682">
        <v>0</v>
      </c>
      <c r="D153" s="682">
        <v>0</v>
      </c>
      <c r="E153" s="682">
        <v>0</v>
      </c>
      <c r="F153" s="682">
        <v>0</v>
      </c>
      <c r="G153" s="682">
        <v>0</v>
      </c>
      <c r="H153" s="682">
        <v>0</v>
      </c>
      <c r="I153" s="682">
        <v>0</v>
      </c>
      <c r="J153" s="682">
        <v>0</v>
      </c>
      <c r="K153" s="682">
        <v>0</v>
      </c>
      <c r="L153" s="682">
        <v>0</v>
      </c>
      <c r="M153" s="682">
        <v>0</v>
      </c>
      <c r="N153" s="682">
        <v>0</v>
      </c>
      <c r="O153" s="682">
        <v>0</v>
      </c>
      <c r="P153" s="682">
        <v>0</v>
      </c>
      <c r="Q153" s="682">
        <v>0</v>
      </c>
      <c r="R153" s="682">
        <v>0</v>
      </c>
      <c r="S153" s="682">
        <v>0</v>
      </c>
      <c r="T153" s="682">
        <v>0</v>
      </c>
      <c r="U153" s="682">
        <v>0</v>
      </c>
      <c r="V153" s="682">
        <v>0</v>
      </c>
      <c r="W153" s="683">
        <v>0</v>
      </c>
      <c r="X153" s="683">
        <v>0</v>
      </c>
      <c r="Y153" s="683">
        <v>0</v>
      </c>
      <c r="Z153" s="683">
        <v>0</v>
      </c>
      <c r="AA153" s="683">
        <v>0</v>
      </c>
      <c r="AB153" s="683">
        <v>0</v>
      </c>
      <c r="AC153" s="683">
        <v>0</v>
      </c>
      <c r="AD153" s="683">
        <v>0</v>
      </c>
      <c r="AE153" s="683">
        <v>0</v>
      </c>
      <c r="AF153" s="683">
        <v>0</v>
      </c>
      <c r="AG153" s="790">
        <v>0</v>
      </c>
      <c r="AH153" s="781">
        <v>0</v>
      </c>
      <c r="AI153" s="781">
        <v>0</v>
      </c>
      <c r="AJ153" s="781">
        <v>0</v>
      </c>
      <c r="AK153" s="781">
        <v>0</v>
      </c>
      <c r="AL153" s="781">
        <v>0</v>
      </c>
      <c r="AM153" s="819">
        <v>0</v>
      </c>
    </row>
    <row r="154" spans="1:39" ht="15" customHeight="1">
      <c r="A154" s="663" t="s">
        <v>903</v>
      </c>
      <c r="B154" s="682">
        <v>0</v>
      </c>
      <c r="C154" s="682">
        <v>0</v>
      </c>
      <c r="D154" s="682">
        <v>0</v>
      </c>
      <c r="E154" s="682">
        <v>0</v>
      </c>
      <c r="F154" s="682">
        <v>0</v>
      </c>
      <c r="G154" s="682">
        <v>0</v>
      </c>
      <c r="H154" s="682">
        <v>0</v>
      </c>
      <c r="I154" s="682">
        <v>0</v>
      </c>
      <c r="J154" s="682">
        <v>0</v>
      </c>
      <c r="K154" s="682">
        <v>0</v>
      </c>
      <c r="L154" s="682">
        <v>0</v>
      </c>
      <c r="M154" s="682">
        <v>0</v>
      </c>
      <c r="N154" s="682">
        <v>0</v>
      </c>
      <c r="O154" s="682">
        <v>0</v>
      </c>
      <c r="P154" s="682">
        <v>0</v>
      </c>
      <c r="Q154" s="682">
        <v>0</v>
      </c>
      <c r="R154" s="682">
        <v>0</v>
      </c>
      <c r="S154" s="682">
        <v>0</v>
      </c>
      <c r="T154" s="682">
        <v>0</v>
      </c>
      <c r="U154" s="682">
        <v>0</v>
      </c>
      <c r="V154" s="682">
        <v>0</v>
      </c>
      <c r="W154" s="683">
        <v>0</v>
      </c>
      <c r="X154" s="683">
        <v>0</v>
      </c>
      <c r="Y154" s="683">
        <v>0</v>
      </c>
      <c r="Z154" s="683">
        <v>0</v>
      </c>
      <c r="AA154" s="683">
        <v>0</v>
      </c>
      <c r="AB154" s="683">
        <v>0</v>
      </c>
      <c r="AC154" s="683">
        <v>0</v>
      </c>
      <c r="AD154" s="683">
        <v>0</v>
      </c>
      <c r="AE154" s="683">
        <v>0</v>
      </c>
      <c r="AF154" s="683">
        <v>0</v>
      </c>
      <c r="AG154" s="790">
        <v>0</v>
      </c>
      <c r="AH154" s="781">
        <v>0</v>
      </c>
      <c r="AI154" s="781">
        <v>0</v>
      </c>
      <c r="AJ154" s="781">
        <v>0</v>
      </c>
      <c r="AK154" s="781">
        <v>0</v>
      </c>
      <c r="AL154" s="781">
        <v>0</v>
      </c>
      <c r="AM154" s="819">
        <v>0</v>
      </c>
    </row>
    <row r="155" spans="1:39" ht="15" customHeight="1">
      <c r="A155" s="663" t="s">
        <v>904</v>
      </c>
      <c r="B155" s="682">
        <v>0</v>
      </c>
      <c r="C155" s="682">
        <v>0</v>
      </c>
      <c r="D155" s="682">
        <v>0</v>
      </c>
      <c r="E155" s="682">
        <v>0</v>
      </c>
      <c r="F155" s="682">
        <v>0</v>
      </c>
      <c r="G155" s="682">
        <v>0</v>
      </c>
      <c r="H155" s="682">
        <v>0</v>
      </c>
      <c r="I155" s="682">
        <v>0</v>
      </c>
      <c r="J155" s="682">
        <v>0</v>
      </c>
      <c r="K155" s="682">
        <v>0</v>
      </c>
      <c r="L155" s="682">
        <v>0</v>
      </c>
      <c r="M155" s="682">
        <v>0</v>
      </c>
      <c r="N155" s="682">
        <v>0</v>
      </c>
      <c r="O155" s="682">
        <v>0</v>
      </c>
      <c r="P155" s="682">
        <v>0</v>
      </c>
      <c r="Q155" s="682">
        <v>0</v>
      </c>
      <c r="R155" s="682">
        <v>0</v>
      </c>
      <c r="S155" s="682">
        <v>0</v>
      </c>
      <c r="T155" s="682">
        <v>0</v>
      </c>
      <c r="U155" s="682">
        <v>0</v>
      </c>
      <c r="V155" s="682">
        <v>0</v>
      </c>
      <c r="W155" s="683">
        <v>0</v>
      </c>
      <c r="X155" s="683">
        <v>0</v>
      </c>
      <c r="Y155" s="683">
        <v>0</v>
      </c>
      <c r="Z155" s="683">
        <v>0</v>
      </c>
      <c r="AA155" s="683">
        <v>0</v>
      </c>
      <c r="AB155" s="683">
        <v>0</v>
      </c>
      <c r="AC155" s="683">
        <v>0</v>
      </c>
      <c r="AD155" s="683">
        <v>0</v>
      </c>
      <c r="AE155" s="683">
        <v>0</v>
      </c>
      <c r="AF155" s="683">
        <v>0</v>
      </c>
      <c r="AG155" s="790">
        <v>0</v>
      </c>
      <c r="AH155" s="781">
        <v>0</v>
      </c>
      <c r="AI155" s="781">
        <v>0</v>
      </c>
      <c r="AJ155" s="781">
        <v>0</v>
      </c>
      <c r="AK155" s="781">
        <v>0</v>
      </c>
      <c r="AL155" s="781">
        <v>0</v>
      </c>
      <c r="AM155" s="819">
        <v>0</v>
      </c>
    </row>
    <row r="156" spans="1:39" ht="15" customHeight="1">
      <c r="A156" s="663" t="s">
        <v>905</v>
      </c>
      <c r="B156" s="682">
        <v>0</v>
      </c>
      <c r="C156" s="682">
        <v>0</v>
      </c>
      <c r="D156" s="682">
        <v>0</v>
      </c>
      <c r="E156" s="682">
        <v>0</v>
      </c>
      <c r="F156" s="682">
        <v>0</v>
      </c>
      <c r="G156" s="682">
        <v>0</v>
      </c>
      <c r="H156" s="682">
        <v>0</v>
      </c>
      <c r="I156" s="682">
        <v>0</v>
      </c>
      <c r="J156" s="682">
        <v>0</v>
      </c>
      <c r="K156" s="682">
        <v>0</v>
      </c>
      <c r="L156" s="682">
        <v>0</v>
      </c>
      <c r="M156" s="682">
        <v>0</v>
      </c>
      <c r="N156" s="682">
        <v>0</v>
      </c>
      <c r="O156" s="682">
        <v>0</v>
      </c>
      <c r="P156" s="682">
        <v>0</v>
      </c>
      <c r="Q156" s="682">
        <v>0</v>
      </c>
      <c r="R156" s="682">
        <v>0</v>
      </c>
      <c r="S156" s="682">
        <v>0</v>
      </c>
      <c r="T156" s="682">
        <v>0</v>
      </c>
      <c r="U156" s="682">
        <v>0</v>
      </c>
      <c r="V156" s="682">
        <v>0</v>
      </c>
      <c r="W156" s="683">
        <v>0</v>
      </c>
      <c r="X156" s="683">
        <v>0</v>
      </c>
      <c r="Y156" s="683">
        <v>0</v>
      </c>
      <c r="Z156" s="683">
        <v>0</v>
      </c>
      <c r="AA156" s="683">
        <v>0</v>
      </c>
      <c r="AB156" s="683">
        <v>0</v>
      </c>
      <c r="AC156" s="683">
        <v>0</v>
      </c>
      <c r="AD156" s="683">
        <v>0</v>
      </c>
      <c r="AE156" s="683">
        <v>0</v>
      </c>
      <c r="AF156" s="683">
        <v>0</v>
      </c>
      <c r="AG156" s="790">
        <v>0</v>
      </c>
      <c r="AH156" s="781">
        <v>0</v>
      </c>
      <c r="AI156" s="781">
        <v>0</v>
      </c>
      <c r="AJ156" s="781">
        <v>0</v>
      </c>
      <c r="AK156" s="781">
        <v>0</v>
      </c>
      <c r="AL156" s="781">
        <v>0</v>
      </c>
      <c r="AM156" s="819">
        <v>0</v>
      </c>
    </row>
    <row r="157" spans="1:39" ht="15" customHeight="1">
      <c r="A157" s="663" t="s">
        <v>906</v>
      </c>
      <c r="B157" s="682">
        <v>0</v>
      </c>
      <c r="C157" s="682">
        <v>0</v>
      </c>
      <c r="D157" s="682">
        <v>0</v>
      </c>
      <c r="E157" s="682">
        <v>0</v>
      </c>
      <c r="F157" s="682">
        <v>0</v>
      </c>
      <c r="G157" s="682">
        <v>0</v>
      </c>
      <c r="H157" s="682">
        <v>0</v>
      </c>
      <c r="I157" s="682">
        <v>0</v>
      </c>
      <c r="J157" s="682">
        <v>0</v>
      </c>
      <c r="K157" s="682">
        <v>0</v>
      </c>
      <c r="L157" s="682">
        <v>0</v>
      </c>
      <c r="M157" s="682">
        <v>0</v>
      </c>
      <c r="N157" s="682">
        <v>0</v>
      </c>
      <c r="O157" s="682">
        <v>0</v>
      </c>
      <c r="P157" s="682">
        <v>0</v>
      </c>
      <c r="Q157" s="682">
        <v>0</v>
      </c>
      <c r="R157" s="682">
        <v>0</v>
      </c>
      <c r="S157" s="682">
        <v>0</v>
      </c>
      <c r="T157" s="682">
        <v>0</v>
      </c>
      <c r="U157" s="682">
        <v>0</v>
      </c>
      <c r="V157" s="682">
        <v>0</v>
      </c>
      <c r="W157" s="683">
        <v>0</v>
      </c>
      <c r="X157" s="683">
        <v>0</v>
      </c>
      <c r="Y157" s="683">
        <v>0</v>
      </c>
      <c r="Z157" s="683">
        <v>0</v>
      </c>
      <c r="AA157" s="683">
        <v>0</v>
      </c>
      <c r="AB157" s="683">
        <v>0</v>
      </c>
      <c r="AC157" s="683">
        <v>0</v>
      </c>
      <c r="AD157" s="683">
        <v>0</v>
      </c>
      <c r="AE157" s="683">
        <v>0</v>
      </c>
      <c r="AF157" s="683">
        <v>0</v>
      </c>
      <c r="AG157" s="790">
        <v>0</v>
      </c>
      <c r="AH157" s="781">
        <v>0</v>
      </c>
      <c r="AI157" s="781">
        <v>0</v>
      </c>
      <c r="AJ157" s="781">
        <v>0</v>
      </c>
      <c r="AK157" s="781">
        <v>0</v>
      </c>
      <c r="AL157" s="781">
        <v>0</v>
      </c>
      <c r="AM157" s="819">
        <v>0</v>
      </c>
    </row>
    <row r="158" spans="1:39" ht="15" customHeight="1">
      <c r="A158" s="663" t="s">
        <v>907</v>
      </c>
      <c r="B158" s="682">
        <v>0</v>
      </c>
      <c r="C158" s="682">
        <v>0</v>
      </c>
      <c r="D158" s="682">
        <v>0</v>
      </c>
      <c r="E158" s="682">
        <v>0</v>
      </c>
      <c r="F158" s="682">
        <v>0</v>
      </c>
      <c r="G158" s="682">
        <v>0</v>
      </c>
      <c r="H158" s="682">
        <v>0</v>
      </c>
      <c r="I158" s="682">
        <v>0</v>
      </c>
      <c r="J158" s="682">
        <v>0</v>
      </c>
      <c r="K158" s="682">
        <v>0</v>
      </c>
      <c r="L158" s="682">
        <v>0</v>
      </c>
      <c r="M158" s="682">
        <v>0</v>
      </c>
      <c r="N158" s="682">
        <v>0</v>
      </c>
      <c r="O158" s="682">
        <v>0</v>
      </c>
      <c r="P158" s="682">
        <v>0</v>
      </c>
      <c r="Q158" s="682">
        <v>0</v>
      </c>
      <c r="R158" s="682">
        <v>0</v>
      </c>
      <c r="S158" s="682">
        <v>0</v>
      </c>
      <c r="T158" s="682">
        <v>0</v>
      </c>
      <c r="U158" s="682">
        <v>0</v>
      </c>
      <c r="V158" s="682">
        <v>0</v>
      </c>
      <c r="W158" s="683">
        <v>0</v>
      </c>
      <c r="X158" s="683">
        <v>0</v>
      </c>
      <c r="Y158" s="683">
        <v>0</v>
      </c>
      <c r="Z158" s="683">
        <v>0</v>
      </c>
      <c r="AA158" s="683">
        <v>0</v>
      </c>
      <c r="AB158" s="683">
        <v>0</v>
      </c>
      <c r="AC158" s="683">
        <v>0</v>
      </c>
      <c r="AD158" s="683">
        <v>0</v>
      </c>
      <c r="AE158" s="683">
        <v>0</v>
      </c>
      <c r="AF158" s="683">
        <v>0</v>
      </c>
      <c r="AG158" s="790">
        <v>0</v>
      </c>
      <c r="AH158" s="781">
        <v>0</v>
      </c>
      <c r="AI158" s="781">
        <v>0</v>
      </c>
      <c r="AJ158" s="781">
        <v>0</v>
      </c>
      <c r="AK158" s="781">
        <v>0</v>
      </c>
      <c r="AL158" s="781">
        <v>0</v>
      </c>
      <c r="AM158" s="819">
        <v>0</v>
      </c>
    </row>
    <row r="159" spans="1:39" ht="15" customHeight="1">
      <c r="A159" s="663" t="s">
        <v>908</v>
      </c>
      <c r="B159" s="682">
        <v>0</v>
      </c>
      <c r="C159" s="682">
        <v>0</v>
      </c>
      <c r="D159" s="682">
        <v>0</v>
      </c>
      <c r="E159" s="682">
        <v>0</v>
      </c>
      <c r="F159" s="682">
        <v>0</v>
      </c>
      <c r="G159" s="682">
        <v>0</v>
      </c>
      <c r="H159" s="682">
        <v>0</v>
      </c>
      <c r="I159" s="682">
        <v>0</v>
      </c>
      <c r="J159" s="682">
        <v>0</v>
      </c>
      <c r="K159" s="682">
        <v>0</v>
      </c>
      <c r="L159" s="682">
        <v>0</v>
      </c>
      <c r="M159" s="682">
        <v>0</v>
      </c>
      <c r="N159" s="682">
        <v>0</v>
      </c>
      <c r="O159" s="682">
        <v>0</v>
      </c>
      <c r="P159" s="682">
        <v>0</v>
      </c>
      <c r="Q159" s="682">
        <v>0</v>
      </c>
      <c r="R159" s="682">
        <v>0</v>
      </c>
      <c r="S159" s="682">
        <v>0</v>
      </c>
      <c r="T159" s="682">
        <v>0</v>
      </c>
      <c r="U159" s="682">
        <v>0</v>
      </c>
      <c r="V159" s="682">
        <v>0</v>
      </c>
      <c r="W159" s="683">
        <v>0</v>
      </c>
      <c r="X159" s="683">
        <v>0</v>
      </c>
      <c r="Y159" s="683">
        <v>0</v>
      </c>
      <c r="Z159" s="683">
        <v>0</v>
      </c>
      <c r="AA159" s="683">
        <v>0</v>
      </c>
      <c r="AB159" s="683">
        <v>0</v>
      </c>
      <c r="AC159" s="683">
        <v>0</v>
      </c>
      <c r="AD159" s="683">
        <v>0</v>
      </c>
      <c r="AE159" s="683">
        <v>0</v>
      </c>
      <c r="AF159" s="683">
        <v>0</v>
      </c>
      <c r="AG159" s="790">
        <v>2550</v>
      </c>
      <c r="AH159" s="781">
        <v>0</v>
      </c>
      <c r="AI159" s="781">
        <v>0</v>
      </c>
      <c r="AJ159" s="781">
        <v>0</v>
      </c>
      <c r="AK159" s="781">
        <v>0</v>
      </c>
      <c r="AL159" s="781">
        <v>0</v>
      </c>
      <c r="AM159" s="819">
        <v>0</v>
      </c>
    </row>
    <row r="160" spans="1:39" ht="15" customHeight="1">
      <c r="A160" s="663" t="s">
        <v>909</v>
      </c>
      <c r="B160" s="682">
        <v>0</v>
      </c>
      <c r="C160" s="682">
        <v>0</v>
      </c>
      <c r="D160" s="682">
        <v>0</v>
      </c>
      <c r="E160" s="682">
        <v>0</v>
      </c>
      <c r="F160" s="682">
        <v>0</v>
      </c>
      <c r="G160" s="682">
        <v>0</v>
      </c>
      <c r="H160" s="682">
        <v>0</v>
      </c>
      <c r="I160" s="682">
        <v>0</v>
      </c>
      <c r="J160" s="682">
        <v>0</v>
      </c>
      <c r="K160" s="682">
        <v>0</v>
      </c>
      <c r="L160" s="682">
        <v>0</v>
      </c>
      <c r="M160" s="682">
        <v>0</v>
      </c>
      <c r="N160" s="682">
        <v>0</v>
      </c>
      <c r="O160" s="682">
        <v>0</v>
      </c>
      <c r="P160" s="682">
        <v>0</v>
      </c>
      <c r="Q160" s="682">
        <v>0</v>
      </c>
      <c r="R160" s="682">
        <v>0</v>
      </c>
      <c r="S160" s="682">
        <v>0</v>
      </c>
      <c r="T160" s="682">
        <v>0</v>
      </c>
      <c r="U160" s="682">
        <v>0</v>
      </c>
      <c r="V160" s="682">
        <v>0</v>
      </c>
      <c r="W160" s="683">
        <v>0</v>
      </c>
      <c r="X160" s="683">
        <v>0</v>
      </c>
      <c r="Y160" s="683">
        <v>0</v>
      </c>
      <c r="Z160" s="683">
        <v>0</v>
      </c>
      <c r="AA160" s="683">
        <v>0</v>
      </c>
      <c r="AB160" s="683">
        <v>0</v>
      </c>
      <c r="AC160" s="683">
        <v>0</v>
      </c>
      <c r="AD160" s="683">
        <v>0</v>
      </c>
      <c r="AE160" s="683">
        <v>0</v>
      </c>
      <c r="AF160" s="683">
        <v>0</v>
      </c>
      <c r="AG160" s="790">
        <v>2100</v>
      </c>
      <c r="AH160" s="781">
        <v>0</v>
      </c>
      <c r="AI160" s="781">
        <v>0</v>
      </c>
      <c r="AJ160" s="781">
        <v>0</v>
      </c>
      <c r="AK160" s="781">
        <v>0</v>
      </c>
      <c r="AL160" s="781">
        <v>0</v>
      </c>
      <c r="AM160" s="819">
        <v>0</v>
      </c>
    </row>
    <row r="161" spans="1:39" ht="15" customHeight="1">
      <c r="A161" s="663" t="s">
        <v>910</v>
      </c>
      <c r="B161" s="682">
        <v>3000</v>
      </c>
      <c r="C161" s="682">
        <v>437</v>
      </c>
      <c r="D161" s="682">
        <v>421</v>
      </c>
      <c r="E161" s="682">
        <v>380</v>
      </c>
      <c r="F161" s="682">
        <v>330</v>
      </c>
      <c r="G161" s="682">
        <v>237</v>
      </c>
      <c r="H161" s="682">
        <v>140</v>
      </c>
      <c r="I161" s="682">
        <v>140</v>
      </c>
      <c r="J161" s="682">
        <v>140</v>
      </c>
      <c r="K161" s="682">
        <v>140</v>
      </c>
      <c r="L161" s="682">
        <v>140</v>
      </c>
      <c r="M161" s="682">
        <v>235</v>
      </c>
      <c r="N161" s="682">
        <v>415</v>
      </c>
      <c r="O161" s="682">
        <v>575</v>
      </c>
      <c r="P161" s="682">
        <v>695</v>
      </c>
      <c r="Q161" s="682">
        <v>878</v>
      </c>
      <c r="R161" s="682">
        <v>1035</v>
      </c>
      <c r="S161" s="682">
        <v>1035</v>
      </c>
      <c r="T161" s="682">
        <v>1035</v>
      </c>
      <c r="U161" s="682">
        <v>1035</v>
      </c>
      <c r="V161" s="682">
        <v>1035</v>
      </c>
      <c r="W161" s="683">
        <v>0.199827354166667</v>
      </c>
      <c r="X161" s="683">
        <v>0.297470486979167</v>
      </c>
      <c r="Y161" s="683">
        <v>0.313279166666667</v>
      </c>
      <c r="Z161" s="683">
        <v>0.29751791666666699</v>
      </c>
      <c r="AA161" s="683">
        <v>0.226744378</v>
      </c>
      <c r="AB161" s="683">
        <v>9.8682937499999998E-2</v>
      </c>
      <c r="AC161" s="683">
        <v>9.8682937499999998E-2</v>
      </c>
      <c r="AD161" s="683">
        <v>9.8682937499999998E-2</v>
      </c>
      <c r="AE161" s="683">
        <v>9.8682937499999998E-2</v>
      </c>
      <c r="AF161" s="683">
        <v>9.8682937499999998E-2</v>
      </c>
      <c r="AG161" s="790">
        <v>3600</v>
      </c>
      <c r="AH161" s="781">
        <v>700</v>
      </c>
      <c r="AI161" s="781">
        <v>629.28</v>
      </c>
      <c r="AJ161" s="781">
        <v>7.6222222222222227</v>
      </c>
      <c r="AK161" s="781">
        <v>1242</v>
      </c>
      <c r="AL161" s="781">
        <v>54.833333333333336</v>
      </c>
      <c r="AM161" s="819">
        <v>0.313279166666667</v>
      </c>
    </row>
    <row r="162" spans="1:39" ht="15" customHeight="1">
      <c r="A162" s="663" t="s">
        <v>911</v>
      </c>
      <c r="B162" s="682">
        <v>0</v>
      </c>
      <c r="C162" s="682">
        <v>0</v>
      </c>
      <c r="D162" s="682">
        <v>0</v>
      </c>
      <c r="E162" s="682">
        <v>0</v>
      </c>
      <c r="F162" s="682">
        <v>0</v>
      </c>
      <c r="G162" s="682">
        <v>0</v>
      </c>
      <c r="H162" s="682">
        <v>0</v>
      </c>
      <c r="I162" s="682">
        <v>0</v>
      </c>
      <c r="J162" s="682">
        <v>0</v>
      </c>
      <c r="K162" s="682">
        <v>0</v>
      </c>
      <c r="L162" s="682">
        <v>0</v>
      </c>
      <c r="M162" s="682">
        <v>0</v>
      </c>
      <c r="N162" s="682">
        <v>0</v>
      </c>
      <c r="O162" s="682">
        <v>0</v>
      </c>
      <c r="P162" s="682">
        <v>0</v>
      </c>
      <c r="Q162" s="682">
        <v>0</v>
      </c>
      <c r="R162" s="682">
        <v>0</v>
      </c>
      <c r="S162" s="682">
        <v>0</v>
      </c>
      <c r="T162" s="682">
        <v>0</v>
      </c>
      <c r="U162" s="682">
        <v>0</v>
      </c>
      <c r="V162" s="682">
        <v>0</v>
      </c>
      <c r="W162" s="683">
        <v>0</v>
      </c>
      <c r="X162" s="683">
        <v>0</v>
      </c>
      <c r="Y162" s="683">
        <v>0</v>
      </c>
      <c r="Z162" s="683">
        <v>0</v>
      </c>
      <c r="AA162" s="683">
        <v>0</v>
      </c>
      <c r="AB162" s="683">
        <v>0</v>
      </c>
      <c r="AC162" s="683">
        <v>0</v>
      </c>
      <c r="AD162" s="683">
        <v>0</v>
      </c>
      <c r="AE162" s="683">
        <v>0</v>
      </c>
      <c r="AF162" s="683">
        <v>0</v>
      </c>
      <c r="AG162" s="790">
        <v>3600</v>
      </c>
      <c r="AH162" s="781">
        <v>0</v>
      </c>
      <c r="AI162" s="781">
        <v>0</v>
      </c>
      <c r="AJ162" s="781">
        <v>0</v>
      </c>
      <c r="AK162" s="781">
        <v>0</v>
      </c>
      <c r="AL162" s="781">
        <v>0</v>
      </c>
      <c r="AM162" s="819">
        <v>0</v>
      </c>
    </row>
    <row r="163" spans="1:39" ht="15" customHeight="1">
      <c r="A163" s="663" t="s">
        <v>912</v>
      </c>
      <c r="B163" s="682">
        <v>3000</v>
      </c>
      <c r="C163" s="682">
        <v>433</v>
      </c>
      <c r="D163" s="682">
        <v>435</v>
      </c>
      <c r="E163" s="682">
        <v>424</v>
      </c>
      <c r="F163" s="682">
        <v>400</v>
      </c>
      <c r="G163" s="682">
        <v>362</v>
      </c>
      <c r="H163" s="682">
        <v>320</v>
      </c>
      <c r="I163" s="682">
        <v>320</v>
      </c>
      <c r="J163" s="682">
        <v>320</v>
      </c>
      <c r="K163" s="682">
        <v>320</v>
      </c>
      <c r="L163" s="682">
        <v>320</v>
      </c>
      <c r="M163" s="682">
        <v>400</v>
      </c>
      <c r="N163" s="682">
        <v>530</v>
      </c>
      <c r="O163" s="682">
        <v>675</v>
      </c>
      <c r="P163" s="682">
        <v>805</v>
      </c>
      <c r="Q163" s="682">
        <v>917</v>
      </c>
      <c r="R163" s="682">
        <v>1000</v>
      </c>
      <c r="S163" s="682">
        <v>1000</v>
      </c>
      <c r="T163" s="682">
        <v>1000</v>
      </c>
      <c r="U163" s="682">
        <v>1000</v>
      </c>
      <c r="V163" s="682">
        <v>1000</v>
      </c>
      <c r="W163" s="683">
        <v>0.47182566666666698</v>
      </c>
      <c r="X163" s="683">
        <v>0.52338052083333297</v>
      </c>
      <c r="Y163" s="683">
        <v>0.59973576923076899</v>
      </c>
      <c r="Z163" s="683">
        <v>0.626558333333333</v>
      </c>
      <c r="AA163" s="683">
        <v>0.64592715833333303</v>
      </c>
      <c r="AB163" s="683">
        <v>0.58115555555555598</v>
      </c>
      <c r="AC163" s="683">
        <v>0.58115555555555598</v>
      </c>
      <c r="AD163" s="683">
        <v>0.58115555555555598</v>
      </c>
      <c r="AE163" s="683">
        <v>0.58115555555555598</v>
      </c>
      <c r="AF163" s="683">
        <v>0.58115555555555598</v>
      </c>
      <c r="AG163" s="790">
        <v>3600</v>
      </c>
      <c r="AH163" s="781">
        <v>700</v>
      </c>
      <c r="AI163" s="781">
        <v>626.4</v>
      </c>
      <c r="AJ163" s="781">
        <v>17.422222222222224</v>
      </c>
      <c r="AK163" s="781">
        <v>1200</v>
      </c>
      <c r="AL163" s="781">
        <v>93.333333333333329</v>
      </c>
      <c r="AM163" s="819">
        <v>0.64592715833333303</v>
      </c>
    </row>
    <row r="164" spans="1:39" ht="15" customHeight="1">
      <c r="A164" s="663" t="s">
        <v>913</v>
      </c>
      <c r="B164" s="682">
        <v>0</v>
      </c>
      <c r="C164" s="682">
        <v>0</v>
      </c>
      <c r="D164" s="682">
        <v>0</v>
      </c>
      <c r="E164" s="682">
        <v>0</v>
      </c>
      <c r="F164" s="682">
        <v>0</v>
      </c>
      <c r="G164" s="682">
        <v>0</v>
      </c>
      <c r="H164" s="682">
        <v>0</v>
      </c>
      <c r="I164" s="682">
        <v>0</v>
      </c>
      <c r="J164" s="682">
        <v>0</v>
      </c>
      <c r="K164" s="682">
        <v>0</v>
      </c>
      <c r="L164" s="682">
        <v>0</v>
      </c>
      <c r="M164" s="682">
        <v>0</v>
      </c>
      <c r="N164" s="682">
        <v>0</v>
      </c>
      <c r="O164" s="682">
        <v>0</v>
      </c>
      <c r="P164" s="682">
        <v>0</v>
      </c>
      <c r="Q164" s="682">
        <v>0</v>
      </c>
      <c r="R164" s="682">
        <v>0</v>
      </c>
      <c r="S164" s="682">
        <v>0</v>
      </c>
      <c r="T164" s="682">
        <v>0</v>
      </c>
      <c r="U164" s="682">
        <v>0</v>
      </c>
      <c r="V164" s="682">
        <v>0</v>
      </c>
      <c r="W164" s="683">
        <v>0</v>
      </c>
      <c r="X164" s="683">
        <v>0</v>
      </c>
      <c r="Y164" s="683">
        <v>0</v>
      </c>
      <c r="Z164" s="683">
        <v>0</v>
      </c>
      <c r="AA164" s="683">
        <v>0</v>
      </c>
      <c r="AB164" s="683">
        <v>0</v>
      </c>
      <c r="AC164" s="683">
        <v>0</v>
      </c>
      <c r="AD164" s="683">
        <v>0</v>
      </c>
      <c r="AE164" s="683">
        <v>0</v>
      </c>
      <c r="AF164" s="683">
        <v>0</v>
      </c>
      <c r="AG164" s="790">
        <v>3600</v>
      </c>
      <c r="AH164" s="781">
        <v>0</v>
      </c>
      <c r="AI164" s="781">
        <v>0</v>
      </c>
      <c r="AJ164" s="781">
        <v>0</v>
      </c>
      <c r="AK164" s="781">
        <v>0</v>
      </c>
      <c r="AL164" s="781">
        <v>0</v>
      </c>
      <c r="AM164" s="819">
        <v>0</v>
      </c>
    </row>
    <row r="165" spans="1:39" ht="15" customHeight="1">
      <c r="A165" s="663" t="s">
        <v>914</v>
      </c>
      <c r="B165" s="682">
        <v>0</v>
      </c>
      <c r="C165" s="682">
        <v>0</v>
      </c>
      <c r="D165" s="682">
        <v>0</v>
      </c>
      <c r="E165" s="682">
        <v>0</v>
      </c>
      <c r="F165" s="682">
        <v>0</v>
      </c>
      <c r="G165" s="682">
        <v>0</v>
      </c>
      <c r="H165" s="682">
        <v>0</v>
      </c>
      <c r="I165" s="682">
        <v>0</v>
      </c>
      <c r="J165" s="682">
        <v>0</v>
      </c>
      <c r="K165" s="682">
        <v>0</v>
      </c>
      <c r="L165" s="682">
        <v>0</v>
      </c>
      <c r="M165" s="682">
        <v>0</v>
      </c>
      <c r="N165" s="682">
        <v>0</v>
      </c>
      <c r="O165" s="682">
        <v>0</v>
      </c>
      <c r="P165" s="682">
        <v>0</v>
      </c>
      <c r="Q165" s="682">
        <v>0</v>
      </c>
      <c r="R165" s="682">
        <v>0</v>
      </c>
      <c r="S165" s="682">
        <v>0</v>
      </c>
      <c r="T165" s="682">
        <v>0</v>
      </c>
      <c r="U165" s="682">
        <v>0</v>
      </c>
      <c r="V165" s="682">
        <v>0</v>
      </c>
      <c r="W165" s="683">
        <v>0</v>
      </c>
      <c r="X165" s="683">
        <v>0</v>
      </c>
      <c r="Y165" s="683">
        <v>0</v>
      </c>
      <c r="Z165" s="683">
        <v>0</v>
      </c>
      <c r="AA165" s="683">
        <v>0</v>
      </c>
      <c r="AB165" s="683">
        <v>0</v>
      </c>
      <c r="AC165" s="683">
        <v>0</v>
      </c>
      <c r="AD165" s="683">
        <v>0</v>
      </c>
      <c r="AE165" s="683">
        <v>0</v>
      </c>
      <c r="AF165" s="683">
        <v>0</v>
      </c>
      <c r="AG165" s="790">
        <v>3600</v>
      </c>
      <c r="AH165" s="781">
        <v>0</v>
      </c>
      <c r="AI165" s="781">
        <v>0</v>
      </c>
      <c r="AJ165" s="781">
        <v>0</v>
      </c>
      <c r="AK165" s="781">
        <v>0</v>
      </c>
      <c r="AL165" s="781">
        <v>0</v>
      </c>
      <c r="AM165" s="819">
        <v>0</v>
      </c>
    </row>
    <row r="166" spans="1:39" ht="15" customHeight="1">
      <c r="A166" s="663" t="s">
        <v>915</v>
      </c>
      <c r="B166" s="682">
        <v>3000</v>
      </c>
      <c r="C166" s="682">
        <v>421.74</v>
      </c>
      <c r="D166" s="682">
        <v>435</v>
      </c>
      <c r="E166" s="682">
        <v>424</v>
      </c>
      <c r="F166" s="682">
        <v>379</v>
      </c>
      <c r="G166" s="682">
        <v>287</v>
      </c>
      <c r="H166" s="682">
        <v>170</v>
      </c>
      <c r="I166" s="682">
        <v>170</v>
      </c>
      <c r="J166" s="682">
        <v>170</v>
      </c>
      <c r="K166" s="682">
        <v>170</v>
      </c>
      <c r="L166" s="682">
        <v>170</v>
      </c>
      <c r="M166" s="682">
        <v>313.42104268858498</v>
      </c>
      <c r="N166" s="682">
        <v>630</v>
      </c>
      <c r="O166" s="682">
        <v>938</v>
      </c>
      <c r="P166" s="682">
        <v>1245</v>
      </c>
      <c r="Q166" s="682">
        <v>1550</v>
      </c>
      <c r="R166" s="682">
        <v>1800</v>
      </c>
      <c r="S166" s="682">
        <v>1800</v>
      </c>
      <c r="T166" s="682">
        <v>1800</v>
      </c>
      <c r="U166" s="682">
        <v>1800</v>
      </c>
      <c r="V166" s="682">
        <v>1800</v>
      </c>
      <c r="W166" s="683">
        <v>0.36008631740554098</v>
      </c>
      <c r="X166" s="683">
        <v>0.55300583333333297</v>
      </c>
      <c r="Y166" s="683">
        <v>0.63731398431372599</v>
      </c>
      <c r="Z166" s="683">
        <v>0.59786588953488395</v>
      </c>
      <c r="AA166" s="683">
        <v>0.440671106060606</v>
      </c>
      <c r="AB166" s="683">
        <v>0.20839874999999999</v>
      </c>
      <c r="AC166" s="683">
        <v>0.20839874999999999</v>
      </c>
      <c r="AD166" s="683">
        <v>0.20839874999999999</v>
      </c>
      <c r="AE166" s="683">
        <v>0.20839874999999999</v>
      </c>
      <c r="AF166" s="683">
        <v>0.20839874999999999</v>
      </c>
      <c r="AG166" s="790">
        <v>3600</v>
      </c>
      <c r="AH166" s="781">
        <v>700</v>
      </c>
      <c r="AI166" s="781">
        <v>626.4</v>
      </c>
      <c r="AJ166" s="781">
        <v>9.2555555555555564</v>
      </c>
      <c r="AK166" s="781">
        <v>2160</v>
      </c>
      <c r="AL166" s="781">
        <v>73.131576627336571</v>
      </c>
      <c r="AM166" s="819">
        <v>0.63731398431372599</v>
      </c>
    </row>
    <row r="167" spans="1:39" ht="15" customHeight="1">
      <c r="A167" s="663" t="s">
        <v>916</v>
      </c>
      <c r="B167" s="682">
        <v>3000</v>
      </c>
      <c r="C167" s="682">
        <v>408</v>
      </c>
      <c r="D167" s="682">
        <v>401</v>
      </c>
      <c r="E167" s="682">
        <v>392</v>
      </c>
      <c r="F167" s="682">
        <v>380</v>
      </c>
      <c r="G167" s="682">
        <v>362</v>
      </c>
      <c r="H167" s="682">
        <v>340</v>
      </c>
      <c r="I167" s="682">
        <v>340</v>
      </c>
      <c r="J167" s="682">
        <v>340</v>
      </c>
      <c r="K167" s="682">
        <v>340</v>
      </c>
      <c r="L167" s="682">
        <v>340</v>
      </c>
      <c r="M167" s="682">
        <v>1330</v>
      </c>
      <c r="N167" s="682">
        <v>1550</v>
      </c>
      <c r="O167" s="682">
        <v>1750</v>
      </c>
      <c r="P167" s="682">
        <v>1950</v>
      </c>
      <c r="Q167" s="682">
        <v>2150</v>
      </c>
      <c r="R167" s="682">
        <v>2365</v>
      </c>
      <c r="S167" s="682">
        <v>2365</v>
      </c>
      <c r="T167" s="682">
        <v>2365</v>
      </c>
      <c r="U167" s="682">
        <v>2365</v>
      </c>
      <c r="V167" s="682">
        <v>2365</v>
      </c>
      <c r="W167" s="683">
        <v>0.54749696296296302</v>
      </c>
      <c r="X167" s="683">
        <v>0.59410729532163697</v>
      </c>
      <c r="Y167" s="683">
        <v>0.62292611111111096</v>
      </c>
      <c r="Z167" s="683">
        <v>0.62884968847351996</v>
      </c>
      <c r="AA167" s="683">
        <v>0.61455620772946895</v>
      </c>
      <c r="AB167" s="683">
        <v>0.576448004385965</v>
      </c>
      <c r="AC167" s="683">
        <v>0.576448004385965</v>
      </c>
      <c r="AD167" s="683">
        <v>0.576448004385965</v>
      </c>
      <c r="AE167" s="683">
        <v>0.576448004385965</v>
      </c>
      <c r="AF167" s="683">
        <v>0.576448004385965</v>
      </c>
      <c r="AG167" s="790">
        <v>3600</v>
      </c>
      <c r="AH167" s="781">
        <v>700</v>
      </c>
      <c r="AI167" s="781">
        <v>587.52</v>
      </c>
      <c r="AJ167" s="781">
        <v>18.511111111111113</v>
      </c>
      <c r="AK167" s="781">
        <v>2838</v>
      </c>
      <c r="AL167" s="781">
        <v>310.33333333333331</v>
      </c>
      <c r="AM167" s="819">
        <v>0.62884968847351996</v>
      </c>
    </row>
    <row r="168" spans="1:39" ht="15" customHeight="1">
      <c r="A168" s="663" t="s">
        <v>917</v>
      </c>
      <c r="B168" s="682">
        <v>3000</v>
      </c>
      <c r="C168" s="682">
        <v>452</v>
      </c>
      <c r="D168" s="682">
        <v>445</v>
      </c>
      <c r="E168" s="682">
        <v>435</v>
      </c>
      <c r="F168" s="682">
        <v>423</v>
      </c>
      <c r="G168" s="682">
        <v>405</v>
      </c>
      <c r="H168" s="682">
        <v>385</v>
      </c>
      <c r="I168" s="682">
        <v>385</v>
      </c>
      <c r="J168" s="682">
        <v>385</v>
      </c>
      <c r="K168" s="682">
        <v>385</v>
      </c>
      <c r="L168" s="682">
        <v>385</v>
      </c>
      <c r="M168" s="682">
        <v>1570</v>
      </c>
      <c r="N168" s="682">
        <v>1850</v>
      </c>
      <c r="O168" s="682">
        <v>2115</v>
      </c>
      <c r="P168" s="682">
        <v>2370</v>
      </c>
      <c r="Q168" s="682">
        <v>2640</v>
      </c>
      <c r="R168" s="682">
        <v>2900</v>
      </c>
      <c r="S168" s="682">
        <v>2900</v>
      </c>
      <c r="T168" s="682">
        <v>2900</v>
      </c>
      <c r="U168" s="682">
        <v>2900</v>
      </c>
      <c r="V168" s="682">
        <v>2900</v>
      </c>
      <c r="W168" s="683">
        <v>0.56858165686274498</v>
      </c>
      <c r="X168" s="683">
        <v>0.62296394675925904</v>
      </c>
      <c r="Y168" s="683">
        <v>0.65955300986842103</v>
      </c>
      <c r="Z168" s="683">
        <v>0.67432205555555602</v>
      </c>
      <c r="AA168" s="683">
        <v>0.669581379310345</v>
      </c>
      <c r="AB168" s="683">
        <v>0.64713448581560296</v>
      </c>
      <c r="AC168" s="683">
        <v>0.64713448581560296</v>
      </c>
      <c r="AD168" s="683">
        <v>0.64713448581560296</v>
      </c>
      <c r="AE168" s="683">
        <v>0.64713448581560296</v>
      </c>
      <c r="AF168" s="683">
        <v>0.64713448581560296</v>
      </c>
      <c r="AG168" s="790">
        <v>3600</v>
      </c>
      <c r="AH168" s="781">
        <v>700</v>
      </c>
      <c r="AI168" s="781">
        <v>650.88</v>
      </c>
      <c r="AJ168" s="781">
        <v>20.961111111111112</v>
      </c>
      <c r="AK168" s="781">
        <v>3480</v>
      </c>
      <c r="AL168" s="781">
        <v>366.33333333333331</v>
      </c>
      <c r="AM168" s="819">
        <v>0.67432205555555602</v>
      </c>
    </row>
    <row r="169" spans="1:39" ht="15" customHeight="1">
      <c r="A169" s="663" t="s">
        <v>918</v>
      </c>
      <c r="B169" s="682">
        <v>3000</v>
      </c>
      <c r="C169" s="682">
        <v>452</v>
      </c>
      <c r="D169" s="682">
        <v>445</v>
      </c>
      <c r="E169" s="682">
        <v>435</v>
      </c>
      <c r="F169" s="682">
        <v>423</v>
      </c>
      <c r="G169" s="682">
        <v>405</v>
      </c>
      <c r="H169" s="682">
        <v>385</v>
      </c>
      <c r="I169" s="682">
        <v>385</v>
      </c>
      <c r="J169" s="682">
        <v>385</v>
      </c>
      <c r="K169" s="682">
        <v>385</v>
      </c>
      <c r="L169" s="682">
        <v>385</v>
      </c>
      <c r="M169" s="682">
        <v>1570</v>
      </c>
      <c r="N169" s="682">
        <v>1850</v>
      </c>
      <c r="O169" s="682">
        <v>2115</v>
      </c>
      <c r="P169" s="682">
        <v>2370</v>
      </c>
      <c r="Q169" s="682">
        <v>2640</v>
      </c>
      <c r="R169" s="682">
        <v>2900</v>
      </c>
      <c r="S169" s="682">
        <v>2900</v>
      </c>
      <c r="T169" s="682">
        <v>2900</v>
      </c>
      <c r="U169" s="682">
        <v>2900</v>
      </c>
      <c r="V169" s="682">
        <v>2900</v>
      </c>
      <c r="W169" s="683">
        <v>0.56858165686274498</v>
      </c>
      <c r="X169" s="683">
        <v>0.62296394675925904</v>
      </c>
      <c r="Y169" s="683">
        <v>0.65955300986842103</v>
      </c>
      <c r="Z169" s="683">
        <v>0.67432205555555602</v>
      </c>
      <c r="AA169" s="683">
        <v>0.669581379310345</v>
      </c>
      <c r="AB169" s="683">
        <v>0.64713448581560296</v>
      </c>
      <c r="AC169" s="683">
        <v>0.64713448581560296</v>
      </c>
      <c r="AD169" s="683">
        <v>0.64713448581560296</v>
      </c>
      <c r="AE169" s="683">
        <v>0.64713448581560296</v>
      </c>
      <c r="AF169" s="683">
        <v>0.64713448581560296</v>
      </c>
      <c r="AG169" s="790">
        <v>3600</v>
      </c>
      <c r="AH169" s="781">
        <v>700</v>
      </c>
      <c r="AI169" s="781">
        <v>650.88</v>
      </c>
      <c r="AJ169" s="781">
        <v>20.961111111111112</v>
      </c>
      <c r="AK169" s="781">
        <v>3480</v>
      </c>
      <c r="AL169" s="781">
        <v>366.33333333333331</v>
      </c>
      <c r="AM169" s="819">
        <v>0.67432205555555602</v>
      </c>
    </row>
    <row r="170" spans="1:39" ht="15" customHeight="1">
      <c r="A170" s="663" t="s">
        <v>919</v>
      </c>
      <c r="B170" s="682">
        <v>3000</v>
      </c>
      <c r="C170" s="682">
        <v>452</v>
      </c>
      <c r="D170" s="682">
        <v>445</v>
      </c>
      <c r="E170" s="682">
        <v>435</v>
      </c>
      <c r="F170" s="682">
        <v>423</v>
      </c>
      <c r="G170" s="682">
        <v>405</v>
      </c>
      <c r="H170" s="682">
        <v>385</v>
      </c>
      <c r="I170" s="682">
        <v>385</v>
      </c>
      <c r="J170" s="682">
        <v>385</v>
      </c>
      <c r="K170" s="682">
        <v>385</v>
      </c>
      <c r="L170" s="682">
        <v>385</v>
      </c>
      <c r="M170" s="682">
        <v>1570</v>
      </c>
      <c r="N170" s="682">
        <v>1850</v>
      </c>
      <c r="O170" s="682">
        <v>2115</v>
      </c>
      <c r="P170" s="682">
        <v>2370</v>
      </c>
      <c r="Q170" s="682">
        <v>2640</v>
      </c>
      <c r="R170" s="682">
        <v>2900</v>
      </c>
      <c r="S170" s="682">
        <v>2900</v>
      </c>
      <c r="T170" s="682">
        <v>2900</v>
      </c>
      <c r="U170" s="682">
        <v>2900</v>
      </c>
      <c r="V170" s="682">
        <v>2900</v>
      </c>
      <c r="W170" s="683">
        <v>0.56858165686274498</v>
      </c>
      <c r="X170" s="683">
        <v>0.62296394675925904</v>
      </c>
      <c r="Y170" s="683">
        <v>0.65955300986842103</v>
      </c>
      <c r="Z170" s="683">
        <v>0.67432205555555602</v>
      </c>
      <c r="AA170" s="683">
        <v>0.669581379310345</v>
      </c>
      <c r="AB170" s="683">
        <v>0.64713448581560296</v>
      </c>
      <c r="AC170" s="683">
        <v>0.64713448581560296</v>
      </c>
      <c r="AD170" s="683">
        <v>0.64713448581560296</v>
      </c>
      <c r="AE170" s="683">
        <v>0.64713448581560296</v>
      </c>
      <c r="AF170" s="683">
        <v>0.64713448581560296</v>
      </c>
      <c r="AG170" s="790">
        <v>3600</v>
      </c>
      <c r="AH170" s="781">
        <v>700</v>
      </c>
      <c r="AI170" s="781">
        <v>650.88</v>
      </c>
      <c r="AJ170" s="781">
        <v>20.961111111111112</v>
      </c>
      <c r="AK170" s="781">
        <v>3480</v>
      </c>
      <c r="AL170" s="781">
        <v>366.33333333333331</v>
      </c>
      <c r="AM170" s="819">
        <v>0.67432205555555602</v>
      </c>
    </row>
    <row r="171" spans="1:39" ht="15" customHeight="1">
      <c r="A171" s="663" t="s">
        <v>920</v>
      </c>
      <c r="B171" s="682">
        <v>3000</v>
      </c>
      <c r="C171" s="682">
        <v>565</v>
      </c>
      <c r="D171" s="682">
        <v>548</v>
      </c>
      <c r="E171" s="682">
        <v>500</v>
      </c>
      <c r="F171" s="682">
        <v>450</v>
      </c>
      <c r="G171" s="682">
        <v>390</v>
      </c>
      <c r="H171" s="682">
        <v>280</v>
      </c>
      <c r="I171" s="682">
        <v>280</v>
      </c>
      <c r="J171" s="682">
        <v>280</v>
      </c>
      <c r="K171" s="682">
        <v>280</v>
      </c>
      <c r="L171" s="682">
        <v>280</v>
      </c>
      <c r="M171" s="682">
        <v>320</v>
      </c>
      <c r="N171" s="682">
        <v>480</v>
      </c>
      <c r="O171" s="682">
        <v>632</v>
      </c>
      <c r="P171" s="682">
        <v>750</v>
      </c>
      <c r="Q171" s="682">
        <v>860</v>
      </c>
      <c r="R171" s="682">
        <v>1020</v>
      </c>
      <c r="S171" s="682">
        <v>1020</v>
      </c>
      <c r="T171" s="682">
        <v>1020</v>
      </c>
      <c r="U171" s="682">
        <v>1020</v>
      </c>
      <c r="V171" s="682">
        <v>1020</v>
      </c>
      <c r="W171" s="683">
        <v>0.27362740740740699</v>
      </c>
      <c r="X171" s="683">
        <v>0.3582824</v>
      </c>
      <c r="Y171" s="683">
        <v>0.39128939393939399</v>
      </c>
      <c r="Z171" s="683">
        <v>0.39123670212765999</v>
      </c>
      <c r="AA171" s="683">
        <v>0.36547420000000003</v>
      </c>
      <c r="AB171" s="683">
        <v>0.29923923076923098</v>
      </c>
      <c r="AC171" s="683">
        <v>0.29923923076923098</v>
      </c>
      <c r="AD171" s="683">
        <v>0.29923923076923098</v>
      </c>
      <c r="AE171" s="683">
        <v>0.29923923076923098</v>
      </c>
      <c r="AF171" s="683">
        <v>0.29923923076923098</v>
      </c>
      <c r="AG171" s="790">
        <v>3600</v>
      </c>
      <c r="AH171" s="781">
        <v>700</v>
      </c>
      <c r="AI171" s="781">
        <v>813.6</v>
      </c>
      <c r="AJ171" s="781">
        <v>15.244444444444445</v>
      </c>
      <c r="AK171" s="781">
        <v>1224</v>
      </c>
      <c r="AL171" s="781">
        <v>74.666666666666671</v>
      </c>
      <c r="AM171" s="819">
        <v>0.39128939393939399</v>
      </c>
    </row>
    <row r="172" spans="1:39" ht="15" customHeight="1">
      <c r="A172" s="663" t="s">
        <v>921</v>
      </c>
      <c r="B172" s="682">
        <v>0</v>
      </c>
      <c r="C172" s="682">
        <v>0</v>
      </c>
      <c r="D172" s="682">
        <v>0</v>
      </c>
      <c r="E172" s="682">
        <v>0</v>
      </c>
      <c r="F172" s="682">
        <v>0</v>
      </c>
      <c r="G172" s="682">
        <v>0</v>
      </c>
      <c r="H172" s="682">
        <v>0</v>
      </c>
      <c r="I172" s="682">
        <v>0</v>
      </c>
      <c r="J172" s="682">
        <v>0</v>
      </c>
      <c r="K172" s="682">
        <v>0</v>
      </c>
      <c r="L172" s="682">
        <v>0</v>
      </c>
      <c r="M172" s="682">
        <v>0</v>
      </c>
      <c r="N172" s="682">
        <v>0</v>
      </c>
      <c r="O172" s="682">
        <v>0</v>
      </c>
      <c r="P172" s="682">
        <v>0</v>
      </c>
      <c r="Q172" s="682">
        <v>0</v>
      </c>
      <c r="R172" s="682">
        <v>0</v>
      </c>
      <c r="S172" s="682">
        <v>0</v>
      </c>
      <c r="T172" s="682">
        <v>0</v>
      </c>
      <c r="U172" s="682">
        <v>0</v>
      </c>
      <c r="V172" s="682">
        <v>0</v>
      </c>
      <c r="W172" s="683">
        <v>0</v>
      </c>
      <c r="X172" s="683">
        <v>0</v>
      </c>
      <c r="Y172" s="683">
        <v>0</v>
      </c>
      <c r="Z172" s="683">
        <v>0</v>
      </c>
      <c r="AA172" s="683">
        <v>0</v>
      </c>
      <c r="AB172" s="683">
        <v>0</v>
      </c>
      <c r="AC172" s="683">
        <v>0</v>
      </c>
      <c r="AD172" s="683">
        <v>0</v>
      </c>
      <c r="AE172" s="683">
        <v>0</v>
      </c>
      <c r="AF172" s="683">
        <v>0</v>
      </c>
      <c r="AG172" s="790">
        <v>3600</v>
      </c>
      <c r="AH172" s="781">
        <v>0</v>
      </c>
      <c r="AI172" s="781">
        <v>0</v>
      </c>
      <c r="AJ172" s="781">
        <v>0</v>
      </c>
      <c r="AK172" s="781">
        <v>0</v>
      </c>
      <c r="AL172" s="781">
        <v>0</v>
      </c>
      <c r="AM172" s="819">
        <v>0</v>
      </c>
    </row>
    <row r="173" spans="1:39" ht="15" customHeight="1">
      <c r="A173" s="663" t="s">
        <v>922</v>
      </c>
      <c r="B173" s="682">
        <v>3000</v>
      </c>
      <c r="C173" s="682">
        <v>559</v>
      </c>
      <c r="D173" s="682">
        <v>527</v>
      </c>
      <c r="E173" s="682">
        <v>475</v>
      </c>
      <c r="F173" s="682">
        <v>410</v>
      </c>
      <c r="G173" s="682">
        <v>355</v>
      </c>
      <c r="H173" s="682">
        <v>305</v>
      </c>
      <c r="I173" s="682">
        <v>305</v>
      </c>
      <c r="J173" s="682">
        <v>305</v>
      </c>
      <c r="K173" s="682">
        <v>305</v>
      </c>
      <c r="L173" s="682">
        <v>305</v>
      </c>
      <c r="M173" s="682">
        <v>700</v>
      </c>
      <c r="N173" s="682">
        <v>900</v>
      </c>
      <c r="O173" s="682">
        <v>1100</v>
      </c>
      <c r="P173" s="682">
        <v>1270</v>
      </c>
      <c r="Q173" s="682">
        <v>1400</v>
      </c>
      <c r="R173" s="682">
        <v>1500</v>
      </c>
      <c r="S173" s="682">
        <v>1500</v>
      </c>
      <c r="T173" s="682">
        <v>1500</v>
      </c>
      <c r="U173" s="682">
        <v>1500</v>
      </c>
      <c r="V173" s="682">
        <v>1500</v>
      </c>
      <c r="W173" s="683">
        <v>0.36757462643678201</v>
      </c>
      <c r="X173" s="683">
        <v>0.423630245901639</v>
      </c>
      <c r="Y173" s="683">
        <v>0.43132638888888902</v>
      </c>
      <c r="Z173" s="683">
        <v>0.39957002347417803</v>
      </c>
      <c r="AA173" s="683">
        <v>0.35629232456140397</v>
      </c>
      <c r="AB173" s="683">
        <v>0.31157656249999999</v>
      </c>
      <c r="AC173" s="683">
        <v>0.31157656249999999</v>
      </c>
      <c r="AD173" s="683">
        <v>0.31157656249999999</v>
      </c>
      <c r="AE173" s="683">
        <v>0.31157656249999999</v>
      </c>
      <c r="AF173" s="683">
        <v>0.31157656249999999</v>
      </c>
      <c r="AG173" s="790">
        <v>3600</v>
      </c>
      <c r="AH173" s="781">
        <v>700</v>
      </c>
      <c r="AI173" s="781">
        <v>804.95999999999992</v>
      </c>
      <c r="AJ173" s="781">
        <v>16.605555555555558</v>
      </c>
      <c r="AK173" s="781">
        <v>1800</v>
      </c>
      <c r="AL173" s="781">
        <v>163.33333333333334</v>
      </c>
      <c r="AM173" s="819">
        <v>0.43132638888888902</v>
      </c>
    </row>
    <row r="174" spans="1:39" ht="15" customHeight="1">
      <c r="A174" s="663" t="s">
        <v>923</v>
      </c>
      <c r="B174" s="682">
        <v>0</v>
      </c>
      <c r="C174" s="682">
        <v>0</v>
      </c>
      <c r="D174" s="682">
        <v>0</v>
      </c>
      <c r="E174" s="682">
        <v>0</v>
      </c>
      <c r="F174" s="682">
        <v>0</v>
      </c>
      <c r="G174" s="682">
        <v>0</v>
      </c>
      <c r="H174" s="682">
        <v>0</v>
      </c>
      <c r="I174" s="682">
        <v>0</v>
      </c>
      <c r="J174" s="682">
        <v>0</v>
      </c>
      <c r="K174" s="682">
        <v>0</v>
      </c>
      <c r="L174" s="682">
        <v>0</v>
      </c>
      <c r="M174" s="682">
        <v>0</v>
      </c>
      <c r="N174" s="682">
        <v>0</v>
      </c>
      <c r="O174" s="682">
        <v>0</v>
      </c>
      <c r="P174" s="682">
        <v>0</v>
      </c>
      <c r="Q174" s="682">
        <v>0</v>
      </c>
      <c r="R174" s="682">
        <v>0</v>
      </c>
      <c r="S174" s="682">
        <v>0</v>
      </c>
      <c r="T174" s="682">
        <v>0</v>
      </c>
      <c r="U174" s="682">
        <v>0</v>
      </c>
      <c r="V174" s="682">
        <v>0</v>
      </c>
      <c r="W174" s="683">
        <v>0</v>
      </c>
      <c r="X174" s="683">
        <v>0</v>
      </c>
      <c r="Y174" s="683">
        <v>0</v>
      </c>
      <c r="Z174" s="683">
        <v>0</v>
      </c>
      <c r="AA174" s="683">
        <v>0</v>
      </c>
      <c r="AB174" s="683">
        <v>0</v>
      </c>
      <c r="AC174" s="683">
        <v>0</v>
      </c>
      <c r="AD174" s="683">
        <v>0</v>
      </c>
      <c r="AE174" s="683">
        <v>0</v>
      </c>
      <c r="AF174" s="683">
        <v>0</v>
      </c>
      <c r="AG174" s="562">
        <v>3600</v>
      </c>
      <c r="AH174" s="781">
        <v>0</v>
      </c>
      <c r="AI174" s="781">
        <v>0</v>
      </c>
      <c r="AJ174" s="781">
        <v>0</v>
      </c>
      <c r="AK174" s="781">
        <v>0</v>
      </c>
      <c r="AL174" s="781">
        <v>0</v>
      </c>
      <c r="AM174" s="819">
        <v>0</v>
      </c>
    </row>
    <row r="175" spans="1:39" ht="15" customHeight="1">
      <c r="A175" s="663" t="s">
        <v>924</v>
      </c>
      <c r="B175" s="682">
        <v>0</v>
      </c>
      <c r="C175" s="682">
        <v>0</v>
      </c>
      <c r="D175" s="682">
        <v>0</v>
      </c>
      <c r="E175" s="682">
        <v>0</v>
      </c>
      <c r="F175" s="682">
        <v>0</v>
      </c>
      <c r="G175" s="682">
        <v>0</v>
      </c>
      <c r="H175" s="682">
        <v>0</v>
      </c>
      <c r="I175" s="682">
        <v>0</v>
      </c>
      <c r="J175" s="682">
        <v>0</v>
      </c>
      <c r="K175" s="682">
        <v>0</v>
      </c>
      <c r="L175" s="682">
        <v>0</v>
      </c>
      <c r="M175" s="682">
        <v>0</v>
      </c>
      <c r="N175" s="682">
        <v>0</v>
      </c>
      <c r="O175" s="682">
        <v>0</v>
      </c>
      <c r="P175" s="682">
        <v>0</v>
      </c>
      <c r="Q175" s="682">
        <v>0</v>
      </c>
      <c r="R175" s="682">
        <v>0</v>
      </c>
      <c r="S175" s="682">
        <v>0</v>
      </c>
      <c r="T175" s="682">
        <v>0</v>
      </c>
      <c r="U175" s="682">
        <v>0</v>
      </c>
      <c r="V175" s="682">
        <v>0</v>
      </c>
      <c r="W175" s="683">
        <v>0</v>
      </c>
      <c r="X175" s="683">
        <v>0</v>
      </c>
      <c r="Y175" s="683">
        <v>0</v>
      </c>
      <c r="Z175" s="683">
        <v>0</v>
      </c>
      <c r="AA175" s="683">
        <v>0</v>
      </c>
      <c r="AB175" s="683">
        <v>0</v>
      </c>
      <c r="AC175" s="683">
        <v>0</v>
      </c>
      <c r="AD175" s="683">
        <v>0</v>
      </c>
      <c r="AE175" s="683">
        <v>0</v>
      </c>
      <c r="AF175" s="683">
        <v>0</v>
      </c>
      <c r="AG175" s="562">
        <v>3600</v>
      </c>
      <c r="AH175" s="781">
        <v>0</v>
      </c>
      <c r="AI175" s="781">
        <v>0</v>
      </c>
      <c r="AJ175" s="781">
        <v>0</v>
      </c>
      <c r="AK175" s="781">
        <v>0</v>
      </c>
      <c r="AL175" s="781">
        <v>0</v>
      </c>
      <c r="AM175" s="819">
        <v>0</v>
      </c>
    </row>
    <row r="176" spans="1:39" ht="15" customHeight="1">
      <c r="A176" s="663" t="s">
        <v>925</v>
      </c>
      <c r="B176" s="682">
        <v>3000</v>
      </c>
      <c r="C176" s="682">
        <v>620</v>
      </c>
      <c r="D176" s="682">
        <v>610</v>
      </c>
      <c r="E176" s="682">
        <v>585</v>
      </c>
      <c r="F176" s="682">
        <v>540</v>
      </c>
      <c r="G176" s="682">
        <v>460</v>
      </c>
      <c r="H176" s="682">
        <v>310</v>
      </c>
      <c r="I176" s="682">
        <v>310</v>
      </c>
      <c r="J176" s="682">
        <v>310</v>
      </c>
      <c r="K176" s="682">
        <v>310</v>
      </c>
      <c r="L176" s="682">
        <v>310</v>
      </c>
      <c r="M176" s="682">
        <v>1250</v>
      </c>
      <c r="N176" s="682">
        <v>1625</v>
      </c>
      <c r="O176" s="682">
        <v>2000</v>
      </c>
      <c r="P176" s="682">
        <v>2325</v>
      </c>
      <c r="Q176" s="682">
        <v>2625</v>
      </c>
      <c r="R176" s="682">
        <v>3000</v>
      </c>
      <c r="S176" s="682">
        <v>3000</v>
      </c>
      <c r="T176" s="682">
        <v>3000</v>
      </c>
      <c r="U176" s="682">
        <v>3000</v>
      </c>
      <c r="V176" s="682">
        <v>3000</v>
      </c>
      <c r="W176" s="683">
        <v>0.62094975490196103</v>
      </c>
      <c r="X176" s="683">
        <v>0.710613212719298</v>
      </c>
      <c r="Y176" s="683">
        <v>0.72438068181818205</v>
      </c>
      <c r="Z176" s="683">
        <v>0.67062573529411795</v>
      </c>
      <c r="AA176" s="683">
        <v>0.56714331896551695</v>
      </c>
      <c r="AB176" s="683">
        <v>0.361925</v>
      </c>
      <c r="AC176" s="683">
        <v>0.361925</v>
      </c>
      <c r="AD176" s="683">
        <v>0.361925</v>
      </c>
      <c r="AE176" s="683">
        <v>0.361925</v>
      </c>
      <c r="AF176" s="683">
        <v>0.361925</v>
      </c>
      <c r="AG176" s="790">
        <v>3600</v>
      </c>
      <c r="AH176" s="781">
        <v>700</v>
      </c>
      <c r="AI176" s="781">
        <v>892.8</v>
      </c>
      <c r="AJ176" s="781">
        <v>16.87777777777778</v>
      </c>
      <c r="AK176" s="781">
        <v>3600</v>
      </c>
      <c r="AL176" s="781">
        <v>291.66666666666669</v>
      </c>
      <c r="AM176" s="819">
        <v>0.72438068181818205</v>
      </c>
    </row>
    <row r="177" spans="1:39" ht="15" customHeight="1">
      <c r="A177" s="663" t="s">
        <v>926</v>
      </c>
      <c r="B177" s="682">
        <v>3000</v>
      </c>
      <c r="C177" s="682">
        <v>565</v>
      </c>
      <c r="D177" s="682">
        <v>550</v>
      </c>
      <c r="E177" s="682">
        <v>525.5</v>
      </c>
      <c r="F177" s="682">
        <v>487</v>
      </c>
      <c r="G177" s="682">
        <v>440</v>
      </c>
      <c r="H177" s="682">
        <v>387</v>
      </c>
      <c r="I177" s="682">
        <v>387</v>
      </c>
      <c r="J177" s="682">
        <v>387</v>
      </c>
      <c r="K177" s="682">
        <v>387</v>
      </c>
      <c r="L177" s="682">
        <v>387</v>
      </c>
      <c r="M177" s="682">
        <v>1440</v>
      </c>
      <c r="N177" s="682">
        <v>1750</v>
      </c>
      <c r="O177" s="682">
        <v>2025</v>
      </c>
      <c r="P177" s="682">
        <v>2300</v>
      </c>
      <c r="Q177" s="682">
        <v>2535</v>
      </c>
      <c r="R177" s="682">
        <v>2753</v>
      </c>
      <c r="S177" s="682">
        <v>2753</v>
      </c>
      <c r="T177" s="682">
        <v>2753</v>
      </c>
      <c r="U177" s="682">
        <v>2753</v>
      </c>
      <c r="V177" s="682">
        <v>2753</v>
      </c>
      <c r="W177" s="683">
        <v>0.47157063829787199</v>
      </c>
      <c r="X177" s="683">
        <v>0.51920998349835001</v>
      </c>
      <c r="Y177" s="683">
        <v>0.53683109375000004</v>
      </c>
      <c r="Z177" s="683">
        <v>0.52609294540229901</v>
      </c>
      <c r="AA177" s="683">
        <v>0.49812057377049201</v>
      </c>
      <c r="AB177" s="683">
        <v>0.45349330195312498</v>
      </c>
      <c r="AC177" s="683">
        <v>0.45349330195312498</v>
      </c>
      <c r="AD177" s="683">
        <v>0.45349330195312498</v>
      </c>
      <c r="AE177" s="683">
        <v>0.45349330195312498</v>
      </c>
      <c r="AF177" s="683">
        <v>0.45349330195312498</v>
      </c>
      <c r="AG177" s="790">
        <v>3600</v>
      </c>
      <c r="AH177" s="781">
        <v>700</v>
      </c>
      <c r="AI177" s="781">
        <v>813.6</v>
      </c>
      <c r="AJ177" s="781">
        <v>21.07</v>
      </c>
      <c r="AK177" s="781">
        <v>3303.6</v>
      </c>
      <c r="AL177" s="781">
        <v>336</v>
      </c>
      <c r="AM177" s="819">
        <v>0.53683109375000004</v>
      </c>
    </row>
    <row r="178" spans="1:39" s="634" customFormat="1" ht="15" customHeight="1">
      <c r="A178" s="663" t="s">
        <v>927</v>
      </c>
      <c r="B178" s="682">
        <v>3000</v>
      </c>
      <c r="C178" s="682">
        <v>581</v>
      </c>
      <c r="D178" s="682">
        <v>574</v>
      </c>
      <c r="E178" s="682">
        <v>555</v>
      </c>
      <c r="F178" s="682">
        <v>530</v>
      </c>
      <c r="G178" s="682">
        <v>500</v>
      </c>
      <c r="H178" s="682">
        <v>470</v>
      </c>
      <c r="I178" s="682">
        <v>470</v>
      </c>
      <c r="J178" s="682">
        <v>470</v>
      </c>
      <c r="K178" s="682">
        <v>470</v>
      </c>
      <c r="L178" s="682">
        <v>470</v>
      </c>
      <c r="M178" s="682">
        <v>2125</v>
      </c>
      <c r="N178" s="682">
        <v>2562.5</v>
      </c>
      <c r="O178" s="682">
        <v>3000</v>
      </c>
      <c r="P178" s="682">
        <v>3420</v>
      </c>
      <c r="Q178" s="682">
        <v>3812.5</v>
      </c>
      <c r="R178" s="682">
        <v>4135</v>
      </c>
      <c r="S178" s="682">
        <v>4135</v>
      </c>
      <c r="T178" s="682">
        <v>4135</v>
      </c>
      <c r="U178" s="682">
        <v>4135</v>
      </c>
      <c r="V178" s="682">
        <v>4135</v>
      </c>
      <c r="W178" s="683">
        <v>0.56055404513888896</v>
      </c>
      <c r="X178" s="683">
        <v>0.60710737058080799</v>
      </c>
      <c r="Y178" s="683">
        <v>0.63436888111888101</v>
      </c>
      <c r="Z178" s="683">
        <v>0.63713864516129004</v>
      </c>
      <c r="AA178" s="683">
        <v>0.62565574799196799</v>
      </c>
      <c r="AB178" s="683">
        <v>0.60162292140151497</v>
      </c>
      <c r="AC178" s="683">
        <v>0.60162292140151497</v>
      </c>
      <c r="AD178" s="683">
        <v>0.60162292140151497</v>
      </c>
      <c r="AE178" s="683">
        <v>0.60162292140151497</v>
      </c>
      <c r="AF178" s="683">
        <v>0.60162292140151497</v>
      </c>
      <c r="AG178" s="790">
        <v>3600</v>
      </c>
      <c r="AH178" s="781">
        <v>700</v>
      </c>
      <c r="AI178" s="781">
        <v>836.64</v>
      </c>
      <c r="AJ178" s="781">
        <v>25.588888888888892</v>
      </c>
      <c r="AK178" s="781">
        <v>4962</v>
      </c>
      <c r="AL178" s="781">
        <v>495.83333333333331</v>
      </c>
      <c r="AM178" s="819">
        <v>0.63713864516129004</v>
      </c>
    </row>
    <row r="179" spans="1:39" s="634" customFormat="1" ht="15" customHeight="1">
      <c r="A179" s="663" t="s">
        <v>928</v>
      </c>
      <c r="B179" s="682">
        <v>3000</v>
      </c>
      <c r="C179" s="682">
        <v>780</v>
      </c>
      <c r="D179" s="682">
        <v>785</v>
      </c>
      <c r="E179" s="682">
        <v>772</v>
      </c>
      <c r="F179" s="682">
        <v>733</v>
      </c>
      <c r="G179" s="682">
        <v>673</v>
      </c>
      <c r="H179" s="682">
        <v>620</v>
      </c>
      <c r="I179" s="682">
        <v>620</v>
      </c>
      <c r="J179" s="682">
        <v>620</v>
      </c>
      <c r="K179" s="682">
        <v>620</v>
      </c>
      <c r="L179" s="682">
        <v>620</v>
      </c>
      <c r="M179" s="682">
        <v>383</v>
      </c>
      <c r="N179" s="682">
        <v>563</v>
      </c>
      <c r="O179" s="682">
        <v>785</v>
      </c>
      <c r="P179" s="682">
        <v>968</v>
      </c>
      <c r="Q179" s="682">
        <v>1150</v>
      </c>
      <c r="R179" s="682">
        <v>1300</v>
      </c>
      <c r="S179" s="682">
        <v>1300</v>
      </c>
      <c r="T179" s="682">
        <v>1300</v>
      </c>
      <c r="U179" s="682">
        <v>1300</v>
      </c>
      <c r="V179" s="682">
        <v>1300</v>
      </c>
      <c r="W179" s="683">
        <v>0.406908775</v>
      </c>
      <c r="X179" s="683">
        <v>0.52346046920289901</v>
      </c>
      <c r="Y179" s="683">
        <v>0.66035979333333295</v>
      </c>
      <c r="Z179" s="683">
        <v>0.69032718333333298</v>
      </c>
      <c r="AA179" s="683">
        <v>0.638899633838384</v>
      </c>
      <c r="AB179" s="683">
        <v>0.54891958333333302</v>
      </c>
      <c r="AC179" s="683">
        <v>0.54891958333333302</v>
      </c>
      <c r="AD179" s="683">
        <v>0.54891958333333302</v>
      </c>
      <c r="AE179" s="683">
        <v>0.54891958333333302</v>
      </c>
      <c r="AF179" s="683">
        <v>0.54891958333333302</v>
      </c>
      <c r="AG179" s="790">
        <v>3600</v>
      </c>
      <c r="AH179" s="781">
        <v>700</v>
      </c>
      <c r="AI179" s="781">
        <v>1130.3999999999999</v>
      </c>
      <c r="AJ179" s="781">
        <v>33.75555555555556</v>
      </c>
      <c r="AK179" s="781">
        <v>1560</v>
      </c>
      <c r="AL179" s="781">
        <v>89.366666666666674</v>
      </c>
      <c r="AM179" s="819">
        <v>0.69032718333333298</v>
      </c>
    </row>
    <row r="180" spans="1:39" ht="15" customHeight="1">
      <c r="A180" s="663" t="s">
        <v>929</v>
      </c>
      <c r="B180" s="682">
        <v>0</v>
      </c>
      <c r="C180" s="682">
        <v>0</v>
      </c>
      <c r="D180" s="682">
        <v>0</v>
      </c>
      <c r="E180" s="682">
        <v>0</v>
      </c>
      <c r="F180" s="682">
        <v>0</v>
      </c>
      <c r="G180" s="682">
        <v>0</v>
      </c>
      <c r="H180" s="682">
        <v>0</v>
      </c>
      <c r="I180" s="682">
        <v>0</v>
      </c>
      <c r="J180" s="682">
        <v>0</v>
      </c>
      <c r="K180" s="682">
        <v>0</v>
      </c>
      <c r="L180" s="682">
        <v>0</v>
      </c>
      <c r="M180" s="682">
        <v>0</v>
      </c>
      <c r="N180" s="682">
        <v>0</v>
      </c>
      <c r="O180" s="682">
        <v>0</v>
      </c>
      <c r="P180" s="682">
        <v>0</v>
      </c>
      <c r="Q180" s="682">
        <v>0</v>
      </c>
      <c r="R180" s="682">
        <v>0</v>
      </c>
      <c r="S180" s="682">
        <v>0</v>
      </c>
      <c r="T180" s="682">
        <v>0</v>
      </c>
      <c r="U180" s="682">
        <v>0</v>
      </c>
      <c r="V180" s="682">
        <v>0</v>
      </c>
      <c r="W180" s="683">
        <v>0</v>
      </c>
      <c r="X180" s="683">
        <v>0</v>
      </c>
      <c r="Y180" s="683">
        <v>0</v>
      </c>
      <c r="Z180" s="683">
        <v>0</v>
      </c>
      <c r="AA180" s="683">
        <v>0</v>
      </c>
      <c r="AB180" s="683">
        <v>0</v>
      </c>
      <c r="AC180" s="683">
        <v>0</v>
      </c>
      <c r="AD180" s="683">
        <v>0</v>
      </c>
      <c r="AE180" s="683">
        <v>0</v>
      </c>
      <c r="AF180" s="683">
        <v>0</v>
      </c>
      <c r="AG180" s="790">
        <v>3600</v>
      </c>
      <c r="AH180" s="781">
        <v>0</v>
      </c>
      <c r="AI180" s="781">
        <v>0</v>
      </c>
      <c r="AJ180" s="781">
        <v>0</v>
      </c>
      <c r="AK180" s="781">
        <v>0</v>
      </c>
      <c r="AL180" s="781">
        <v>0</v>
      </c>
      <c r="AM180" s="819">
        <v>0</v>
      </c>
    </row>
    <row r="181" spans="1:39" ht="15" customHeight="1">
      <c r="A181" s="663" t="s">
        <v>930</v>
      </c>
      <c r="B181" s="682">
        <v>0</v>
      </c>
      <c r="C181" s="682">
        <v>0</v>
      </c>
      <c r="D181" s="682">
        <v>0</v>
      </c>
      <c r="E181" s="682">
        <v>0</v>
      </c>
      <c r="F181" s="682">
        <v>0</v>
      </c>
      <c r="G181" s="682">
        <v>0</v>
      </c>
      <c r="H181" s="682">
        <v>0</v>
      </c>
      <c r="I181" s="682">
        <v>0</v>
      </c>
      <c r="J181" s="682">
        <v>0</v>
      </c>
      <c r="K181" s="682">
        <v>0</v>
      </c>
      <c r="L181" s="682">
        <v>0</v>
      </c>
      <c r="M181" s="682">
        <v>0</v>
      </c>
      <c r="N181" s="682">
        <v>0</v>
      </c>
      <c r="O181" s="682">
        <v>0</v>
      </c>
      <c r="P181" s="682">
        <v>0</v>
      </c>
      <c r="Q181" s="682">
        <v>0</v>
      </c>
      <c r="R181" s="682">
        <v>0</v>
      </c>
      <c r="S181" s="682">
        <v>0</v>
      </c>
      <c r="T181" s="682">
        <v>0</v>
      </c>
      <c r="U181" s="682">
        <v>0</v>
      </c>
      <c r="V181" s="682">
        <v>0</v>
      </c>
      <c r="W181" s="683">
        <v>0</v>
      </c>
      <c r="X181" s="683">
        <v>0</v>
      </c>
      <c r="Y181" s="683">
        <v>0</v>
      </c>
      <c r="Z181" s="683">
        <v>0</v>
      </c>
      <c r="AA181" s="683">
        <v>0</v>
      </c>
      <c r="AB181" s="683">
        <v>0</v>
      </c>
      <c r="AC181" s="683">
        <v>0</v>
      </c>
      <c r="AD181" s="683">
        <v>0</v>
      </c>
      <c r="AE181" s="683">
        <v>0</v>
      </c>
      <c r="AF181" s="683">
        <v>0</v>
      </c>
      <c r="AG181" s="790">
        <v>3600</v>
      </c>
      <c r="AH181" s="781">
        <v>0</v>
      </c>
      <c r="AI181" s="781">
        <v>0</v>
      </c>
      <c r="AJ181" s="781">
        <v>0</v>
      </c>
      <c r="AK181" s="781">
        <v>0</v>
      </c>
      <c r="AL181" s="781">
        <v>0</v>
      </c>
      <c r="AM181" s="819">
        <v>0</v>
      </c>
    </row>
    <row r="182" spans="1:39" ht="15" customHeight="1">
      <c r="A182" s="663" t="s">
        <v>931</v>
      </c>
      <c r="B182" s="682">
        <v>3000</v>
      </c>
      <c r="C182" s="682">
        <v>772</v>
      </c>
      <c r="D182" s="682">
        <v>743</v>
      </c>
      <c r="E182" s="682">
        <v>660</v>
      </c>
      <c r="F182" s="682">
        <v>540</v>
      </c>
      <c r="G182" s="682">
        <v>380</v>
      </c>
      <c r="H182" s="682">
        <v>200</v>
      </c>
      <c r="I182" s="682">
        <v>200</v>
      </c>
      <c r="J182" s="682">
        <v>200</v>
      </c>
      <c r="K182" s="682">
        <v>200</v>
      </c>
      <c r="L182" s="682">
        <v>200</v>
      </c>
      <c r="M182" s="682">
        <v>690</v>
      </c>
      <c r="N182" s="682">
        <v>1100</v>
      </c>
      <c r="O182" s="682">
        <v>1570</v>
      </c>
      <c r="P182" s="682">
        <v>1976</v>
      </c>
      <c r="Q182" s="682">
        <v>2400</v>
      </c>
      <c r="R182" s="682">
        <v>2800</v>
      </c>
      <c r="S182" s="682">
        <v>2800</v>
      </c>
      <c r="T182" s="682">
        <v>2800</v>
      </c>
      <c r="U182" s="682">
        <v>2800</v>
      </c>
      <c r="V182" s="682">
        <v>2800</v>
      </c>
      <c r="W182" s="683">
        <v>0.45347159375000001</v>
      </c>
      <c r="X182" s="683">
        <v>0.58591089912280703</v>
      </c>
      <c r="Y182" s="683">
        <v>0.65646081395348799</v>
      </c>
      <c r="Z182" s="683">
        <v>0.62511716129032302</v>
      </c>
      <c r="AA182" s="683">
        <v>0.496888</v>
      </c>
      <c r="AB182" s="683">
        <v>0.27736969696969699</v>
      </c>
      <c r="AC182" s="683">
        <v>0.27736969696969699</v>
      </c>
      <c r="AD182" s="683">
        <v>0.27736969696969699</v>
      </c>
      <c r="AE182" s="683">
        <v>0.27736969696969699</v>
      </c>
      <c r="AF182" s="683">
        <v>0.27736969696969699</v>
      </c>
      <c r="AG182" s="790">
        <v>3600</v>
      </c>
      <c r="AH182" s="781">
        <v>700</v>
      </c>
      <c r="AI182" s="781">
        <v>1111.68</v>
      </c>
      <c r="AJ182" s="781">
        <v>10.888888888888889</v>
      </c>
      <c r="AK182" s="781">
        <v>3360</v>
      </c>
      <c r="AL182" s="781">
        <v>161</v>
      </c>
      <c r="AM182" s="819">
        <v>0.65646081395348799</v>
      </c>
    </row>
    <row r="183" spans="1:39" ht="15" customHeight="1">
      <c r="A183" s="663" t="s">
        <v>932</v>
      </c>
      <c r="B183" s="682">
        <v>3000</v>
      </c>
      <c r="C183" s="682">
        <v>705</v>
      </c>
      <c r="D183" s="682">
        <v>680</v>
      </c>
      <c r="E183" s="682">
        <v>651</v>
      </c>
      <c r="F183" s="682">
        <v>623</v>
      </c>
      <c r="G183" s="682">
        <v>582</v>
      </c>
      <c r="H183" s="682">
        <v>550</v>
      </c>
      <c r="I183" s="682">
        <v>550</v>
      </c>
      <c r="J183" s="682">
        <v>550</v>
      </c>
      <c r="K183" s="682">
        <v>550</v>
      </c>
      <c r="L183" s="682">
        <v>550</v>
      </c>
      <c r="M183" s="682">
        <v>1249</v>
      </c>
      <c r="N183" s="682">
        <v>1437.5</v>
      </c>
      <c r="O183" s="682">
        <v>1625</v>
      </c>
      <c r="P183" s="682">
        <v>1800</v>
      </c>
      <c r="Q183" s="682">
        <v>2000</v>
      </c>
      <c r="R183" s="682">
        <v>2165</v>
      </c>
      <c r="S183" s="682">
        <v>2165</v>
      </c>
      <c r="T183" s="682">
        <v>2165</v>
      </c>
      <c r="U183" s="682">
        <v>2165</v>
      </c>
      <c r="V183" s="682">
        <v>2165</v>
      </c>
      <c r="W183" s="683">
        <v>0.64831117229729696</v>
      </c>
      <c r="X183" s="683">
        <v>0.70075603070175396</v>
      </c>
      <c r="Y183" s="683">
        <v>0.72957666139240496</v>
      </c>
      <c r="Z183" s="683">
        <v>0.739680508474576</v>
      </c>
      <c r="AA183" s="683">
        <v>0.72894942528735596</v>
      </c>
      <c r="AB183" s="683">
        <v>0.70517423007246405</v>
      </c>
      <c r="AC183" s="683">
        <v>0.70517423007246405</v>
      </c>
      <c r="AD183" s="683">
        <v>0.70517423007246405</v>
      </c>
      <c r="AE183" s="683">
        <v>0.70517423007246405</v>
      </c>
      <c r="AF183" s="683">
        <v>0.70517423007246405</v>
      </c>
      <c r="AG183" s="790">
        <v>3600</v>
      </c>
      <c r="AH183" s="781">
        <v>700</v>
      </c>
      <c r="AI183" s="781">
        <v>1015.1999999999999</v>
      </c>
      <c r="AJ183" s="781">
        <v>29.944444444444446</v>
      </c>
      <c r="AK183" s="781">
        <v>2598</v>
      </c>
      <c r="AL183" s="781">
        <v>291.43333333333334</v>
      </c>
      <c r="AM183" s="819">
        <v>0.739680508474576</v>
      </c>
    </row>
    <row r="184" spans="1:39" ht="15" customHeight="1">
      <c r="A184" s="663" t="s">
        <v>933</v>
      </c>
      <c r="B184" s="682">
        <v>3000</v>
      </c>
      <c r="C184" s="682">
        <v>726</v>
      </c>
      <c r="D184" s="682">
        <v>727</v>
      </c>
      <c r="E184" s="682">
        <v>699</v>
      </c>
      <c r="F184" s="682">
        <v>645</v>
      </c>
      <c r="G184" s="682">
        <v>580</v>
      </c>
      <c r="H184" s="682">
        <v>495</v>
      </c>
      <c r="I184" s="682">
        <v>495</v>
      </c>
      <c r="J184" s="682">
        <v>495</v>
      </c>
      <c r="K184" s="682">
        <v>495</v>
      </c>
      <c r="L184" s="682">
        <v>495</v>
      </c>
      <c r="M184" s="682">
        <v>1005</v>
      </c>
      <c r="N184" s="682">
        <v>1400</v>
      </c>
      <c r="O184" s="682">
        <v>1840</v>
      </c>
      <c r="P184" s="682">
        <v>2222.1999999999998</v>
      </c>
      <c r="Q184" s="682">
        <v>2550</v>
      </c>
      <c r="R184" s="682">
        <v>2875</v>
      </c>
      <c r="S184" s="682">
        <v>2875</v>
      </c>
      <c r="T184" s="682">
        <v>2875</v>
      </c>
      <c r="U184" s="682">
        <v>2875</v>
      </c>
      <c r="V184" s="682">
        <v>2875</v>
      </c>
      <c r="W184" s="683">
        <v>0.45173493749999999</v>
      </c>
      <c r="X184" s="683">
        <v>0.56584833333333295</v>
      </c>
      <c r="Y184" s="683">
        <v>0.64883596296296298</v>
      </c>
      <c r="Z184" s="683">
        <v>0.65076664041666699</v>
      </c>
      <c r="AA184" s="683">
        <v>0.63953055555555605</v>
      </c>
      <c r="AB184" s="683">
        <v>0.57012201286764697</v>
      </c>
      <c r="AC184" s="683">
        <v>0.57012201286764697</v>
      </c>
      <c r="AD184" s="683">
        <v>0.57012201286764697</v>
      </c>
      <c r="AE184" s="683">
        <v>0.57012201286764697</v>
      </c>
      <c r="AF184" s="683">
        <v>0.57012201286764697</v>
      </c>
      <c r="AG184" s="790">
        <v>3600</v>
      </c>
      <c r="AH184" s="781">
        <v>700</v>
      </c>
      <c r="AI184" s="781">
        <v>1046.8799999999999</v>
      </c>
      <c r="AJ184" s="781">
        <v>26.950000000000003</v>
      </c>
      <c r="AK184" s="781">
        <v>3450</v>
      </c>
      <c r="AL184" s="781">
        <v>234.5</v>
      </c>
      <c r="AM184" s="819">
        <v>0.65076664041666699</v>
      </c>
    </row>
    <row r="185" spans="1:39" ht="15" customHeight="1">
      <c r="A185" s="663" t="s">
        <v>934</v>
      </c>
      <c r="B185" s="682">
        <v>3000</v>
      </c>
      <c r="C185" s="682">
        <v>720</v>
      </c>
      <c r="D185" s="682">
        <v>706</v>
      </c>
      <c r="E185" s="682">
        <v>670</v>
      </c>
      <c r="F185" s="682">
        <v>620</v>
      </c>
      <c r="G185" s="682">
        <v>550</v>
      </c>
      <c r="H185" s="682">
        <v>457</v>
      </c>
      <c r="I185" s="682">
        <v>457</v>
      </c>
      <c r="J185" s="682">
        <v>457</v>
      </c>
      <c r="K185" s="682">
        <v>457</v>
      </c>
      <c r="L185" s="682">
        <v>457</v>
      </c>
      <c r="M185" s="682">
        <v>1339</v>
      </c>
      <c r="N185" s="682">
        <v>1859</v>
      </c>
      <c r="O185" s="682">
        <v>2343.75</v>
      </c>
      <c r="P185" s="682">
        <v>2812.5</v>
      </c>
      <c r="Q185" s="682">
        <v>3250</v>
      </c>
      <c r="R185" s="682">
        <v>3703.125</v>
      </c>
      <c r="S185" s="682">
        <v>3703.125</v>
      </c>
      <c r="T185" s="682">
        <v>3703.125</v>
      </c>
      <c r="U185" s="682">
        <v>3703.125</v>
      </c>
      <c r="V185" s="682">
        <v>3703.125</v>
      </c>
      <c r="W185" s="683">
        <v>0.46898475000000001</v>
      </c>
      <c r="X185" s="683">
        <v>0.56751483148148196</v>
      </c>
      <c r="Y185" s="683">
        <v>0.61996999547101495</v>
      </c>
      <c r="Z185" s="683">
        <v>0.65072131849315096</v>
      </c>
      <c r="AA185" s="683">
        <v>0.64071683114035105</v>
      </c>
      <c r="AB185" s="683">
        <v>0.61469118229166697</v>
      </c>
      <c r="AC185" s="683">
        <v>0.61469118229166697</v>
      </c>
      <c r="AD185" s="683">
        <v>0.61469118229166697</v>
      </c>
      <c r="AE185" s="683">
        <v>0.61469118229166697</v>
      </c>
      <c r="AF185" s="683">
        <v>0.61469118229166697</v>
      </c>
      <c r="AG185" s="790">
        <v>3600</v>
      </c>
      <c r="AH185" s="781">
        <v>700</v>
      </c>
      <c r="AI185" s="781">
        <v>1036.8</v>
      </c>
      <c r="AJ185" s="781">
        <v>24.881111111111114</v>
      </c>
      <c r="AK185" s="781">
        <v>4443.75</v>
      </c>
      <c r="AL185" s="781">
        <v>312.43333333333334</v>
      </c>
      <c r="AM185" s="819">
        <v>0.65072131849315096</v>
      </c>
    </row>
    <row r="186" spans="1:39" ht="15" customHeight="1">
      <c r="A186" s="663" t="s">
        <v>935</v>
      </c>
      <c r="B186" s="682">
        <v>0</v>
      </c>
      <c r="C186" s="682">
        <v>0</v>
      </c>
      <c r="D186" s="682">
        <v>0</v>
      </c>
      <c r="E186" s="682">
        <v>0</v>
      </c>
      <c r="F186" s="682">
        <v>0</v>
      </c>
      <c r="G186" s="682">
        <v>0</v>
      </c>
      <c r="H186" s="682">
        <v>0</v>
      </c>
      <c r="I186" s="682">
        <v>0</v>
      </c>
      <c r="J186" s="682">
        <v>0</v>
      </c>
      <c r="K186" s="682">
        <v>0</v>
      </c>
      <c r="L186" s="682">
        <v>0</v>
      </c>
      <c r="M186" s="682">
        <v>0</v>
      </c>
      <c r="N186" s="682">
        <v>0</v>
      </c>
      <c r="O186" s="682">
        <v>0</v>
      </c>
      <c r="P186" s="682">
        <v>0</v>
      </c>
      <c r="Q186" s="682">
        <v>0</v>
      </c>
      <c r="R186" s="682">
        <v>0</v>
      </c>
      <c r="S186" s="682">
        <v>0</v>
      </c>
      <c r="T186" s="682">
        <v>0</v>
      </c>
      <c r="U186" s="682">
        <v>0</v>
      </c>
      <c r="V186" s="682">
        <v>0</v>
      </c>
      <c r="W186" s="683">
        <v>0</v>
      </c>
      <c r="X186" s="683">
        <v>0</v>
      </c>
      <c r="Y186" s="683">
        <v>0</v>
      </c>
      <c r="Z186" s="683">
        <v>0</v>
      </c>
      <c r="AA186" s="683">
        <v>0</v>
      </c>
      <c r="AB186" s="683">
        <v>0</v>
      </c>
      <c r="AC186" s="683">
        <v>0</v>
      </c>
      <c r="AD186" s="683">
        <v>0</v>
      </c>
      <c r="AE186" s="683">
        <v>0</v>
      </c>
      <c r="AF186" s="683">
        <v>0</v>
      </c>
      <c r="AG186" s="790">
        <v>3600</v>
      </c>
      <c r="AH186" s="781">
        <v>0</v>
      </c>
      <c r="AI186" s="781">
        <v>0</v>
      </c>
      <c r="AJ186" s="781">
        <v>0</v>
      </c>
      <c r="AK186" s="781">
        <v>0</v>
      </c>
      <c r="AL186" s="781">
        <v>0</v>
      </c>
      <c r="AM186" s="819">
        <v>0</v>
      </c>
    </row>
    <row r="187" spans="1:39" ht="15" customHeight="1">
      <c r="A187" s="663" t="s">
        <v>936</v>
      </c>
      <c r="B187" s="682">
        <v>3000</v>
      </c>
      <c r="C187" s="682">
        <v>935</v>
      </c>
      <c r="D187" s="682">
        <v>958</v>
      </c>
      <c r="E187" s="682">
        <v>925</v>
      </c>
      <c r="F187" s="682">
        <v>815</v>
      </c>
      <c r="G187" s="682">
        <v>650</v>
      </c>
      <c r="H187" s="682">
        <v>425</v>
      </c>
      <c r="I187" s="682">
        <v>425</v>
      </c>
      <c r="J187" s="682">
        <v>425</v>
      </c>
      <c r="K187" s="682">
        <v>425</v>
      </c>
      <c r="L187" s="682">
        <v>425</v>
      </c>
      <c r="M187" s="682">
        <v>375</v>
      </c>
      <c r="N187" s="682">
        <v>710</v>
      </c>
      <c r="O187" s="682">
        <v>1010</v>
      </c>
      <c r="P187" s="682">
        <v>1300</v>
      </c>
      <c r="Q187" s="682">
        <v>1560</v>
      </c>
      <c r="R187" s="682">
        <v>1850</v>
      </c>
      <c r="S187" s="682">
        <v>1850</v>
      </c>
      <c r="T187" s="682">
        <v>1850</v>
      </c>
      <c r="U187" s="682">
        <v>1850</v>
      </c>
      <c r="V187" s="682">
        <v>1850</v>
      </c>
      <c r="W187" s="683">
        <v>0.27290312500000002</v>
      </c>
      <c r="X187" s="683">
        <v>0.40280949637681202</v>
      </c>
      <c r="Y187" s="683">
        <v>0.471306057098765</v>
      </c>
      <c r="Z187" s="683">
        <v>0.47315648907103802</v>
      </c>
      <c r="AA187" s="683">
        <v>0.40622132352941198</v>
      </c>
      <c r="AB187" s="683">
        <v>0.27816571969697002</v>
      </c>
      <c r="AC187" s="683">
        <v>0.27816571969697002</v>
      </c>
      <c r="AD187" s="683">
        <v>0.27816571969697002</v>
      </c>
      <c r="AE187" s="683">
        <v>0.27816571969697002</v>
      </c>
      <c r="AF187" s="683">
        <v>0.27816571969697002</v>
      </c>
      <c r="AG187" s="790">
        <v>3600</v>
      </c>
      <c r="AH187" s="781">
        <v>700</v>
      </c>
      <c r="AI187" s="781">
        <v>1379.52</v>
      </c>
      <c r="AJ187" s="781">
        <v>23.138888888888889</v>
      </c>
      <c r="AK187" s="781">
        <v>2220</v>
      </c>
      <c r="AL187" s="781">
        <v>87.5</v>
      </c>
      <c r="AM187" s="819">
        <v>0.47315648907103802</v>
      </c>
    </row>
    <row r="188" spans="1:39" ht="15" customHeight="1">
      <c r="A188" s="663" t="s">
        <v>937</v>
      </c>
      <c r="B188" s="682">
        <v>0</v>
      </c>
      <c r="C188" s="682">
        <v>0</v>
      </c>
      <c r="D188" s="682">
        <v>0</v>
      </c>
      <c r="E188" s="682">
        <v>0</v>
      </c>
      <c r="F188" s="682">
        <v>0</v>
      </c>
      <c r="G188" s="682">
        <v>0</v>
      </c>
      <c r="H188" s="682">
        <v>0</v>
      </c>
      <c r="I188" s="682">
        <v>0</v>
      </c>
      <c r="J188" s="682">
        <v>0</v>
      </c>
      <c r="K188" s="682">
        <v>0</v>
      </c>
      <c r="L188" s="682">
        <v>0</v>
      </c>
      <c r="M188" s="682">
        <v>0</v>
      </c>
      <c r="N188" s="682">
        <v>0</v>
      </c>
      <c r="O188" s="682">
        <v>0</v>
      </c>
      <c r="P188" s="682">
        <v>0</v>
      </c>
      <c r="Q188" s="682">
        <v>0</v>
      </c>
      <c r="R188" s="682">
        <v>0</v>
      </c>
      <c r="S188" s="682">
        <v>0</v>
      </c>
      <c r="T188" s="682">
        <v>0</v>
      </c>
      <c r="U188" s="682">
        <v>0</v>
      </c>
      <c r="V188" s="682">
        <v>0</v>
      </c>
      <c r="W188" s="683">
        <v>0</v>
      </c>
      <c r="X188" s="683">
        <v>0</v>
      </c>
      <c r="Y188" s="683">
        <v>0</v>
      </c>
      <c r="Z188" s="683">
        <v>0</v>
      </c>
      <c r="AA188" s="683">
        <v>0</v>
      </c>
      <c r="AB188" s="683">
        <v>0</v>
      </c>
      <c r="AC188" s="683">
        <v>0</v>
      </c>
      <c r="AD188" s="683">
        <v>0</v>
      </c>
      <c r="AE188" s="683">
        <v>0</v>
      </c>
      <c r="AF188" s="683">
        <v>0</v>
      </c>
      <c r="AG188" s="790">
        <v>3600</v>
      </c>
      <c r="AH188" s="781">
        <v>0</v>
      </c>
      <c r="AI188" s="781">
        <v>0</v>
      </c>
      <c r="AJ188" s="781">
        <v>0</v>
      </c>
      <c r="AK188" s="781">
        <v>0</v>
      </c>
      <c r="AL188" s="781">
        <v>0</v>
      </c>
      <c r="AM188" s="819">
        <v>0</v>
      </c>
    </row>
    <row r="189" spans="1:39" ht="15" customHeight="1">
      <c r="A189" s="663" t="s">
        <v>938</v>
      </c>
      <c r="B189" s="682">
        <v>0</v>
      </c>
      <c r="C189" s="682">
        <v>0</v>
      </c>
      <c r="D189" s="682">
        <v>0</v>
      </c>
      <c r="E189" s="682">
        <v>0</v>
      </c>
      <c r="F189" s="682">
        <v>0</v>
      </c>
      <c r="G189" s="682">
        <v>0</v>
      </c>
      <c r="H189" s="682">
        <v>0</v>
      </c>
      <c r="I189" s="682">
        <v>0</v>
      </c>
      <c r="J189" s="682">
        <v>0</v>
      </c>
      <c r="K189" s="682">
        <v>0</v>
      </c>
      <c r="L189" s="682">
        <v>0</v>
      </c>
      <c r="M189" s="682">
        <v>0</v>
      </c>
      <c r="N189" s="682">
        <v>0</v>
      </c>
      <c r="O189" s="682">
        <v>0</v>
      </c>
      <c r="P189" s="682">
        <v>0</v>
      </c>
      <c r="Q189" s="682">
        <v>0</v>
      </c>
      <c r="R189" s="682">
        <v>0</v>
      </c>
      <c r="S189" s="682">
        <v>0</v>
      </c>
      <c r="T189" s="682">
        <v>0</v>
      </c>
      <c r="U189" s="682">
        <v>0</v>
      </c>
      <c r="V189" s="682">
        <v>0</v>
      </c>
      <c r="W189" s="683">
        <v>0</v>
      </c>
      <c r="X189" s="683">
        <v>0</v>
      </c>
      <c r="Y189" s="683">
        <v>0</v>
      </c>
      <c r="Z189" s="683">
        <v>0</v>
      </c>
      <c r="AA189" s="683">
        <v>0</v>
      </c>
      <c r="AB189" s="683">
        <v>0</v>
      </c>
      <c r="AC189" s="683">
        <v>0</v>
      </c>
      <c r="AD189" s="683">
        <v>0</v>
      </c>
      <c r="AE189" s="683">
        <v>0</v>
      </c>
      <c r="AF189" s="683">
        <v>0</v>
      </c>
      <c r="AG189" s="790">
        <v>3600</v>
      </c>
      <c r="AH189" s="781">
        <v>0</v>
      </c>
      <c r="AI189" s="781">
        <v>0</v>
      </c>
      <c r="AJ189" s="781">
        <v>0</v>
      </c>
      <c r="AK189" s="781">
        <v>0</v>
      </c>
      <c r="AL189" s="781">
        <v>0</v>
      </c>
      <c r="AM189" s="819">
        <v>0</v>
      </c>
    </row>
    <row r="190" spans="1:39" ht="15" customHeight="1">
      <c r="A190" s="663" t="s">
        <v>939</v>
      </c>
      <c r="B190" s="682">
        <v>0</v>
      </c>
      <c r="C190" s="682">
        <v>0</v>
      </c>
      <c r="D190" s="682">
        <v>0</v>
      </c>
      <c r="E190" s="682">
        <v>0</v>
      </c>
      <c r="F190" s="682">
        <v>0</v>
      </c>
      <c r="G190" s="682">
        <v>0</v>
      </c>
      <c r="H190" s="682">
        <v>0</v>
      </c>
      <c r="I190" s="682">
        <v>0</v>
      </c>
      <c r="J190" s="682">
        <v>0</v>
      </c>
      <c r="K190" s="682">
        <v>0</v>
      </c>
      <c r="L190" s="682">
        <v>0</v>
      </c>
      <c r="M190" s="682">
        <v>0</v>
      </c>
      <c r="N190" s="682">
        <v>0</v>
      </c>
      <c r="O190" s="682">
        <v>0</v>
      </c>
      <c r="P190" s="682">
        <v>0</v>
      </c>
      <c r="Q190" s="682">
        <v>0</v>
      </c>
      <c r="R190" s="682">
        <v>0</v>
      </c>
      <c r="S190" s="682">
        <v>0</v>
      </c>
      <c r="T190" s="682">
        <v>0</v>
      </c>
      <c r="U190" s="682">
        <v>0</v>
      </c>
      <c r="V190" s="682">
        <v>0</v>
      </c>
      <c r="W190" s="683">
        <v>0</v>
      </c>
      <c r="X190" s="683">
        <v>0</v>
      </c>
      <c r="Y190" s="683">
        <v>0</v>
      </c>
      <c r="Z190" s="683">
        <v>0</v>
      </c>
      <c r="AA190" s="683">
        <v>0</v>
      </c>
      <c r="AB190" s="683">
        <v>0</v>
      </c>
      <c r="AC190" s="683">
        <v>0</v>
      </c>
      <c r="AD190" s="683">
        <v>0</v>
      </c>
      <c r="AE190" s="683">
        <v>0</v>
      </c>
      <c r="AF190" s="683">
        <v>0</v>
      </c>
      <c r="AG190" s="790">
        <v>3600</v>
      </c>
      <c r="AH190" s="781">
        <v>0</v>
      </c>
      <c r="AI190" s="781">
        <v>0</v>
      </c>
      <c r="AJ190" s="781">
        <v>0</v>
      </c>
      <c r="AK190" s="781">
        <v>0</v>
      </c>
      <c r="AL190" s="781">
        <v>0</v>
      </c>
      <c r="AM190" s="819">
        <v>0</v>
      </c>
    </row>
    <row r="191" spans="1:39" ht="15" customHeight="1">
      <c r="A191" s="663" t="s">
        <v>940</v>
      </c>
      <c r="B191" s="682">
        <v>0</v>
      </c>
      <c r="C191" s="682">
        <v>0</v>
      </c>
      <c r="D191" s="682">
        <v>0</v>
      </c>
      <c r="E191" s="682">
        <v>0</v>
      </c>
      <c r="F191" s="682">
        <v>0</v>
      </c>
      <c r="G191" s="682">
        <v>0</v>
      </c>
      <c r="H191" s="682">
        <v>0</v>
      </c>
      <c r="I191" s="682">
        <v>0</v>
      </c>
      <c r="J191" s="682">
        <v>0</v>
      </c>
      <c r="K191" s="682">
        <v>0</v>
      </c>
      <c r="L191" s="682">
        <v>0</v>
      </c>
      <c r="M191" s="682">
        <v>0</v>
      </c>
      <c r="N191" s="682">
        <v>0</v>
      </c>
      <c r="O191" s="682">
        <v>0</v>
      </c>
      <c r="P191" s="682">
        <v>0</v>
      </c>
      <c r="Q191" s="682">
        <v>0</v>
      </c>
      <c r="R191" s="682">
        <v>0</v>
      </c>
      <c r="S191" s="682">
        <v>0</v>
      </c>
      <c r="T191" s="682">
        <v>0</v>
      </c>
      <c r="U191" s="682">
        <v>0</v>
      </c>
      <c r="V191" s="682">
        <v>0</v>
      </c>
      <c r="W191" s="683">
        <v>0</v>
      </c>
      <c r="X191" s="683">
        <v>0</v>
      </c>
      <c r="Y191" s="683">
        <v>0</v>
      </c>
      <c r="Z191" s="683">
        <v>0</v>
      </c>
      <c r="AA191" s="683">
        <v>0</v>
      </c>
      <c r="AB191" s="683">
        <v>0</v>
      </c>
      <c r="AC191" s="683">
        <v>0</v>
      </c>
      <c r="AD191" s="683">
        <v>0</v>
      </c>
      <c r="AE191" s="683">
        <v>0</v>
      </c>
      <c r="AF191" s="683">
        <v>0</v>
      </c>
      <c r="AG191" s="790">
        <v>3600</v>
      </c>
      <c r="AH191" s="781">
        <v>0</v>
      </c>
      <c r="AI191" s="781">
        <v>0</v>
      </c>
      <c r="AJ191" s="781">
        <v>0</v>
      </c>
      <c r="AK191" s="781">
        <v>0</v>
      </c>
      <c r="AL191" s="781">
        <v>0</v>
      </c>
      <c r="AM191" s="819">
        <v>0</v>
      </c>
    </row>
    <row r="192" spans="1:39" ht="15" customHeight="1">
      <c r="A192" s="663" t="s">
        <v>941</v>
      </c>
      <c r="B192" s="682">
        <v>0</v>
      </c>
      <c r="C192" s="682">
        <v>0</v>
      </c>
      <c r="D192" s="682">
        <v>0</v>
      </c>
      <c r="E192" s="682">
        <v>0</v>
      </c>
      <c r="F192" s="682">
        <v>0</v>
      </c>
      <c r="G192" s="682">
        <v>0</v>
      </c>
      <c r="H192" s="682">
        <v>0</v>
      </c>
      <c r="I192" s="682">
        <v>0</v>
      </c>
      <c r="J192" s="682">
        <v>0</v>
      </c>
      <c r="K192" s="682">
        <v>0</v>
      </c>
      <c r="L192" s="682">
        <v>0</v>
      </c>
      <c r="M192" s="682">
        <v>0</v>
      </c>
      <c r="N192" s="682">
        <v>0</v>
      </c>
      <c r="O192" s="682">
        <v>0</v>
      </c>
      <c r="P192" s="682">
        <v>0</v>
      </c>
      <c r="Q192" s="682">
        <v>0</v>
      </c>
      <c r="R192" s="682">
        <v>0</v>
      </c>
      <c r="S192" s="682">
        <v>0</v>
      </c>
      <c r="T192" s="682">
        <v>0</v>
      </c>
      <c r="U192" s="682">
        <v>0</v>
      </c>
      <c r="V192" s="682">
        <v>0</v>
      </c>
      <c r="W192" s="683">
        <v>0</v>
      </c>
      <c r="X192" s="683">
        <v>0</v>
      </c>
      <c r="Y192" s="683">
        <v>0</v>
      </c>
      <c r="Z192" s="683">
        <v>0</v>
      </c>
      <c r="AA192" s="683">
        <v>0</v>
      </c>
      <c r="AB192" s="683">
        <v>0</v>
      </c>
      <c r="AC192" s="683">
        <v>0</v>
      </c>
      <c r="AD192" s="683">
        <v>0</v>
      </c>
      <c r="AE192" s="683">
        <v>0</v>
      </c>
      <c r="AF192" s="683">
        <v>0</v>
      </c>
      <c r="AG192" s="790">
        <v>3600</v>
      </c>
      <c r="AH192" s="781">
        <v>0</v>
      </c>
      <c r="AI192" s="781">
        <v>0</v>
      </c>
      <c r="AJ192" s="781">
        <v>0</v>
      </c>
      <c r="AK192" s="781">
        <v>0</v>
      </c>
      <c r="AL192" s="781">
        <v>0</v>
      </c>
      <c r="AM192" s="819">
        <v>0</v>
      </c>
    </row>
    <row r="193" spans="1:39" ht="15" customHeight="1">
      <c r="A193" s="663" t="s">
        <v>942</v>
      </c>
      <c r="B193" s="682">
        <v>3000</v>
      </c>
      <c r="C193" s="682">
        <v>1008</v>
      </c>
      <c r="D193" s="682">
        <v>1037.5</v>
      </c>
      <c r="E193" s="682">
        <v>1044</v>
      </c>
      <c r="F193" s="682">
        <v>1019</v>
      </c>
      <c r="G193" s="682">
        <v>962.5</v>
      </c>
      <c r="H193" s="682">
        <v>877.8</v>
      </c>
      <c r="I193" s="682">
        <v>877.8</v>
      </c>
      <c r="J193" s="682">
        <v>877.8</v>
      </c>
      <c r="K193" s="682">
        <v>877.8</v>
      </c>
      <c r="L193" s="682">
        <v>877.8</v>
      </c>
      <c r="M193" s="682">
        <v>238.46</v>
      </c>
      <c r="N193" s="682">
        <v>477</v>
      </c>
      <c r="O193" s="682">
        <v>715.38</v>
      </c>
      <c r="P193" s="682">
        <v>950</v>
      </c>
      <c r="Q193" s="682">
        <v>1195</v>
      </c>
      <c r="R193" s="682">
        <v>1430.76</v>
      </c>
      <c r="S193" s="682">
        <v>1430.76</v>
      </c>
      <c r="T193" s="682">
        <v>1430.76</v>
      </c>
      <c r="U193" s="682">
        <v>1430.76</v>
      </c>
      <c r="V193" s="682">
        <v>1430.76</v>
      </c>
      <c r="W193" s="683">
        <v>0.24251911911111099</v>
      </c>
      <c r="X193" s="683">
        <v>0.37448778645833303</v>
      </c>
      <c r="Y193" s="683">
        <v>0.484419567</v>
      </c>
      <c r="Z193" s="683">
        <v>0.53818970238095198</v>
      </c>
      <c r="AA193" s="683">
        <v>0.55951829427083299</v>
      </c>
      <c r="AB193" s="683">
        <v>0.54306959886666695</v>
      </c>
      <c r="AC193" s="683">
        <v>0.54306959886666695</v>
      </c>
      <c r="AD193" s="683">
        <v>0.54306959886666695</v>
      </c>
      <c r="AE193" s="683">
        <v>0.54306959886666695</v>
      </c>
      <c r="AF193" s="683">
        <v>0.54306959886666695</v>
      </c>
      <c r="AG193" s="790">
        <v>3600</v>
      </c>
      <c r="AH193" s="781">
        <v>700</v>
      </c>
      <c r="AI193" s="781">
        <v>1503.36</v>
      </c>
      <c r="AJ193" s="781">
        <v>47.791333333333334</v>
      </c>
      <c r="AK193" s="781">
        <v>1716.912</v>
      </c>
      <c r="AL193" s="781">
        <v>55.640666666666668</v>
      </c>
      <c r="AM193" s="819">
        <v>0.55951829427083299</v>
      </c>
    </row>
    <row r="194" spans="1:39" ht="15" customHeight="1">
      <c r="A194" s="663" t="s">
        <v>943</v>
      </c>
      <c r="B194" s="682">
        <v>3000</v>
      </c>
      <c r="C194" s="682">
        <v>1056.25</v>
      </c>
      <c r="D194" s="682">
        <v>1044</v>
      </c>
      <c r="E194" s="682">
        <v>990</v>
      </c>
      <c r="F194" s="682">
        <v>902</v>
      </c>
      <c r="G194" s="682">
        <v>780</v>
      </c>
      <c r="H194" s="682">
        <v>650</v>
      </c>
      <c r="I194" s="682">
        <v>650</v>
      </c>
      <c r="J194" s="682">
        <v>650</v>
      </c>
      <c r="K194" s="682">
        <v>650</v>
      </c>
      <c r="L194" s="682">
        <v>650</v>
      </c>
      <c r="M194" s="682">
        <v>466.7</v>
      </c>
      <c r="N194" s="682">
        <v>1000</v>
      </c>
      <c r="O194" s="682">
        <v>1495</v>
      </c>
      <c r="P194" s="682">
        <v>1812.5</v>
      </c>
      <c r="Q194" s="682">
        <v>2100</v>
      </c>
      <c r="R194" s="682">
        <v>2350</v>
      </c>
      <c r="S194" s="682">
        <v>2350</v>
      </c>
      <c r="T194" s="682">
        <v>2350</v>
      </c>
      <c r="U194" s="682">
        <v>2350</v>
      </c>
      <c r="V194" s="682">
        <v>2350</v>
      </c>
      <c r="W194" s="683">
        <v>0.35339028056469302</v>
      </c>
      <c r="X194" s="683">
        <v>0.55765294117647102</v>
      </c>
      <c r="Y194" s="683">
        <v>0.63998458333333297</v>
      </c>
      <c r="Z194" s="683">
        <v>0.64081611211031198</v>
      </c>
      <c r="AA194" s="683">
        <v>0.59495799999999999</v>
      </c>
      <c r="AB194" s="683">
        <v>0.52014557291666697</v>
      </c>
      <c r="AC194" s="683">
        <v>0.52014557291666697</v>
      </c>
      <c r="AD194" s="683">
        <v>0.52014557291666697</v>
      </c>
      <c r="AE194" s="683">
        <v>0.52014557291666697</v>
      </c>
      <c r="AF194" s="683">
        <v>0.52014557291666697</v>
      </c>
      <c r="AG194" s="790">
        <v>3600</v>
      </c>
      <c r="AH194" s="781">
        <v>700</v>
      </c>
      <c r="AI194" s="781">
        <v>1521</v>
      </c>
      <c r="AJ194" s="781">
        <v>35.388888888888893</v>
      </c>
      <c r="AK194" s="781">
        <v>2820</v>
      </c>
      <c r="AL194" s="781">
        <v>108.89666666666666</v>
      </c>
      <c r="AM194" s="819">
        <v>0.64081611211031198</v>
      </c>
    </row>
    <row r="195" spans="1:39" ht="15" customHeight="1">
      <c r="A195" s="663" t="s">
        <v>944</v>
      </c>
      <c r="B195" s="682">
        <v>3000</v>
      </c>
      <c r="C195" s="682">
        <v>1000</v>
      </c>
      <c r="D195" s="682">
        <v>950</v>
      </c>
      <c r="E195" s="682">
        <v>875</v>
      </c>
      <c r="F195" s="682">
        <v>785</v>
      </c>
      <c r="G195" s="682">
        <v>675</v>
      </c>
      <c r="H195" s="682">
        <v>550</v>
      </c>
      <c r="I195" s="682">
        <v>550</v>
      </c>
      <c r="J195" s="682">
        <v>550</v>
      </c>
      <c r="K195" s="682">
        <v>550</v>
      </c>
      <c r="L195" s="682">
        <v>550</v>
      </c>
      <c r="M195" s="682">
        <v>1000</v>
      </c>
      <c r="N195" s="682">
        <v>1250</v>
      </c>
      <c r="O195" s="682">
        <v>1500</v>
      </c>
      <c r="P195" s="682">
        <v>1750</v>
      </c>
      <c r="Q195" s="682">
        <v>2000</v>
      </c>
      <c r="R195" s="682">
        <v>2250</v>
      </c>
      <c r="S195" s="682">
        <v>2250</v>
      </c>
      <c r="T195" s="682">
        <v>2250</v>
      </c>
      <c r="U195" s="682">
        <v>2250</v>
      </c>
      <c r="V195" s="682">
        <v>2250</v>
      </c>
      <c r="W195" s="683">
        <v>0.53415032679738605</v>
      </c>
      <c r="X195" s="683">
        <v>0.62210536858974397</v>
      </c>
      <c r="Y195" s="683">
        <v>0.66831191588785099</v>
      </c>
      <c r="Z195" s="683">
        <v>0.65654806286549705</v>
      </c>
      <c r="AA195" s="683">
        <v>0.57462890624999996</v>
      </c>
      <c r="AB195" s="683">
        <v>0.42139453124999998</v>
      </c>
      <c r="AC195" s="683">
        <v>0.42139453124999998</v>
      </c>
      <c r="AD195" s="683">
        <v>0.42139453124999998</v>
      </c>
      <c r="AE195" s="683">
        <v>0.42139453124999998</v>
      </c>
      <c r="AF195" s="683">
        <v>0.42139453124999998</v>
      </c>
      <c r="AG195" s="790">
        <v>3600</v>
      </c>
      <c r="AH195" s="781">
        <v>1800</v>
      </c>
      <c r="AI195" s="781">
        <v>1440</v>
      </c>
      <c r="AJ195" s="781">
        <v>198</v>
      </c>
      <c r="AK195" s="781">
        <v>2700</v>
      </c>
      <c r="AL195" s="781">
        <v>600</v>
      </c>
      <c r="AM195" s="819">
        <v>0.66831191588785099</v>
      </c>
    </row>
    <row r="196" spans="1:39" ht="15" customHeight="1">
      <c r="A196" s="663" t="s">
        <v>945</v>
      </c>
      <c r="B196" s="682">
        <v>3000</v>
      </c>
      <c r="C196" s="682">
        <v>1120</v>
      </c>
      <c r="D196" s="682">
        <v>1080</v>
      </c>
      <c r="E196" s="682">
        <v>1010</v>
      </c>
      <c r="F196" s="682">
        <v>925</v>
      </c>
      <c r="G196" s="682">
        <v>820</v>
      </c>
      <c r="H196" s="682">
        <v>680</v>
      </c>
      <c r="I196" s="682">
        <v>680</v>
      </c>
      <c r="J196" s="682">
        <v>680</v>
      </c>
      <c r="K196" s="682">
        <v>680</v>
      </c>
      <c r="L196" s="682">
        <v>680</v>
      </c>
      <c r="M196" s="682">
        <v>1350</v>
      </c>
      <c r="N196" s="682">
        <v>2000</v>
      </c>
      <c r="O196" s="682">
        <v>2600</v>
      </c>
      <c r="P196" s="682">
        <v>3150</v>
      </c>
      <c r="Q196" s="682">
        <v>3650</v>
      </c>
      <c r="R196" s="682">
        <v>4200</v>
      </c>
      <c r="S196" s="682">
        <v>4200</v>
      </c>
      <c r="T196" s="682">
        <v>4200</v>
      </c>
      <c r="U196" s="682">
        <v>4200</v>
      </c>
      <c r="V196" s="682">
        <v>4200</v>
      </c>
      <c r="W196" s="683">
        <v>0.49625783132530099</v>
      </c>
      <c r="X196" s="683">
        <v>0.58842000000000005</v>
      </c>
      <c r="Y196" s="683">
        <v>0.62751418128655001</v>
      </c>
      <c r="Z196" s="683">
        <v>0.64012424395161305</v>
      </c>
      <c r="AA196" s="683">
        <v>0.617684154040404</v>
      </c>
      <c r="AB196" s="683">
        <v>0.56378405797101405</v>
      </c>
      <c r="AC196" s="683">
        <v>0.56378405797101405</v>
      </c>
      <c r="AD196" s="683">
        <v>0.56378405797101405</v>
      </c>
      <c r="AE196" s="683">
        <v>0.56378405797101405</v>
      </c>
      <c r="AF196" s="683">
        <v>0.56378405797101405</v>
      </c>
      <c r="AG196" s="790">
        <v>3600</v>
      </c>
      <c r="AH196" s="781">
        <v>1800</v>
      </c>
      <c r="AI196" s="781">
        <v>1612.8</v>
      </c>
      <c r="AJ196" s="781">
        <v>244.79999999999998</v>
      </c>
      <c r="AK196" s="781">
        <v>5040</v>
      </c>
      <c r="AL196" s="781">
        <v>810</v>
      </c>
      <c r="AM196" s="819">
        <v>0.64012424395161305</v>
      </c>
    </row>
    <row r="197" spans="1:39" ht="15" customHeight="1">
      <c r="A197" s="663" t="s">
        <v>946</v>
      </c>
      <c r="B197" s="682">
        <v>0</v>
      </c>
      <c r="C197" s="682">
        <v>0</v>
      </c>
      <c r="D197" s="682">
        <v>0</v>
      </c>
      <c r="E197" s="682">
        <v>0</v>
      </c>
      <c r="F197" s="682">
        <v>0</v>
      </c>
      <c r="G197" s="682">
        <v>0</v>
      </c>
      <c r="H197" s="682">
        <v>0</v>
      </c>
      <c r="I197" s="682">
        <v>0</v>
      </c>
      <c r="J197" s="682">
        <v>0</v>
      </c>
      <c r="K197" s="682">
        <v>0</v>
      </c>
      <c r="L197" s="682">
        <v>0</v>
      </c>
      <c r="M197" s="682">
        <v>0</v>
      </c>
      <c r="N197" s="682">
        <v>0</v>
      </c>
      <c r="O197" s="682">
        <v>0</v>
      </c>
      <c r="P197" s="682">
        <v>0</v>
      </c>
      <c r="Q197" s="682">
        <v>0</v>
      </c>
      <c r="R197" s="682">
        <v>0</v>
      </c>
      <c r="S197" s="682">
        <v>0</v>
      </c>
      <c r="T197" s="682">
        <v>0</v>
      </c>
      <c r="U197" s="682">
        <v>0</v>
      </c>
      <c r="V197" s="682">
        <v>0</v>
      </c>
      <c r="W197" s="683">
        <v>0</v>
      </c>
      <c r="X197" s="683">
        <v>0</v>
      </c>
      <c r="Y197" s="683">
        <v>0</v>
      </c>
      <c r="Z197" s="683">
        <v>0</v>
      </c>
      <c r="AA197" s="683">
        <v>0</v>
      </c>
      <c r="AB197" s="683">
        <v>0</v>
      </c>
      <c r="AC197" s="683">
        <v>0</v>
      </c>
      <c r="AD197" s="683">
        <v>0</v>
      </c>
      <c r="AE197" s="683">
        <v>0</v>
      </c>
      <c r="AF197" s="683">
        <v>0</v>
      </c>
      <c r="AG197" s="790">
        <v>3600</v>
      </c>
      <c r="AH197" s="781">
        <v>0</v>
      </c>
      <c r="AI197" s="781">
        <v>0</v>
      </c>
      <c r="AJ197" s="781">
        <v>0</v>
      </c>
      <c r="AK197" s="781">
        <v>0</v>
      </c>
      <c r="AL197" s="781">
        <v>0</v>
      </c>
      <c r="AM197" s="819">
        <v>0</v>
      </c>
    </row>
    <row r="198" spans="1:39" ht="15" customHeight="1">
      <c r="A198" s="663" t="s">
        <v>947</v>
      </c>
      <c r="B198" s="682">
        <v>3000</v>
      </c>
      <c r="C198" s="682">
        <v>1200</v>
      </c>
      <c r="D198" s="682">
        <v>1160</v>
      </c>
      <c r="E198" s="682">
        <v>1090</v>
      </c>
      <c r="F198" s="682">
        <v>1000</v>
      </c>
      <c r="G198" s="682">
        <v>845</v>
      </c>
      <c r="H198" s="682">
        <v>650</v>
      </c>
      <c r="I198" s="682">
        <v>650</v>
      </c>
      <c r="J198" s="682">
        <v>650</v>
      </c>
      <c r="K198" s="682">
        <v>650</v>
      </c>
      <c r="L198" s="682">
        <v>650</v>
      </c>
      <c r="M198" s="682">
        <v>1250</v>
      </c>
      <c r="N198" s="682">
        <v>2000</v>
      </c>
      <c r="O198" s="682">
        <v>2750</v>
      </c>
      <c r="P198" s="682">
        <v>3500</v>
      </c>
      <c r="Q198" s="682">
        <v>4250</v>
      </c>
      <c r="R198" s="682">
        <v>4850</v>
      </c>
      <c r="S198" s="682">
        <v>4850</v>
      </c>
      <c r="T198" s="682">
        <v>4850</v>
      </c>
      <c r="U198" s="682">
        <v>4850</v>
      </c>
      <c r="V198" s="682">
        <v>4850</v>
      </c>
      <c r="W198" s="683">
        <v>0.43938172043010698</v>
      </c>
      <c r="X198" s="683">
        <v>0.57455151515151504</v>
      </c>
      <c r="Y198" s="683">
        <v>0.63794449869791703</v>
      </c>
      <c r="Z198" s="683">
        <v>0.64422860360360401</v>
      </c>
      <c r="AA198" s="683">
        <v>0.60389898405349796</v>
      </c>
      <c r="AB198" s="683">
        <v>0.51424762974051896</v>
      </c>
      <c r="AC198" s="683">
        <v>0.51424762974051896</v>
      </c>
      <c r="AD198" s="683">
        <v>0.51424762974051896</v>
      </c>
      <c r="AE198" s="683">
        <v>0.51424762974051896</v>
      </c>
      <c r="AF198" s="683">
        <v>0.51424762974051896</v>
      </c>
      <c r="AG198" s="790">
        <v>3600</v>
      </c>
      <c r="AH198" s="781">
        <v>1800</v>
      </c>
      <c r="AI198" s="781">
        <v>1728</v>
      </c>
      <c r="AJ198" s="781">
        <v>234</v>
      </c>
      <c r="AK198" s="781">
        <v>5820</v>
      </c>
      <c r="AL198" s="781">
        <v>750</v>
      </c>
      <c r="AM198" s="819">
        <v>0.64422860360360401</v>
      </c>
    </row>
    <row r="199" spans="1:39" ht="15" customHeight="1">
      <c r="A199" s="663" t="s">
        <v>948</v>
      </c>
      <c r="B199" s="682">
        <v>0</v>
      </c>
      <c r="C199" s="682">
        <v>0</v>
      </c>
      <c r="D199" s="682">
        <v>0</v>
      </c>
      <c r="E199" s="682">
        <v>0</v>
      </c>
      <c r="F199" s="682">
        <v>0</v>
      </c>
      <c r="G199" s="682">
        <v>0</v>
      </c>
      <c r="H199" s="682">
        <v>0</v>
      </c>
      <c r="I199" s="682">
        <v>0</v>
      </c>
      <c r="J199" s="682">
        <v>0</v>
      </c>
      <c r="K199" s="682">
        <v>0</v>
      </c>
      <c r="L199" s="682">
        <v>0</v>
      </c>
      <c r="M199" s="682">
        <v>0</v>
      </c>
      <c r="N199" s="682">
        <v>0</v>
      </c>
      <c r="O199" s="682">
        <v>0</v>
      </c>
      <c r="P199" s="682">
        <v>0</v>
      </c>
      <c r="Q199" s="682">
        <v>0</v>
      </c>
      <c r="R199" s="682">
        <v>0</v>
      </c>
      <c r="S199" s="682">
        <v>0</v>
      </c>
      <c r="T199" s="682">
        <v>0</v>
      </c>
      <c r="U199" s="682">
        <v>0</v>
      </c>
      <c r="V199" s="682">
        <v>0</v>
      </c>
      <c r="W199" s="683">
        <v>0</v>
      </c>
      <c r="X199" s="683">
        <v>0</v>
      </c>
      <c r="Y199" s="683">
        <v>0</v>
      </c>
      <c r="Z199" s="683">
        <v>0</v>
      </c>
      <c r="AA199" s="683">
        <v>0</v>
      </c>
      <c r="AB199" s="683">
        <v>0</v>
      </c>
      <c r="AC199" s="683">
        <v>0</v>
      </c>
      <c r="AD199" s="683">
        <v>0</v>
      </c>
      <c r="AE199" s="683">
        <v>0</v>
      </c>
      <c r="AF199" s="683">
        <v>0</v>
      </c>
      <c r="AG199" s="790">
        <v>3600</v>
      </c>
      <c r="AH199" s="781">
        <v>0</v>
      </c>
      <c r="AI199" s="781">
        <v>0</v>
      </c>
      <c r="AJ199" s="781">
        <v>0</v>
      </c>
      <c r="AK199" s="781">
        <v>0</v>
      </c>
      <c r="AL199" s="781">
        <v>0</v>
      </c>
      <c r="AM199" s="819">
        <v>0</v>
      </c>
    </row>
    <row r="200" spans="1:39" ht="15" customHeight="1">
      <c r="A200" s="663" t="s">
        <v>949</v>
      </c>
      <c r="B200" s="682">
        <v>0</v>
      </c>
      <c r="C200" s="682">
        <v>0</v>
      </c>
      <c r="D200" s="682">
        <v>0</v>
      </c>
      <c r="E200" s="682">
        <v>0</v>
      </c>
      <c r="F200" s="682">
        <v>0</v>
      </c>
      <c r="G200" s="682">
        <v>0</v>
      </c>
      <c r="H200" s="682">
        <v>0</v>
      </c>
      <c r="I200" s="682">
        <v>0</v>
      </c>
      <c r="J200" s="682">
        <v>0</v>
      </c>
      <c r="K200" s="682">
        <v>0</v>
      </c>
      <c r="L200" s="682">
        <v>0</v>
      </c>
      <c r="M200" s="682">
        <v>0</v>
      </c>
      <c r="N200" s="682">
        <v>0</v>
      </c>
      <c r="O200" s="682">
        <v>0</v>
      </c>
      <c r="P200" s="682">
        <v>0</v>
      </c>
      <c r="Q200" s="682">
        <v>0</v>
      </c>
      <c r="R200" s="682">
        <v>0</v>
      </c>
      <c r="S200" s="682">
        <v>0</v>
      </c>
      <c r="T200" s="682">
        <v>0</v>
      </c>
      <c r="U200" s="682">
        <v>0</v>
      </c>
      <c r="V200" s="682">
        <v>0</v>
      </c>
      <c r="W200" s="683">
        <v>0</v>
      </c>
      <c r="X200" s="683">
        <v>0</v>
      </c>
      <c r="Y200" s="683">
        <v>0</v>
      </c>
      <c r="Z200" s="683">
        <v>0</v>
      </c>
      <c r="AA200" s="683">
        <v>0</v>
      </c>
      <c r="AB200" s="683">
        <v>0</v>
      </c>
      <c r="AC200" s="683">
        <v>0</v>
      </c>
      <c r="AD200" s="683">
        <v>0</v>
      </c>
      <c r="AE200" s="683">
        <v>0</v>
      </c>
      <c r="AF200" s="683">
        <v>0</v>
      </c>
      <c r="AG200" s="790">
        <v>3600</v>
      </c>
      <c r="AH200" s="781">
        <v>0</v>
      </c>
      <c r="AI200" s="781">
        <v>0</v>
      </c>
      <c r="AJ200" s="781">
        <v>0</v>
      </c>
      <c r="AK200" s="781">
        <v>0</v>
      </c>
      <c r="AL200" s="781">
        <v>0</v>
      </c>
      <c r="AM200" s="819">
        <v>0</v>
      </c>
    </row>
    <row r="201" spans="1:39" ht="15" customHeight="1">
      <c r="A201" s="663" t="s">
        <v>950</v>
      </c>
      <c r="B201" s="682">
        <v>0</v>
      </c>
      <c r="C201" s="682">
        <v>0</v>
      </c>
      <c r="D201" s="682">
        <v>0</v>
      </c>
      <c r="E201" s="682">
        <v>0</v>
      </c>
      <c r="F201" s="682">
        <v>0</v>
      </c>
      <c r="G201" s="682">
        <v>0</v>
      </c>
      <c r="H201" s="682">
        <v>0</v>
      </c>
      <c r="I201" s="682">
        <v>0</v>
      </c>
      <c r="J201" s="682">
        <v>0</v>
      </c>
      <c r="K201" s="682">
        <v>0</v>
      </c>
      <c r="L201" s="682">
        <v>0</v>
      </c>
      <c r="M201" s="682">
        <v>0</v>
      </c>
      <c r="N201" s="682">
        <v>0</v>
      </c>
      <c r="O201" s="682">
        <v>0</v>
      </c>
      <c r="P201" s="682">
        <v>0</v>
      </c>
      <c r="Q201" s="682">
        <v>0</v>
      </c>
      <c r="R201" s="682">
        <v>0</v>
      </c>
      <c r="S201" s="682">
        <v>0</v>
      </c>
      <c r="T201" s="682">
        <v>0</v>
      </c>
      <c r="U201" s="682">
        <v>0</v>
      </c>
      <c r="V201" s="682">
        <v>0</v>
      </c>
      <c r="W201" s="683">
        <v>0</v>
      </c>
      <c r="X201" s="683">
        <v>0</v>
      </c>
      <c r="Y201" s="683">
        <v>0</v>
      </c>
      <c r="Z201" s="683">
        <v>0</v>
      </c>
      <c r="AA201" s="683">
        <v>0</v>
      </c>
      <c r="AB201" s="683">
        <v>0</v>
      </c>
      <c r="AC201" s="683">
        <v>0</v>
      </c>
      <c r="AD201" s="683">
        <v>0</v>
      </c>
      <c r="AE201" s="683">
        <v>0</v>
      </c>
      <c r="AF201" s="683">
        <v>0</v>
      </c>
      <c r="AG201" s="790">
        <v>3600</v>
      </c>
      <c r="AH201" s="781">
        <v>0</v>
      </c>
      <c r="AI201" s="781">
        <v>0</v>
      </c>
      <c r="AJ201" s="781">
        <v>0</v>
      </c>
      <c r="AK201" s="781">
        <v>0</v>
      </c>
      <c r="AL201" s="781">
        <v>0</v>
      </c>
      <c r="AM201" s="819">
        <v>0</v>
      </c>
    </row>
    <row r="202" spans="1:39" ht="15" customHeight="1">
      <c r="A202" s="663" t="s">
        <v>951</v>
      </c>
      <c r="B202" s="682">
        <v>0</v>
      </c>
      <c r="C202" s="682">
        <v>0</v>
      </c>
      <c r="D202" s="682">
        <v>0</v>
      </c>
      <c r="E202" s="682">
        <v>0</v>
      </c>
      <c r="F202" s="682">
        <v>0</v>
      </c>
      <c r="G202" s="682">
        <v>0</v>
      </c>
      <c r="H202" s="682">
        <v>0</v>
      </c>
      <c r="I202" s="682">
        <v>0</v>
      </c>
      <c r="J202" s="682">
        <v>0</v>
      </c>
      <c r="K202" s="682">
        <v>0</v>
      </c>
      <c r="L202" s="682">
        <v>0</v>
      </c>
      <c r="M202" s="682">
        <v>0</v>
      </c>
      <c r="N202" s="682">
        <v>0</v>
      </c>
      <c r="O202" s="682">
        <v>0</v>
      </c>
      <c r="P202" s="682">
        <v>0</v>
      </c>
      <c r="Q202" s="682">
        <v>0</v>
      </c>
      <c r="R202" s="682">
        <v>0</v>
      </c>
      <c r="S202" s="682">
        <v>0</v>
      </c>
      <c r="T202" s="682">
        <v>0</v>
      </c>
      <c r="U202" s="682">
        <v>0</v>
      </c>
      <c r="V202" s="682">
        <v>0</v>
      </c>
      <c r="W202" s="683">
        <v>0</v>
      </c>
      <c r="X202" s="683">
        <v>0</v>
      </c>
      <c r="Y202" s="683">
        <v>0</v>
      </c>
      <c r="Z202" s="683">
        <v>0</v>
      </c>
      <c r="AA202" s="683">
        <v>0</v>
      </c>
      <c r="AB202" s="683">
        <v>0</v>
      </c>
      <c r="AC202" s="683">
        <v>0</v>
      </c>
      <c r="AD202" s="683">
        <v>0</v>
      </c>
      <c r="AE202" s="683">
        <v>0</v>
      </c>
      <c r="AF202" s="683">
        <v>0</v>
      </c>
      <c r="AG202" s="790">
        <v>3600</v>
      </c>
      <c r="AH202" s="781">
        <v>0</v>
      </c>
      <c r="AI202" s="781">
        <v>0</v>
      </c>
      <c r="AJ202" s="781">
        <v>0</v>
      </c>
      <c r="AK202" s="781">
        <v>0</v>
      </c>
      <c r="AL202" s="781">
        <v>0</v>
      </c>
      <c r="AM202" s="819">
        <v>0</v>
      </c>
    </row>
    <row r="203" spans="1:39" ht="15" customHeight="1">
      <c r="A203" s="663" t="s">
        <v>952</v>
      </c>
      <c r="B203" s="682">
        <v>0</v>
      </c>
      <c r="C203" s="682">
        <v>0</v>
      </c>
      <c r="D203" s="682">
        <v>0</v>
      </c>
      <c r="E203" s="682">
        <v>0</v>
      </c>
      <c r="F203" s="682">
        <v>0</v>
      </c>
      <c r="G203" s="682">
        <v>0</v>
      </c>
      <c r="H203" s="682">
        <v>0</v>
      </c>
      <c r="I203" s="682">
        <v>0</v>
      </c>
      <c r="J203" s="682">
        <v>0</v>
      </c>
      <c r="K203" s="682">
        <v>0</v>
      </c>
      <c r="L203" s="682">
        <v>0</v>
      </c>
      <c r="M203" s="682">
        <v>0</v>
      </c>
      <c r="N203" s="682">
        <v>0</v>
      </c>
      <c r="O203" s="682">
        <v>0</v>
      </c>
      <c r="P203" s="682">
        <v>0</v>
      </c>
      <c r="Q203" s="682">
        <v>0</v>
      </c>
      <c r="R203" s="682">
        <v>0</v>
      </c>
      <c r="S203" s="682">
        <v>0</v>
      </c>
      <c r="T203" s="682">
        <v>0</v>
      </c>
      <c r="U203" s="682">
        <v>0</v>
      </c>
      <c r="V203" s="682">
        <v>0</v>
      </c>
      <c r="W203" s="683">
        <v>0</v>
      </c>
      <c r="X203" s="683">
        <v>0</v>
      </c>
      <c r="Y203" s="683">
        <v>0</v>
      </c>
      <c r="Z203" s="683">
        <v>0</v>
      </c>
      <c r="AA203" s="683">
        <v>0</v>
      </c>
      <c r="AB203" s="683">
        <v>0</v>
      </c>
      <c r="AC203" s="683">
        <v>0</v>
      </c>
      <c r="AD203" s="683">
        <v>0</v>
      </c>
      <c r="AE203" s="683">
        <v>0</v>
      </c>
      <c r="AF203" s="683">
        <v>0</v>
      </c>
      <c r="AG203" s="790">
        <v>3600</v>
      </c>
      <c r="AH203" s="781">
        <v>0</v>
      </c>
      <c r="AI203" s="781">
        <v>0</v>
      </c>
      <c r="AJ203" s="781">
        <v>0</v>
      </c>
      <c r="AK203" s="781">
        <v>0</v>
      </c>
      <c r="AL203" s="781">
        <v>0</v>
      </c>
      <c r="AM203" s="819">
        <v>0</v>
      </c>
    </row>
    <row r="204" spans="1:39" ht="15" customHeight="1">
      <c r="A204" s="663" t="s">
        <v>953</v>
      </c>
      <c r="B204" s="682">
        <v>0</v>
      </c>
      <c r="C204" s="682">
        <v>0</v>
      </c>
      <c r="D204" s="682">
        <v>0</v>
      </c>
      <c r="E204" s="682">
        <v>0</v>
      </c>
      <c r="F204" s="682">
        <v>0</v>
      </c>
      <c r="G204" s="682">
        <v>0</v>
      </c>
      <c r="H204" s="682">
        <v>0</v>
      </c>
      <c r="I204" s="682">
        <v>0</v>
      </c>
      <c r="J204" s="682">
        <v>0</v>
      </c>
      <c r="K204" s="682">
        <v>0</v>
      </c>
      <c r="L204" s="682">
        <v>0</v>
      </c>
      <c r="M204" s="682">
        <v>0</v>
      </c>
      <c r="N204" s="682">
        <v>0</v>
      </c>
      <c r="O204" s="682">
        <v>0</v>
      </c>
      <c r="P204" s="682">
        <v>0</v>
      </c>
      <c r="Q204" s="682">
        <v>0</v>
      </c>
      <c r="R204" s="682">
        <v>0</v>
      </c>
      <c r="S204" s="682">
        <v>0</v>
      </c>
      <c r="T204" s="682">
        <v>0</v>
      </c>
      <c r="U204" s="682">
        <v>0</v>
      </c>
      <c r="V204" s="682">
        <v>0</v>
      </c>
      <c r="W204" s="683">
        <v>0</v>
      </c>
      <c r="X204" s="683">
        <v>0</v>
      </c>
      <c r="Y204" s="683">
        <v>0</v>
      </c>
      <c r="Z204" s="683">
        <v>0</v>
      </c>
      <c r="AA204" s="683">
        <v>0</v>
      </c>
      <c r="AB204" s="683">
        <v>0</v>
      </c>
      <c r="AC204" s="683">
        <v>0</v>
      </c>
      <c r="AD204" s="683">
        <v>0</v>
      </c>
      <c r="AE204" s="683">
        <v>0</v>
      </c>
      <c r="AF204" s="683">
        <v>0</v>
      </c>
      <c r="AG204" s="790">
        <v>3600</v>
      </c>
      <c r="AH204" s="781">
        <v>0</v>
      </c>
      <c r="AI204" s="781">
        <v>0</v>
      </c>
      <c r="AJ204" s="781">
        <v>0</v>
      </c>
      <c r="AK204" s="781">
        <v>0</v>
      </c>
      <c r="AL204" s="781">
        <v>0</v>
      </c>
      <c r="AM204" s="819">
        <v>0</v>
      </c>
    </row>
    <row r="205" spans="1:39" ht="15" customHeight="1">
      <c r="A205" s="663" t="s">
        <v>954</v>
      </c>
      <c r="B205" s="682">
        <v>0</v>
      </c>
      <c r="C205" s="682">
        <v>0</v>
      </c>
      <c r="D205" s="682">
        <v>0</v>
      </c>
      <c r="E205" s="682">
        <v>0</v>
      </c>
      <c r="F205" s="682">
        <v>0</v>
      </c>
      <c r="G205" s="682">
        <v>0</v>
      </c>
      <c r="H205" s="682">
        <v>0</v>
      </c>
      <c r="I205" s="682">
        <v>0</v>
      </c>
      <c r="J205" s="682">
        <v>0</v>
      </c>
      <c r="K205" s="682">
        <v>0</v>
      </c>
      <c r="L205" s="682">
        <v>0</v>
      </c>
      <c r="M205" s="682">
        <v>0</v>
      </c>
      <c r="N205" s="682">
        <v>0</v>
      </c>
      <c r="O205" s="682">
        <v>0</v>
      </c>
      <c r="P205" s="682">
        <v>0</v>
      </c>
      <c r="Q205" s="682">
        <v>0</v>
      </c>
      <c r="R205" s="682">
        <v>0</v>
      </c>
      <c r="S205" s="682">
        <v>0</v>
      </c>
      <c r="T205" s="682">
        <v>0</v>
      </c>
      <c r="U205" s="682">
        <v>0</v>
      </c>
      <c r="V205" s="682">
        <v>0</v>
      </c>
      <c r="W205" s="683">
        <v>0</v>
      </c>
      <c r="X205" s="683">
        <v>0</v>
      </c>
      <c r="Y205" s="683">
        <v>0</v>
      </c>
      <c r="Z205" s="683">
        <v>0</v>
      </c>
      <c r="AA205" s="683">
        <v>0</v>
      </c>
      <c r="AB205" s="683">
        <v>0</v>
      </c>
      <c r="AC205" s="683">
        <v>0</v>
      </c>
      <c r="AD205" s="683">
        <v>0</v>
      </c>
      <c r="AE205" s="683">
        <v>0</v>
      </c>
      <c r="AF205" s="683">
        <v>0</v>
      </c>
      <c r="AG205" s="790">
        <v>3600</v>
      </c>
      <c r="AH205" s="781">
        <v>0</v>
      </c>
      <c r="AI205" s="781">
        <v>0</v>
      </c>
      <c r="AJ205" s="781">
        <v>0</v>
      </c>
      <c r="AK205" s="781">
        <v>0</v>
      </c>
      <c r="AL205" s="781">
        <v>0</v>
      </c>
      <c r="AM205" s="819">
        <v>0</v>
      </c>
    </row>
    <row r="206" spans="1:39" ht="15" customHeight="1">
      <c r="A206" s="663" t="s">
        <v>955</v>
      </c>
      <c r="B206" s="682">
        <v>0</v>
      </c>
      <c r="C206" s="682">
        <v>0</v>
      </c>
      <c r="D206" s="682">
        <v>0</v>
      </c>
      <c r="E206" s="682">
        <v>0</v>
      </c>
      <c r="F206" s="682">
        <v>0</v>
      </c>
      <c r="G206" s="682">
        <v>0</v>
      </c>
      <c r="H206" s="682">
        <v>0</v>
      </c>
      <c r="I206" s="682">
        <v>0</v>
      </c>
      <c r="J206" s="682">
        <v>0</v>
      </c>
      <c r="K206" s="682">
        <v>0</v>
      </c>
      <c r="L206" s="682">
        <v>0</v>
      </c>
      <c r="M206" s="682">
        <v>0</v>
      </c>
      <c r="N206" s="682">
        <v>0</v>
      </c>
      <c r="O206" s="682">
        <v>0</v>
      </c>
      <c r="P206" s="682">
        <v>0</v>
      </c>
      <c r="Q206" s="682">
        <v>0</v>
      </c>
      <c r="R206" s="682">
        <v>0</v>
      </c>
      <c r="S206" s="682">
        <v>0</v>
      </c>
      <c r="T206" s="682">
        <v>0</v>
      </c>
      <c r="U206" s="682">
        <v>0</v>
      </c>
      <c r="V206" s="682">
        <v>0</v>
      </c>
      <c r="W206" s="683">
        <v>0</v>
      </c>
      <c r="X206" s="683">
        <v>0</v>
      </c>
      <c r="Y206" s="683">
        <v>0</v>
      </c>
      <c r="Z206" s="683">
        <v>0</v>
      </c>
      <c r="AA206" s="683">
        <v>0</v>
      </c>
      <c r="AB206" s="683">
        <v>0</v>
      </c>
      <c r="AC206" s="683">
        <v>0</v>
      </c>
      <c r="AD206" s="683">
        <v>0</v>
      </c>
      <c r="AE206" s="683">
        <v>0</v>
      </c>
      <c r="AF206" s="683">
        <v>0</v>
      </c>
      <c r="AG206" s="790">
        <v>3600</v>
      </c>
      <c r="AH206" s="781">
        <v>0</v>
      </c>
      <c r="AI206" s="781">
        <v>0</v>
      </c>
      <c r="AJ206" s="781">
        <v>0</v>
      </c>
      <c r="AK206" s="781">
        <v>0</v>
      </c>
      <c r="AL206" s="781">
        <v>0</v>
      </c>
      <c r="AM206" s="819">
        <v>0</v>
      </c>
    </row>
    <row r="207" spans="1:39" ht="15" customHeight="1">
      <c r="A207" s="663" t="s">
        <v>956</v>
      </c>
      <c r="B207" s="682">
        <v>0</v>
      </c>
      <c r="C207" s="682">
        <v>0</v>
      </c>
      <c r="D207" s="682">
        <v>0</v>
      </c>
      <c r="E207" s="682">
        <v>0</v>
      </c>
      <c r="F207" s="682">
        <v>0</v>
      </c>
      <c r="G207" s="682">
        <v>0</v>
      </c>
      <c r="H207" s="682">
        <v>0</v>
      </c>
      <c r="I207" s="682">
        <v>0</v>
      </c>
      <c r="J207" s="682">
        <v>0</v>
      </c>
      <c r="K207" s="682">
        <v>0</v>
      </c>
      <c r="L207" s="682">
        <v>0</v>
      </c>
      <c r="M207" s="682">
        <v>0</v>
      </c>
      <c r="N207" s="682">
        <v>0</v>
      </c>
      <c r="O207" s="682">
        <v>0</v>
      </c>
      <c r="P207" s="682">
        <v>0</v>
      </c>
      <c r="Q207" s="682">
        <v>0</v>
      </c>
      <c r="R207" s="682">
        <v>0</v>
      </c>
      <c r="S207" s="682">
        <v>0</v>
      </c>
      <c r="T207" s="682">
        <v>0</v>
      </c>
      <c r="U207" s="682">
        <v>0</v>
      </c>
      <c r="V207" s="682">
        <v>0</v>
      </c>
      <c r="W207" s="683">
        <v>0</v>
      </c>
      <c r="X207" s="683">
        <v>0</v>
      </c>
      <c r="Y207" s="683">
        <v>0</v>
      </c>
      <c r="Z207" s="683">
        <v>0</v>
      </c>
      <c r="AA207" s="683">
        <v>0</v>
      </c>
      <c r="AB207" s="683">
        <v>0</v>
      </c>
      <c r="AC207" s="683">
        <v>0</v>
      </c>
      <c r="AD207" s="683">
        <v>0</v>
      </c>
      <c r="AE207" s="683">
        <v>0</v>
      </c>
      <c r="AF207" s="683">
        <v>0</v>
      </c>
      <c r="AG207" s="790">
        <v>3600</v>
      </c>
      <c r="AH207" s="781">
        <v>0</v>
      </c>
      <c r="AI207" s="781">
        <v>0</v>
      </c>
      <c r="AJ207" s="781">
        <v>0</v>
      </c>
      <c r="AK207" s="781">
        <v>0</v>
      </c>
      <c r="AL207" s="781">
        <v>0</v>
      </c>
      <c r="AM207" s="819">
        <v>0</v>
      </c>
    </row>
    <row r="208" spans="1:39" ht="15" customHeight="1">
      <c r="A208" s="663" t="s">
        <v>957</v>
      </c>
      <c r="B208" s="682">
        <v>0</v>
      </c>
      <c r="C208" s="682">
        <v>0</v>
      </c>
      <c r="D208" s="682">
        <v>0</v>
      </c>
      <c r="E208" s="682">
        <v>0</v>
      </c>
      <c r="F208" s="682">
        <v>0</v>
      </c>
      <c r="G208" s="682">
        <v>0</v>
      </c>
      <c r="H208" s="682">
        <v>0</v>
      </c>
      <c r="I208" s="682">
        <v>0</v>
      </c>
      <c r="J208" s="682">
        <v>0</v>
      </c>
      <c r="K208" s="682">
        <v>0</v>
      </c>
      <c r="L208" s="682">
        <v>0</v>
      </c>
      <c r="M208" s="682">
        <v>0</v>
      </c>
      <c r="N208" s="682">
        <v>0</v>
      </c>
      <c r="O208" s="682">
        <v>0</v>
      </c>
      <c r="P208" s="682">
        <v>0</v>
      </c>
      <c r="Q208" s="682">
        <v>0</v>
      </c>
      <c r="R208" s="682">
        <v>0</v>
      </c>
      <c r="S208" s="682">
        <v>0</v>
      </c>
      <c r="T208" s="682">
        <v>0</v>
      </c>
      <c r="U208" s="682">
        <v>0</v>
      </c>
      <c r="V208" s="682">
        <v>0</v>
      </c>
      <c r="W208" s="683">
        <v>0</v>
      </c>
      <c r="X208" s="683">
        <v>0</v>
      </c>
      <c r="Y208" s="683">
        <v>0</v>
      </c>
      <c r="Z208" s="683">
        <v>0</v>
      </c>
      <c r="AA208" s="683">
        <v>0</v>
      </c>
      <c r="AB208" s="683">
        <v>0</v>
      </c>
      <c r="AC208" s="683">
        <v>0</v>
      </c>
      <c r="AD208" s="683">
        <v>0</v>
      </c>
      <c r="AE208" s="683">
        <v>0</v>
      </c>
      <c r="AF208" s="683">
        <v>0</v>
      </c>
      <c r="AG208" s="790">
        <v>3600</v>
      </c>
      <c r="AH208" s="781">
        <v>0</v>
      </c>
      <c r="AI208" s="781">
        <v>0</v>
      </c>
      <c r="AJ208" s="781">
        <v>0</v>
      </c>
      <c r="AK208" s="781">
        <v>0</v>
      </c>
      <c r="AL208" s="781">
        <v>0</v>
      </c>
      <c r="AM208" s="819">
        <v>0</v>
      </c>
    </row>
    <row r="209" spans="1:39" ht="15" customHeight="1">
      <c r="A209" s="663" t="s">
        <v>958</v>
      </c>
      <c r="B209" s="682">
        <v>0</v>
      </c>
      <c r="C209" s="682">
        <v>0</v>
      </c>
      <c r="D209" s="682">
        <v>0</v>
      </c>
      <c r="E209" s="682">
        <v>0</v>
      </c>
      <c r="F209" s="682">
        <v>0</v>
      </c>
      <c r="G209" s="682">
        <v>0</v>
      </c>
      <c r="H209" s="682">
        <v>0</v>
      </c>
      <c r="I209" s="682">
        <v>0</v>
      </c>
      <c r="J209" s="682">
        <v>0</v>
      </c>
      <c r="K209" s="682">
        <v>0</v>
      </c>
      <c r="L209" s="682">
        <v>0</v>
      </c>
      <c r="M209" s="682">
        <v>0</v>
      </c>
      <c r="N209" s="682">
        <v>0</v>
      </c>
      <c r="O209" s="682">
        <v>0</v>
      </c>
      <c r="P209" s="682">
        <v>0</v>
      </c>
      <c r="Q209" s="682">
        <v>0</v>
      </c>
      <c r="R209" s="682">
        <v>0</v>
      </c>
      <c r="S209" s="682">
        <v>0</v>
      </c>
      <c r="T209" s="682">
        <v>0</v>
      </c>
      <c r="U209" s="682">
        <v>0</v>
      </c>
      <c r="V209" s="682">
        <v>0</v>
      </c>
      <c r="W209" s="683">
        <v>0</v>
      </c>
      <c r="X209" s="683">
        <v>0</v>
      </c>
      <c r="Y209" s="683">
        <v>0</v>
      </c>
      <c r="Z209" s="683">
        <v>0</v>
      </c>
      <c r="AA209" s="683">
        <v>0</v>
      </c>
      <c r="AB209" s="683">
        <v>0</v>
      </c>
      <c r="AC209" s="683">
        <v>0</v>
      </c>
      <c r="AD209" s="683">
        <v>0</v>
      </c>
      <c r="AE209" s="683">
        <v>0</v>
      </c>
      <c r="AF209" s="683">
        <v>0</v>
      </c>
      <c r="AG209" s="790">
        <v>3600</v>
      </c>
      <c r="AH209" s="781">
        <v>0</v>
      </c>
      <c r="AI209" s="781">
        <v>0</v>
      </c>
      <c r="AJ209" s="781">
        <v>0</v>
      </c>
      <c r="AK209" s="781">
        <v>0</v>
      </c>
      <c r="AL209" s="781">
        <v>0</v>
      </c>
      <c r="AM209" s="819">
        <v>0</v>
      </c>
    </row>
    <row r="210" spans="1:39" ht="15" customHeight="1">
      <c r="A210" s="663" t="s">
        <v>959</v>
      </c>
      <c r="B210" s="682">
        <v>0</v>
      </c>
      <c r="C210" s="682">
        <v>0</v>
      </c>
      <c r="D210" s="682">
        <v>0</v>
      </c>
      <c r="E210" s="682">
        <v>0</v>
      </c>
      <c r="F210" s="682">
        <v>0</v>
      </c>
      <c r="G210" s="682">
        <v>0</v>
      </c>
      <c r="H210" s="682">
        <v>0</v>
      </c>
      <c r="I210" s="682">
        <v>0</v>
      </c>
      <c r="J210" s="682">
        <v>0</v>
      </c>
      <c r="K210" s="682">
        <v>0</v>
      </c>
      <c r="L210" s="682">
        <v>0</v>
      </c>
      <c r="M210" s="682">
        <v>0</v>
      </c>
      <c r="N210" s="682">
        <v>0</v>
      </c>
      <c r="O210" s="682">
        <v>0</v>
      </c>
      <c r="P210" s="682">
        <v>0</v>
      </c>
      <c r="Q210" s="682">
        <v>0</v>
      </c>
      <c r="R210" s="682">
        <v>0</v>
      </c>
      <c r="S210" s="682">
        <v>0</v>
      </c>
      <c r="T210" s="682">
        <v>0</v>
      </c>
      <c r="U210" s="682">
        <v>0</v>
      </c>
      <c r="V210" s="682">
        <v>0</v>
      </c>
      <c r="W210" s="683">
        <v>0</v>
      </c>
      <c r="X210" s="683">
        <v>0</v>
      </c>
      <c r="Y210" s="683">
        <v>0</v>
      </c>
      <c r="Z210" s="683">
        <v>0</v>
      </c>
      <c r="AA210" s="683">
        <v>0</v>
      </c>
      <c r="AB210" s="683">
        <v>0</v>
      </c>
      <c r="AC210" s="683">
        <v>0</v>
      </c>
      <c r="AD210" s="683">
        <v>0</v>
      </c>
      <c r="AE210" s="683">
        <v>0</v>
      </c>
      <c r="AF210" s="683">
        <v>0</v>
      </c>
      <c r="AG210" s="790">
        <v>3600</v>
      </c>
      <c r="AH210" s="781">
        <v>0</v>
      </c>
      <c r="AI210" s="781">
        <v>0</v>
      </c>
      <c r="AJ210" s="781">
        <v>0</v>
      </c>
      <c r="AK210" s="781">
        <v>0</v>
      </c>
      <c r="AL210" s="781">
        <v>0</v>
      </c>
      <c r="AM210" s="819">
        <v>0</v>
      </c>
    </row>
    <row r="211" spans="1:39" ht="15" customHeight="1">
      <c r="A211" s="663" t="s">
        <v>960</v>
      </c>
      <c r="B211" s="682">
        <v>0</v>
      </c>
      <c r="C211" s="682">
        <v>0</v>
      </c>
      <c r="D211" s="682">
        <v>0</v>
      </c>
      <c r="E211" s="682">
        <v>0</v>
      </c>
      <c r="F211" s="682">
        <v>0</v>
      </c>
      <c r="G211" s="682">
        <v>0</v>
      </c>
      <c r="H211" s="682">
        <v>0</v>
      </c>
      <c r="I211" s="682">
        <v>0</v>
      </c>
      <c r="J211" s="682">
        <v>0</v>
      </c>
      <c r="K211" s="682">
        <v>0</v>
      </c>
      <c r="L211" s="682">
        <v>0</v>
      </c>
      <c r="M211" s="682">
        <v>0</v>
      </c>
      <c r="N211" s="682">
        <v>0</v>
      </c>
      <c r="O211" s="682">
        <v>0</v>
      </c>
      <c r="P211" s="682">
        <v>0</v>
      </c>
      <c r="Q211" s="682">
        <v>0</v>
      </c>
      <c r="R211" s="682">
        <v>0</v>
      </c>
      <c r="S211" s="682">
        <v>0</v>
      </c>
      <c r="T211" s="682">
        <v>0</v>
      </c>
      <c r="U211" s="682">
        <v>0</v>
      </c>
      <c r="V211" s="682">
        <v>0</v>
      </c>
      <c r="W211" s="683">
        <v>0</v>
      </c>
      <c r="X211" s="683">
        <v>0</v>
      </c>
      <c r="Y211" s="683">
        <v>0</v>
      </c>
      <c r="Z211" s="683">
        <v>0</v>
      </c>
      <c r="AA211" s="683">
        <v>0</v>
      </c>
      <c r="AB211" s="683">
        <v>0</v>
      </c>
      <c r="AC211" s="683">
        <v>0</v>
      </c>
      <c r="AD211" s="683">
        <v>0</v>
      </c>
      <c r="AE211" s="683">
        <v>0</v>
      </c>
      <c r="AF211" s="683">
        <v>0</v>
      </c>
      <c r="AG211" s="790">
        <v>3600</v>
      </c>
      <c r="AH211" s="781">
        <v>0</v>
      </c>
      <c r="AI211" s="781">
        <v>0</v>
      </c>
      <c r="AJ211" s="781">
        <v>0</v>
      </c>
      <c r="AK211" s="781">
        <v>0</v>
      </c>
      <c r="AL211" s="781">
        <v>0</v>
      </c>
      <c r="AM211" s="819">
        <v>0</v>
      </c>
    </row>
    <row r="212" spans="1:39" ht="15" customHeight="1">
      <c r="A212" s="663" t="s">
        <v>961</v>
      </c>
      <c r="B212" s="682">
        <v>0</v>
      </c>
      <c r="C212" s="682">
        <v>0</v>
      </c>
      <c r="D212" s="682">
        <v>0</v>
      </c>
      <c r="E212" s="682">
        <v>0</v>
      </c>
      <c r="F212" s="682">
        <v>0</v>
      </c>
      <c r="G212" s="682">
        <v>0</v>
      </c>
      <c r="H212" s="682">
        <v>0</v>
      </c>
      <c r="I212" s="682">
        <v>0</v>
      </c>
      <c r="J212" s="682">
        <v>0</v>
      </c>
      <c r="K212" s="682">
        <v>0</v>
      </c>
      <c r="L212" s="682">
        <v>0</v>
      </c>
      <c r="M212" s="682">
        <v>0</v>
      </c>
      <c r="N212" s="682">
        <v>0</v>
      </c>
      <c r="O212" s="682">
        <v>0</v>
      </c>
      <c r="P212" s="682">
        <v>0</v>
      </c>
      <c r="Q212" s="682">
        <v>0</v>
      </c>
      <c r="R212" s="682">
        <v>0</v>
      </c>
      <c r="S212" s="682">
        <v>0</v>
      </c>
      <c r="T212" s="682">
        <v>0</v>
      </c>
      <c r="U212" s="682">
        <v>0</v>
      </c>
      <c r="V212" s="682">
        <v>0</v>
      </c>
      <c r="W212" s="683">
        <v>0</v>
      </c>
      <c r="X212" s="683">
        <v>0</v>
      </c>
      <c r="Y212" s="683">
        <v>0</v>
      </c>
      <c r="Z212" s="683">
        <v>0</v>
      </c>
      <c r="AA212" s="683">
        <v>0</v>
      </c>
      <c r="AB212" s="683">
        <v>0</v>
      </c>
      <c r="AC212" s="683">
        <v>0</v>
      </c>
      <c r="AD212" s="683">
        <v>0</v>
      </c>
      <c r="AE212" s="683">
        <v>0</v>
      </c>
      <c r="AF212" s="683">
        <v>0</v>
      </c>
      <c r="AG212" s="790">
        <v>3600</v>
      </c>
      <c r="AH212" s="781">
        <v>0</v>
      </c>
      <c r="AI212" s="781">
        <v>0</v>
      </c>
      <c r="AJ212" s="781">
        <v>0</v>
      </c>
      <c r="AK212" s="781">
        <v>0</v>
      </c>
      <c r="AL212" s="781">
        <v>0</v>
      </c>
      <c r="AM212" s="819">
        <v>0</v>
      </c>
    </row>
    <row r="213" spans="1:39" ht="15" customHeight="1">
      <c r="A213" s="663" t="s">
        <v>962</v>
      </c>
      <c r="B213" s="682">
        <v>0</v>
      </c>
      <c r="C213" s="682">
        <v>0</v>
      </c>
      <c r="D213" s="682">
        <v>0</v>
      </c>
      <c r="E213" s="682">
        <v>0</v>
      </c>
      <c r="F213" s="682">
        <v>0</v>
      </c>
      <c r="G213" s="682">
        <v>0</v>
      </c>
      <c r="H213" s="682">
        <v>0</v>
      </c>
      <c r="I213" s="682">
        <v>0</v>
      </c>
      <c r="J213" s="682">
        <v>0</v>
      </c>
      <c r="K213" s="682">
        <v>0</v>
      </c>
      <c r="L213" s="682">
        <v>0</v>
      </c>
      <c r="M213" s="682">
        <v>0</v>
      </c>
      <c r="N213" s="682">
        <v>0</v>
      </c>
      <c r="O213" s="682">
        <v>0</v>
      </c>
      <c r="P213" s="682">
        <v>0</v>
      </c>
      <c r="Q213" s="682">
        <v>0</v>
      </c>
      <c r="R213" s="682">
        <v>0</v>
      </c>
      <c r="S213" s="682">
        <v>0</v>
      </c>
      <c r="T213" s="682">
        <v>0</v>
      </c>
      <c r="U213" s="682">
        <v>0</v>
      </c>
      <c r="V213" s="682">
        <v>0</v>
      </c>
      <c r="W213" s="683">
        <v>0</v>
      </c>
      <c r="X213" s="683">
        <v>0</v>
      </c>
      <c r="Y213" s="683">
        <v>0</v>
      </c>
      <c r="Z213" s="683">
        <v>0</v>
      </c>
      <c r="AA213" s="683">
        <v>0</v>
      </c>
      <c r="AB213" s="683">
        <v>0</v>
      </c>
      <c r="AC213" s="683">
        <v>0</v>
      </c>
      <c r="AD213" s="683">
        <v>0</v>
      </c>
      <c r="AE213" s="683">
        <v>0</v>
      </c>
      <c r="AF213" s="683">
        <v>0</v>
      </c>
      <c r="AG213" s="790">
        <v>3600</v>
      </c>
      <c r="AH213" s="781">
        <v>0</v>
      </c>
      <c r="AI213" s="781">
        <v>0</v>
      </c>
      <c r="AJ213" s="781">
        <v>0</v>
      </c>
      <c r="AK213" s="781">
        <v>0</v>
      </c>
      <c r="AL213" s="781">
        <v>0</v>
      </c>
      <c r="AM213" s="819">
        <v>0</v>
      </c>
    </row>
    <row r="214" spans="1:39" ht="15" customHeight="1">
      <c r="A214" s="663" t="s">
        <v>963</v>
      </c>
      <c r="B214" s="682">
        <v>0</v>
      </c>
      <c r="C214" s="682">
        <v>0</v>
      </c>
      <c r="D214" s="682">
        <v>0</v>
      </c>
      <c r="E214" s="682">
        <v>0</v>
      </c>
      <c r="F214" s="682">
        <v>0</v>
      </c>
      <c r="G214" s="682">
        <v>0</v>
      </c>
      <c r="H214" s="682">
        <v>0</v>
      </c>
      <c r="I214" s="682">
        <v>0</v>
      </c>
      <c r="J214" s="682">
        <v>0</v>
      </c>
      <c r="K214" s="682">
        <v>0</v>
      </c>
      <c r="L214" s="682">
        <v>0</v>
      </c>
      <c r="M214" s="682">
        <v>0</v>
      </c>
      <c r="N214" s="682">
        <v>0</v>
      </c>
      <c r="O214" s="682">
        <v>0</v>
      </c>
      <c r="P214" s="682">
        <v>0</v>
      </c>
      <c r="Q214" s="682">
        <v>0</v>
      </c>
      <c r="R214" s="682">
        <v>0</v>
      </c>
      <c r="S214" s="682">
        <v>0</v>
      </c>
      <c r="T214" s="682">
        <v>0</v>
      </c>
      <c r="U214" s="682">
        <v>0</v>
      </c>
      <c r="V214" s="682">
        <v>0</v>
      </c>
      <c r="W214" s="683">
        <v>0</v>
      </c>
      <c r="X214" s="683">
        <v>0</v>
      </c>
      <c r="Y214" s="683">
        <v>0</v>
      </c>
      <c r="Z214" s="683">
        <v>0</v>
      </c>
      <c r="AA214" s="683">
        <v>0</v>
      </c>
      <c r="AB214" s="683">
        <v>0</v>
      </c>
      <c r="AC214" s="683">
        <v>0</v>
      </c>
      <c r="AD214" s="683">
        <v>0</v>
      </c>
      <c r="AE214" s="683">
        <v>0</v>
      </c>
      <c r="AF214" s="683">
        <v>0</v>
      </c>
      <c r="AG214" s="790">
        <v>2350</v>
      </c>
      <c r="AH214" s="781">
        <v>0</v>
      </c>
      <c r="AI214" s="781">
        <v>0</v>
      </c>
      <c r="AJ214" s="781">
        <v>0</v>
      </c>
      <c r="AK214" s="781">
        <v>0</v>
      </c>
      <c r="AL214" s="781">
        <v>0</v>
      </c>
      <c r="AM214" s="819">
        <v>0</v>
      </c>
    </row>
    <row r="215" spans="1:39" ht="15" customHeight="1">
      <c r="A215" s="663" t="s">
        <v>964</v>
      </c>
      <c r="B215" s="682">
        <v>0</v>
      </c>
      <c r="C215" s="682">
        <v>0</v>
      </c>
      <c r="D215" s="682">
        <v>0</v>
      </c>
      <c r="E215" s="682">
        <v>0</v>
      </c>
      <c r="F215" s="682">
        <v>0</v>
      </c>
      <c r="G215" s="682">
        <v>0</v>
      </c>
      <c r="H215" s="682">
        <v>0</v>
      </c>
      <c r="I215" s="682">
        <v>0</v>
      </c>
      <c r="J215" s="682">
        <v>0</v>
      </c>
      <c r="K215" s="682">
        <v>0</v>
      </c>
      <c r="L215" s="682">
        <v>0</v>
      </c>
      <c r="M215" s="682">
        <v>0</v>
      </c>
      <c r="N215" s="682">
        <v>0</v>
      </c>
      <c r="O215" s="682">
        <v>0</v>
      </c>
      <c r="P215" s="682">
        <v>0</v>
      </c>
      <c r="Q215" s="682">
        <v>0</v>
      </c>
      <c r="R215" s="682">
        <v>0</v>
      </c>
      <c r="S215" s="682">
        <v>0</v>
      </c>
      <c r="T215" s="682">
        <v>0</v>
      </c>
      <c r="U215" s="682">
        <v>0</v>
      </c>
      <c r="V215" s="682">
        <v>0</v>
      </c>
      <c r="W215" s="683">
        <v>0</v>
      </c>
      <c r="X215" s="683">
        <v>0</v>
      </c>
      <c r="Y215" s="683">
        <v>0</v>
      </c>
      <c r="Z215" s="683">
        <v>0</v>
      </c>
      <c r="AA215" s="683">
        <v>0</v>
      </c>
      <c r="AB215" s="683">
        <v>0</v>
      </c>
      <c r="AC215" s="683">
        <v>0</v>
      </c>
      <c r="AD215" s="683">
        <v>0</v>
      </c>
      <c r="AE215" s="683">
        <v>0</v>
      </c>
      <c r="AF215" s="683">
        <v>0</v>
      </c>
      <c r="AG215" s="790">
        <v>2450</v>
      </c>
      <c r="AH215" s="781">
        <v>0</v>
      </c>
      <c r="AI215" s="781">
        <v>0</v>
      </c>
      <c r="AJ215" s="781">
        <v>0</v>
      </c>
      <c r="AK215" s="781">
        <v>0</v>
      </c>
      <c r="AL215" s="781">
        <v>0</v>
      </c>
      <c r="AM215" s="819">
        <v>0</v>
      </c>
    </row>
    <row r="216" spans="1:39" ht="15" customHeight="1">
      <c r="A216" s="663" t="s">
        <v>965</v>
      </c>
      <c r="B216" s="682">
        <v>0</v>
      </c>
      <c r="C216" s="682">
        <v>0</v>
      </c>
      <c r="D216" s="682">
        <v>0</v>
      </c>
      <c r="E216" s="682">
        <v>0</v>
      </c>
      <c r="F216" s="682">
        <v>0</v>
      </c>
      <c r="G216" s="682">
        <v>0</v>
      </c>
      <c r="H216" s="682">
        <v>0</v>
      </c>
      <c r="I216" s="682">
        <v>0</v>
      </c>
      <c r="J216" s="682">
        <v>0</v>
      </c>
      <c r="K216" s="682">
        <v>0</v>
      </c>
      <c r="L216" s="682">
        <v>0</v>
      </c>
      <c r="M216" s="682">
        <v>0</v>
      </c>
      <c r="N216" s="682">
        <v>0</v>
      </c>
      <c r="O216" s="682">
        <v>0</v>
      </c>
      <c r="P216" s="682">
        <v>0</v>
      </c>
      <c r="Q216" s="682">
        <v>0</v>
      </c>
      <c r="R216" s="682">
        <v>0</v>
      </c>
      <c r="S216" s="682">
        <v>0</v>
      </c>
      <c r="T216" s="682">
        <v>0</v>
      </c>
      <c r="U216" s="682">
        <v>0</v>
      </c>
      <c r="V216" s="682">
        <v>0</v>
      </c>
      <c r="W216" s="683">
        <v>0</v>
      </c>
      <c r="X216" s="683">
        <v>0</v>
      </c>
      <c r="Y216" s="683">
        <v>0</v>
      </c>
      <c r="Z216" s="683">
        <v>0</v>
      </c>
      <c r="AA216" s="683">
        <v>0</v>
      </c>
      <c r="AB216" s="683">
        <v>0</v>
      </c>
      <c r="AC216" s="683">
        <v>0</v>
      </c>
      <c r="AD216" s="683">
        <v>0</v>
      </c>
      <c r="AE216" s="683">
        <v>0</v>
      </c>
      <c r="AF216" s="683">
        <v>0</v>
      </c>
      <c r="AG216" s="790">
        <v>0</v>
      </c>
      <c r="AH216" s="781">
        <v>0</v>
      </c>
      <c r="AI216" s="781">
        <v>0</v>
      </c>
      <c r="AJ216" s="781">
        <v>0</v>
      </c>
      <c r="AK216" s="781">
        <v>0</v>
      </c>
      <c r="AL216" s="781">
        <v>0</v>
      </c>
      <c r="AM216" s="819">
        <v>0</v>
      </c>
    </row>
    <row r="217" spans="1:39" ht="15" customHeight="1">
      <c r="A217" s="663" t="s">
        <v>966</v>
      </c>
      <c r="B217" s="682">
        <v>0</v>
      </c>
      <c r="C217" s="682">
        <v>0</v>
      </c>
      <c r="D217" s="682">
        <v>0</v>
      </c>
      <c r="E217" s="682">
        <v>0</v>
      </c>
      <c r="F217" s="682">
        <v>0</v>
      </c>
      <c r="G217" s="682">
        <v>0</v>
      </c>
      <c r="H217" s="682">
        <v>0</v>
      </c>
      <c r="I217" s="682">
        <v>0</v>
      </c>
      <c r="J217" s="682">
        <v>0</v>
      </c>
      <c r="K217" s="682">
        <v>0</v>
      </c>
      <c r="L217" s="682">
        <v>0</v>
      </c>
      <c r="M217" s="682">
        <v>0</v>
      </c>
      <c r="N217" s="682">
        <v>0</v>
      </c>
      <c r="O217" s="682">
        <v>0</v>
      </c>
      <c r="P217" s="682">
        <v>0</v>
      </c>
      <c r="Q217" s="682">
        <v>0</v>
      </c>
      <c r="R217" s="682">
        <v>0</v>
      </c>
      <c r="S217" s="682">
        <v>0</v>
      </c>
      <c r="T217" s="682">
        <v>0</v>
      </c>
      <c r="U217" s="682">
        <v>0</v>
      </c>
      <c r="V217" s="682">
        <v>0</v>
      </c>
      <c r="W217" s="683">
        <v>0</v>
      </c>
      <c r="X217" s="683">
        <v>0</v>
      </c>
      <c r="Y217" s="683">
        <v>0</v>
      </c>
      <c r="Z217" s="683">
        <v>0</v>
      </c>
      <c r="AA217" s="683">
        <v>0</v>
      </c>
      <c r="AB217" s="683">
        <v>0</v>
      </c>
      <c r="AC217" s="683">
        <v>0</v>
      </c>
      <c r="AD217" s="683">
        <v>0</v>
      </c>
      <c r="AE217" s="683">
        <v>0</v>
      </c>
      <c r="AF217" s="683">
        <v>0</v>
      </c>
      <c r="AG217" s="790">
        <v>0</v>
      </c>
      <c r="AH217" s="781">
        <v>0</v>
      </c>
      <c r="AI217" s="781">
        <v>0</v>
      </c>
      <c r="AJ217" s="781">
        <v>0</v>
      </c>
      <c r="AK217" s="781">
        <v>0</v>
      </c>
      <c r="AL217" s="781">
        <v>0</v>
      </c>
      <c r="AM217" s="819">
        <v>0</v>
      </c>
    </row>
    <row r="218" spans="1:39" ht="15" customHeight="1">
      <c r="A218" s="663" t="s">
        <v>967</v>
      </c>
      <c r="B218" s="682">
        <v>0</v>
      </c>
      <c r="C218" s="682">
        <v>0</v>
      </c>
      <c r="D218" s="682">
        <v>0</v>
      </c>
      <c r="E218" s="682">
        <v>0</v>
      </c>
      <c r="F218" s="682">
        <v>0</v>
      </c>
      <c r="G218" s="682">
        <v>0</v>
      </c>
      <c r="H218" s="682">
        <v>0</v>
      </c>
      <c r="I218" s="682">
        <v>0</v>
      </c>
      <c r="J218" s="682">
        <v>0</v>
      </c>
      <c r="K218" s="682">
        <v>0</v>
      </c>
      <c r="L218" s="682">
        <v>0</v>
      </c>
      <c r="M218" s="682">
        <v>0</v>
      </c>
      <c r="N218" s="682">
        <v>0</v>
      </c>
      <c r="O218" s="682">
        <v>0</v>
      </c>
      <c r="P218" s="682">
        <v>0</v>
      </c>
      <c r="Q218" s="682">
        <v>0</v>
      </c>
      <c r="R218" s="682">
        <v>0</v>
      </c>
      <c r="S218" s="682">
        <v>0</v>
      </c>
      <c r="T218" s="682">
        <v>0</v>
      </c>
      <c r="U218" s="682">
        <v>0</v>
      </c>
      <c r="V218" s="682">
        <v>0</v>
      </c>
      <c r="W218" s="683">
        <v>0</v>
      </c>
      <c r="X218" s="683">
        <v>0</v>
      </c>
      <c r="Y218" s="683">
        <v>0</v>
      </c>
      <c r="Z218" s="683">
        <v>0</v>
      </c>
      <c r="AA218" s="683">
        <v>0</v>
      </c>
      <c r="AB218" s="683">
        <v>0</v>
      </c>
      <c r="AC218" s="683">
        <v>0</v>
      </c>
      <c r="AD218" s="683">
        <v>0</v>
      </c>
      <c r="AE218" s="683">
        <v>0</v>
      </c>
      <c r="AF218" s="683">
        <v>0</v>
      </c>
      <c r="AG218" s="790">
        <v>3600</v>
      </c>
      <c r="AH218" s="781">
        <v>0</v>
      </c>
      <c r="AI218" s="781">
        <v>0</v>
      </c>
      <c r="AJ218" s="781">
        <v>0</v>
      </c>
      <c r="AK218" s="781">
        <v>0</v>
      </c>
      <c r="AL218" s="781">
        <v>0</v>
      </c>
      <c r="AM218" s="819">
        <v>0</v>
      </c>
    </row>
    <row r="219" spans="1:39" ht="15" customHeight="1">
      <c r="A219" s="663" t="s">
        <v>968</v>
      </c>
      <c r="B219" s="682">
        <v>0</v>
      </c>
      <c r="C219" s="682">
        <v>0</v>
      </c>
      <c r="D219" s="682">
        <v>0</v>
      </c>
      <c r="E219" s="682">
        <v>0</v>
      </c>
      <c r="F219" s="682">
        <v>0</v>
      </c>
      <c r="G219" s="682">
        <v>0</v>
      </c>
      <c r="H219" s="682">
        <v>0</v>
      </c>
      <c r="I219" s="682">
        <v>0</v>
      </c>
      <c r="J219" s="682">
        <v>0</v>
      </c>
      <c r="K219" s="682">
        <v>0</v>
      </c>
      <c r="L219" s="682">
        <v>0</v>
      </c>
      <c r="M219" s="682">
        <v>0</v>
      </c>
      <c r="N219" s="682">
        <v>0</v>
      </c>
      <c r="O219" s="682">
        <v>0</v>
      </c>
      <c r="P219" s="682">
        <v>0</v>
      </c>
      <c r="Q219" s="682">
        <v>0</v>
      </c>
      <c r="R219" s="682">
        <v>0</v>
      </c>
      <c r="S219" s="682">
        <v>0</v>
      </c>
      <c r="T219" s="682">
        <v>0</v>
      </c>
      <c r="U219" s="682">
        <v>0</v>
      </c>
      <c r="V219" s="682">
        <v>0</v>
      </c>
      <c r="W219" s="683">
        <v>0</v>
      </c>
      <c r="X219" s="683">
        <v>0</v>
      </c>
      <c r="Y219" s="683">
        <v>0</v>
      </c>
      <c r="Z219" s="683">
        <v>0</v>
      </c>
      <c r="AA219" s="683">
        <v>0</v>
      </c>
      <c r="AB219" s="683">
        <v>0</v>
      </c>
      <c r="AC219" s="683">
        <v>0</v>
      </c>
      <c r="AD219" s="683">
        <v>0</v>
      </c>
      <c r="AE219" s="683">
        <v>0</v>
      </c>
      <c r="AF219" s="683">
        <v>0</v>
      </c>
      <c r="AG219" s="790">
        <v>3600</v>
      </c>
      <c r="AH219" s="781">
        <v>0</v>
      </c>
      <c r="AI219" s="781">
        <v>0</v>
      </c>
      <c r="AJ219" s="781">
        <v>0</v>
      </c>
      <c r="AK219" s="781">
        <v>0</v>
      </c>
      <c r="AL219" s="781">
        <v>0</v>
      </c>
      <c r="AM219" s="819">
        <v>0</v>
      </c>
    </row>
    <row r="220" spans="1:39" ht="15" customHeight="1">
      <c r="A220" s="663" t="s">
        <v>969</v>
      </c>
      <c r="B220" s="682">
        <v>0</v>
      </c>
      <c r="C220" s="682">
        <v>0</v>
      </c>
      <c r="D220" s="682">
        <v>0</v>
      </c>
      <c r="E220" s="682">
        <v>0</v>
      </c>
      <c r="F220" s="682">
        <v>0</v>
      </c>
      <c r="G220" s="682">
        <v>0</v>
      </c>
      <c r="H220" s="682">
        <v>0</v>
      </c>
      <c r="I220" s="682">
        <v>0</v>
      </c>
      <c r="J220" s="682">
        <v>0</v>
      </c>
      <c r="K220" s="682">
        <v>0</v>
      </c>
      <c r="L220" s="682">
        <v>0</v>
      </c>
      <c r="M220" s="682">
        <v>0</v>
      </c>
      <c r="N220" s="682">
        <v>0</v>
      </c>
      <c r="O220" s="682">
        <v>0</v>
      </c>
      <c r="P220" s="682">
        <v>0</v>
      </c>
      <c r="Q220" s="682">
        <v>0</v>
      </c>
      <c r="R220" s="682">
        <v>0</v>
      </c>
      <c r="S220" s="682">
        <v>0</v>
      </c>
      <c r="T220" s="682">
        <v>0</v>
      </c>
      <c r="U220" s="682">
        <v>0</v>
      </c>
      <c r="V220" s="682">
        <v>0</v>
      </c>
      <c r="W220" s="683">
        <v>0</v>
      </c>
      <c r="X220" s="683">
        <v>0</v>
      </c>
      <c r="Y220" s="683">
        <v>0</v>
      </c>
      <c r="Z220" s="683">
        <v>0</v>
      </c>
      <c r="AA220" s="683">
        <v>0</v>
      </c>
      <c r="AB220" s="683">
        <v>0</v>
      </c>
      <c r="AC220" s="683">
        <v>0</v>
      </c>
      <c r="AD220" s="683">
        <v>0</v>
      </c>
      <c r="AE220" s="683">
        <v>0</v>
      </c>
      <c r="AF220" s="683">
        <v>0</v>
      </c>
      <c r="AG220" s="790">
        <v>3600</v>
      </c>
      <c r="AH220" s="781">
        <v>0</v>
      </c>
      <c r="AI220" s="781">
        <v>0</v>
      </c>
      <c r="AJ220" s="781">
        <v>0</v>
      </c>
      <c r="AK220" s="781">
        <v>0</v>
      </c>
      <c r="AL220" s="781">
        <v>0</v>
      </c>
      <c r="AM220" s="819">
        <v>0</v>
      </c>
    </row>
    <row r="221" spans="1:39" ht="15" customHeight="1">
      <c r="A221" s="663" t="s">
        <v>970</v>
      </c>
      <c r="B221" s="682">
        <v>0</v>
      </c>
      <c r="C221" s="682">
        <v>0</v>
      </c>
      <c r="D221" s="682">
        <v>0</v>
      </c>
      <c r="E221" s="682">
        <v>0</v>
      </c>
      <c r="F221" s="682">
        <v>0</v>
      </c>
      <c r="G221" s="682">
        <v>0</v>
      </c>
      <c r="H221" s="682">
        <v>0</v>
      </c>
      <c r="I221" s="682">
        <v>0</v>
      </c>
      <c r="J221" s="682">
        <v>0</v>
      </c>
      <c r="K221" s="682">
        <v>0</v>
      </c>
      <c r="L221" s="682">
        <v>0</v>
      </c>
      <c r="M221" s="682">
        <v>0</v>
      </c>
      <c r="N221" s="682">
        <v>0</v>
      </c>
      <c r="O221" s="682">
        <v>0</v>
      </c>
      <c r="P221" s="682">
        <v>0</v>
      </c>
      <c r="Q221" s="682">
        <v>0</v>
      </c>
      <c r="R221" s="682">
        <v>0</v>
      </c>
      <c r="S221" s="682">
        <v>0</v>
      </c>
      <c r="T221" s="682">
        <v>0</v>
      </c>
      <c r="U221" s="682">
        <v>0</v>
      </c>
      <c r="V221" s="682">
        <v>0</v>
      </c>
      <c r="W221" s="683">
        <v>0</v>
      </c>
      <c r="X221" s="683">
        <v>0</v>
      </c>
      <c r="Y221" s="683">
        <v>0</v>
      </c>
      <c r="Z221" s="683">
        <v>0</v>
      </c>
      <c r="AA221" s="683">
        <v>0</v>
      </c>
      <c r="AB221" s="683">
        <v>0</v>
      </c>
      <c r="AC221" s="683">
        <v>0</v>
      </c>
      <c r="AD221" s="683">
        <v>0</v>
      </c>
      <c r="AE221" s="683">
        <v>0</v>
      </c>
      <c r="AF221" s="683">
        <v>0</v>
      </c>
      <c r="AG221" s="790">
        <v>3600</v>
      </c>
      <c r="AH221" s="781">
        <v>0</v>
      </c>
      <c r="AI221" s="781">
        <v>0</v>
      </c>
      <c r="AJ221" s="781">
        <v>0</v>
      </c>
      <c r="AK221" s="781">
        <v>0</v>
      </c>
      <c r="AL221" s="781">
        <v>0</v>
      </c>
      <c r="AM221" s="819">
        <v>0</v>
      </c>
    </row>
    <row r="222" spans="1:39" ht="15" customHeight="1">
      <c r="A222" s="663" t="s">
        <v>971</v>
      </c>
      <c r="B222" s="682">
        <v>0</v>
      </c>
      <c r="C222" s="682">
        <v>0</v>
      </c>
      <c r="D222" s="682">
        <v>0</v>
      </c>
      <c r="E222" s="682">
        <v>0</v>
      </c>
      <c r="F222" s="682">
        <v>0</v>
      </c>
      <c r="G222" s="682">
        <v>0</v>
      </c>
      <c r="H222" s="682">
        <v>0</v>
      </c>
      <c r="I222" s="682">
        <v>0</v>
      </c>
      <c r="J222" s="682">
        <v>0</v>
      </c>
      <c r="K222" s="682">
        <v>0</v>
      </c>
      <c r="L222" s="682">
        <v>0</v>
      </c>
      <c r="M222" s="682">
        <v>0</v>
      </c>
      <c r="N222" s="682">
        <v>0</v>
      </c>
      <c r="O222" s="682">
        <v>0</v>
      </c>
      <c r="P222" s="682">
        <v>0</v>
      </c>
      <c r="Q222" s="682">
        <v>0</v>
      </c>
      <c r="R222" s="682">
        <v>0</v>
      </c>
      <c r="S222" s="682">
        <v>0</v>
      </c>
      <c r="T222" s="682">
        <v>0</v>
      </c>
      <c r="U222" s="682">
        <v>0</v>
      </c>
      <c r="V222" s="682">
        <v>0</v>
      </c>
      <c r="W222" s="683">
        <v>0</v>
      </c>
      <c r="X222" s="683">
        <v>0</v>
      </c>
      <c r="Y222" s="683">
        <v>0</v>
      </c>
      <c r="Z222" s="683">
        <v>0</v>
      </c>
      <c r="AA222" s="683">
        <v>0</v>
      </c>
      <c r="AB222" s="683">
        <v>0</v>
      </c>
      <c r="AC222" s="683">
        <v>0</v>
      </c>
      <c r="AD222" s="683">
        <v>0</v>
      </c>
      <c r="AE222" s="683">
        <v>0</v>
      </c>
      <c r="AF222" s="683">
        <v>0</v>
      </c>
      <c r="AG222" s="790">
        <v>3600</v>
      </c>
      <c r="AH222" s="781">
        <v>0</v>
      </c>
      <c r="AI222" s="781">
        <v>0</v>
      </c>
      <c r="AJ222" s="781">
        <v>0</v>
      </c>
      <c r="AK222" s="781">
        <v>0</v>
      </c>
      <c r="AL222" s="781">
        <v>0</v>
      </c>
      <c r="AM222" s="819">
        <v>0</v>
      </c>
    </row>
    <row r="223" spans="1:39" ht="15" customHeight="1">
      <c r="A223" s="663" t="s">
        <v>972</v>
      </c>
      <c r="B223" s="682">
        <v>0</v>
      </c>
      <c r="C223" s="682">
        <v>0</v>
      </c>
      <c r="D223" s="682">
        <v>0</v>
      </c>
      <c r="E223" s="682">
        <v>0</v>
      </c>
      <c r="F223" s="682">
        <v>0</v>
      </c>
      <c r="G223" s="682">
        <v>0</v>
      </c>
      <c r="H223" s="682">
        <v>0</v>
      </c>
      <c r="I223" s="682">
        <v>0</v>
      </c>
      <c r="J223" s="682">
        <v>0</v>
      </c>
      <c r="K223" s="682">
        <v>0</v>
      </c>
      <c r="L223" s="682">
        <v>0</v>
      </c>
      <c r="M223" s="682">
        <v>0</v>
      </c>
      <c r="N223" s="682">
        <v>0</v>
      </c>
      <c r="O223" s="682">
        <v>0</v>
      </c>
      <c r="P223" s="682">
        <v>0</v>
      </c>
      <c r="Q223" s="682">
        <v>0</v>
      </c>
      <c r="R223" s="682">
        <v>0</v>
      </c>
      <c r="S223" s="682">
        <v>0</v>
      </c>
      <c r="T223" s="682">
        <v>0</v>
      </c>
      <c r="U223" s="682">
        <v>0</v>
      </c>
      <c r="V223" s="682">
        <v>0</v>
      </c>
      <c r="W223" s="683">
        <v>0</v>
      </c>
      <c r="X223" s="683">
        <v>0</v>
      </c>
      <c r="Y223" s="683">
        <v>0</v>
      </c>
      <c r="Z223" s="683">
        <v>0</v>
      </c>
      <c r="AA223" s="683">
        <v>0</v>
      </c>
      <c r="AB223" s="683">
        <v>0</v>
      </c>
      <c r="AC223" s="683">
        <v>0</v>
      </c>
      <c r="AD223" s="683">
        <v>0</v>
      </c>
      <c r="AE223" s="683">
        <v>0</v>
      </c>
      <c r="AF223" s="683">
        <v>0</v>
      </c>
      <c r="AG223" s="790">
        <v>3600</v>
      </c>
      <c r="AH223" s="781">
        <v>0</v>
      </c>
      <c r="AI223" s="781">
        <v>0</v>
      </c>
      <c r="AJ223" s="781">
        <v>0</v>
      </c>
      <c r="AK223" s="781">
        <v>0</v>
      </c>
      <c r="AL223" s="781">
        <v>0</v>
      </c>
      <c r="AM223" s="819">
        <v>0</v>
      </c>
    </row>
    <row r="224" spans="1:39" ht="15" customHeight="1">
      <c r="A224" s="663" t="s">
        <v>973</v>
      </c>
      <c r="B224" s="682">
        <v>0</v>
      </c>
      <c r="C224" s="682">
        <v>0</v>
      </c>
      <c r="D224" s="682">
        <v>0</v>
      </c>
      <c r="E224" s="682">
        <v>0</v>
      </c>
      <c r="F224" s="682">
        <v>0</v>
      </c>
      <c r="G224" s="682">
        <v>0</v>
      </c>
      <c r="H224" s="682">
        <v>0</v>
      </c>
      <c r="I224" s="682">
        <v>0</v>
      </c>
      <c r="J224" s="682">
        <v>0</v>
      </c>
      <c r="K224" s="682">
        <v>0</v>
      </c>
      <c r="L224" s="682">
        <v>0</v>
      </c>
      <c r="M224" s="682">
        <v>0</v>
      </c>
      <c r="N224" s="682">
        <v>0</v>
      </c>
      <c r="O224" s="682">
        <v>0</v>
      </c>
      <c r="P224" s="682">
        <v>0</v>
      </c>
      <c r="Q224" s="682">
        <v>0</v>
      </c>
      <c r="R224" s="682">
        <v>0</v>
      </c>
      <c r="S224" s="682">
        <v>0</v>
      </c>
      <c r="T224" s="682">
        <v>0</v>
      </c>
      <c r="U224" s="682">
        <v>0</v>
      </c>
      <c r="V224" s="682">
        <v>0</v>
      </c>
      <c r="W224" s="683">
        <v>0</v>
      </c>
      <c r="X224" s="683">
        <v>0</v>
      </c>
      <c r="Y224" s="683">
        <v>0</v>
      </c>
      <c r="Z224" s="683">
        <v>0</v>
      </c>
      <c r="AA224" s="683">
        <v>0</v>
      </c>
      <c r="AB224" s="683">
        <v>0</v>
      </c>
      <c r="AC224" s="683">
        <v>0</v>
      </c>
      <c r="AD224" s="683">
        <v>0</v>
      </c>
      <c r="AE224" s="683">
        <v>0</v>
      </c>
      <c r="AF224" s="683">
        <v>0</v>
      </c>
      <c r="AG224" s="790">
        <v>3600</v>
      </c>
      <c r="AH224" s="781">
        <v>0</v>
      </c>
      <c r="AI224" s="781">
        <v>0</v>
      </c>
      <c r="AJ224" s="781">
        <v>0</v>
      </c>
      <c r="AK224" s="781">
        <v>0</v>
      </c>
      <c r="AL224" s="781">
        <v>0</v>
      </c>
      <c r="AM224" s="819">
        <v>0</v>
      </c>
    </row>
    <row r="225" spans="1:39" ht="15" customHeight="1">
      <c r="A225" s="663" t="s">
        <v>974</v>
      </c>
      <c r="B225" s="682">
        <v>0</v>
      </c>
      <c r="C225" s="682">
        <v>0</v>
      </c>
      <c r="D225" s="682">
        <v>0</v>
      </c>
      <c r="E225" s="682">
        <v>0</v>
      </c>
      <c r="F225" s="682">
        <v>0</v>
      </c>
      <c r="G225" s="682">
        <v>0</v>
      </c>
      <c r="H225" s="682">
        <v>0</v>
      </c>
      <c r="I225" s="682">
        <v>0</v>
      </c>
      <c r="J225" s="682">
        <v>0</v>
      </c>
      <c r="K225" s="682">
        <v>0</v>
      </c>
      <c r="L225" s="682">
        <v>0</v>
      </c>
      <c r="M225" s="682">
        <v>0</v>
      </c>
      <c r="N225" s="682">
        <v>0</v>
      </c>
      <c r="O225" s="682">
        <v>0</v>
      </c>
      <c r="P225" s="682">
        <v>0</v>
      </c>
      <c r="Q225" s="682">
        <v>0</v>
      </c>
      <c r="R225" s="682">
        <v>0</v>
      </c>
      <c r="S225" s="682">
        <v>0</v>
      </c>
      <c r="T225" s="682">
        <v>0</v>
      </c>
      <c r="U225" s="682">
        <v>0</v>
      </c>
      <c r="V225" s="682">
        <v>0</v>
      </c>
      <c r="W225" s="683">
        <v>0</v>
      </c>
      <c r="X225" s="683">
        <v>0</v>
      </c>
      <c r="Y225" s="683">
        <v>0</v>
      </c>
      <c r="Z225" s="683">
        <v>0</v>
      </c>
      <c r="AA225" s="683">
        <v>0</v>
      </c>
      <c r="AB225" s="683">
        <v>0</v>
      </c>
      <c r="AC225" s="683">
        <v>0</v>
      </c>
      <c r="AD225" s="683">
        <v>0</v>
      </c>
      <c r="AE225" s="683">
        <v>0</v>
      </c>
      <c r="AF225" s="683">
        <v>0</v>
      </c>
      <c r="AG225" s="790">
        <v>3600</v>
      </c>
      <c r="AH225" s="781">
        <v>0</v>
      </c>
      <c r="AI225" s="781">
        <v>0</v>
      </c>
      <c r="AJ225" s="781">
        <v>0</v>
      </c>
      <c r="AK225" s="781">
        <v>0</v>
      </c>
      <c r="AL225" s="781">
        <v>0</v>
      </c>
      <c r="AM225" s="819">
        <v>0</v>
      </c>
    </row>
    <row r="226" spans="1:39" ht="15" customHeight="1">
      <c r="A226" s="663" t="s">
        <v>975</v>
      </c>
      <c r="B226" s="682">
        <v>0</v>
      </c>
      <c r="C226" s="682">
        <v>0</v>
      </c>
      <c r="D226" s="682">
        <v>0</v>
      </c>
      <c r="E226" s="682">
        <v>0</v>
      </c>
      <c r="F226" s="682">
        <v>0</v>
      </c>
      <c r="G226" s="682">
        <v>0</v>
      </c>
      <c r="H226" s="682">
        <v>0</v>
      </c>
      <c r="I226" s="682">
        <v>0</v>
      </c>
      <c r="J226" s="682">
        <v>0</v>
      </c>
      <c r="K226" s="682">
        <v>0</v>
      </c>
      <c r="L226" s="682">
        <v>0</v>
      </c>
      <c r="M226" s="682">
        <v>0</v>
      </c>
      <c r="N226" s="682">
        <v>0</v>
      </c>
      <c r="O226" s="682">
        <v>0</v>
      </c>
      <c r="P226" s="682">
        <v>0</v>
      </c>
      <c r="Q226" s="682">
        <v>0</v>
      </c>
      <c r="R226" s="682">
        <v>0</v>
      </c>
      <c r="S226" s="682">
        <v>0</v>
      </c>
      <c r="T226" s="682">
        <v>0</v>
      </c>
      <c r="U226" s="682">
        <v>0</v>
      </c>
      <c r="V226" s="682">
        <v>0</v>
      </c>
      <c r="W226" s="683">
        <v>0</v>
      </c>
      <c r="X226" s="683">
        <v>0</v>
      </c>
      <c r="Y226" s="683">
        <v>0</v>
      </c>
      <c r="Z226" s="683">
        <v>0</v>
      </c>
      <c r="AA226" s="683">
        <v>0</v>
      </c>
      <c r="AB226" s="683">
        <v>0</v>
      </c>
      <c r="AC226" s="683">
        <v>0</v>
      </c>
      <c r="AD226" s="683">
        <v>0</v>
      </c>
      <c r="AE226" s="683">
        <v>0</v>
      </c>
      <c r="AF226" s="683">
        <v>0</v>
      </c>
      <c r="AG226" s="790">
        <v>3600</v>
      </c>
      <c r="AH226" s="781">
        <v>0</v>
      </c>
      <c r="AI226" s="781">
        <v>0</v>
      </c>
      <c r="AJ226" s="781">
        <v>0</v>
      </c>
      <c r="AK226" s="781">
        <v>0</v>
      </c>
      <c r="AL226" s="781">
        <v>0</v>
      </c>
      <c r="AM226" s="819">
        <v>0</v>
      </c>
    </row>
    <row r="227" spans="1:39" ht="15" customHeight="1">
      <c r="A227" s="663" t="s">
        <v>976</v>
      </c>
      <c r="B227" s="682">
        <v>0</v>
      </c>
      <c r="C227" s="682">
        <v>0</v>
      </c>
      <c r="D227" s="682">
        <v>0</v>
      </c>
      <c r="E227" s="682">
        <v>0</v>
      </c>
      <c r="F227" s="682">
        <v>0</v>
      </c>
      <c r="G227" s="682">
        <v>0</v>
      </c>
      <c r="H227" s="682">
        <v>0</v>
      </c>
      <c r="I227" s="682">
        <v>0</v>
      </c>
      <c r="J227" s="682">
        <v>0</v>
      </c>
      <c r="K227" s="682">
        <v>0</v>
      </c>
      <c r="L227" s="682">
        <v>0</v>
      </c>
      <c r="M227" s="682">
        <v>0</v>
      </c>
      <c r="N227" s="682">
        <v>0</v>
      </c>
      <c r="O227" s="682">
        <v>0</v>
      </c>
      <c r="P227" s="682">
        <v>0</v>
      </c>
      <c r="Q227" s="682">
        <v>0</v>
      </c>
      <c r="R227" s="682">
        <v>0</v>
      </c>
      <c r="S227" s="682">
        <v>0</v>
      </c>
      <c r="T227" s="682">
        <v>0</v>
      </c>
      <c r="U227" s="682">
        <v>0</v>
      </c>
      <c r="V227" s="682">
        <v>0</v>
      </c>
      <c r="W227" s="683">
        <v>0</v>
      </c>
      <c r="X227" s="683">
        <v>0</v>
      </c>
      <c r="Y227" s="683">
        <v>0</v>
      </c>
      <c r="Z227" s="683">
        <v>0</v>
      </c>
      <c r="AA227" s="683">
        <v>0</v>
      </c>
      <c r="AB227" s="683">
        <v>0</v>
      </c>
      <c r="AC227" s="683">
        <v>0</v>
      </c>
      <c r="AD227" s="683">
        <v>0</v>
      </c>
      <c r="AE227" s="683">
        <v>0</v>
      </c>
      <c r="AF227" s="683">
        <v>0</v>
      </c>
      <c r="AG227" s="790">
        <v>3600</v>
      </c>
      <c r="AH227" s="781">
        <v>0</v>
      </c>
      <c r="AI227" s="781">
        <v>0</v>
      </c>
      <c r="AJ227" s="781">
        <v>0</v>
      </c>
      <c r="AK227" s="781">
        <v>0</v>
      </c>
      <c r="AL227" s="781">
        <v>0</v>
      </c>
      <c r="AM227" s="819">
        <v>0</v>
      </c>
    </row>
    <row r="228" spans="1:39" ht="15" customHeight="1">
      <c r="A228" s="663" t="s">
        <v>977</v>
      </c>
      <c r="B228" s="682">
        <v>0</v>
      </c>
      <c r="C228" s="682">
        <v>0</v>
      </c>
      <c r="D228" s="682">
        <v>0</v>
      </c>
      <c r="E228" s="682">
        <v>0</v>
      </c>
      <c r="F228" s="682">
        <v>0</v>
      </c>
      <c r="G228" s="682">
        <v>0</v>
      </c>
      <c r="H228" s="682">
        <v>0</v>
      </c>
      <c r="I228" s="682">
        <v>0</v>
      </c>
      <c r="J228" s="682">
        <v>0</v>
      </c>
      <c r="K228" s="682">
        <v>0</v>
      </c>
      <c r="L228" s="682">
        <v>0</v>
      </c>
      <c r="M228" s="682">
        <v>0</v>
      </c>
      <c r="N228" s="682">
        <v>0</v>
      </c>
      <c r="O228" s="682">
        <v>0</v>
      </c>
      <c r="P228" s="682">
        <v>0</v>
      </c>
      <c r="Q228" s="682">
        <v>0</v>
      </c>
      <c r="R228" s="682">
        <v>0</v>
      </c>
      <c r="S228" s="682">
        <v>0</v>
      </c>
      <c r="T228" s="682">
        <v>0</v>
      </c>
      <c r="U228" s="682">
        <v>0</v>
      </c>
      <c r="V228" s="682">
        <v>0</v>
      </c>
      <c r="W228" s="683">
        <v>0</v>
      </c>
      <c r="X228" s="683">
        <v>0</v>
      </c>
      <c r="Y228" s="683">
        <v>0</v>
      </c>
      <c r="Z228" s="683">
        <v>0</v>
      </c>
      <c r="AA228" s="683">
        <v>0</v>
      </c>
      <c r="AB228" s="683">
        <v>0</v>
      </c>
      <c r="AC228" s="683">
        <v>0</v>
      </c>
      <c r="AD228" s="683">
        <v>0</v>
      </c>
      <c r="AE228" s="683">
        <v>0</v>
      </c>
      <c r="AF228" s="683">
        <v>0</v>
      </c>
      <c r="AG228" s="790">
        <v>3600</v>
      </c>
      <c r="AH228" s="781">
        <v>0</v>
      </c>
      <c r="AI228" s="781">
        <v>0</v>
      </c>
      <c r="AJ228" s="781">
        <v>0</v>
      </c>
      <c r="AK228" s="781">
        <v>0</v>
      </c>
      <c r="AL228" s="781">
        <v>0</v>
      </c>
      <c r="AM228" s="819">
        <v>0</v>
      </c>
    </row>
    <row r="229" spans="1:39" ht="15" customHeight="1">
      <c r="A229" s="663" t="s">
        <v>978</v>
      </c>
      <c r="B229" s="682">
        <v>0</v>
      </c>
      <c r="C229" s="682">
        <v>0</v>
      </c>
      <c r="D229" s="682">
        <v>0</v>
      </c>
      <c r="E229" s="682">
        <v>0</v>
      </c>
      <c r="F229" s="682">
        <v>0</v>
      </c>
      <c r="G229" s="682">
        <v>0</v>
      </c>
      <c r="H229" s="682">
        <v>0</v>
      </c>
      <c r="I229" s="682">
        <v>0</v>
      </c>
      <c r="J229" s="682">
        <v>0</v>
      </c>
      <c r="K229" s="682">
        <v>0</v>
      </c>
      <c r="L229" s="682">
        <v>0</v>
      </c>
      <c r="M229" s="682">
        <v>0</v>
      </c>
      <c r="N229" s="682">
        <v>0</v>
      </c>
      <c r="O229" s="682">
        <v>0</v>
      </c>
      <c r="P229" s="682">
        <v>0</v>
      </c>
      <c r="Q229" s="682">
        <v>0</v>
      </c>
      <c r="R229" s="682">
        <v>0</v>
      </c>
      <c r="S229" s="682">
        <v>0</v>
      </c>
      <c r="T229" s="682">
        <v>0</v>
      </c>
      <c r="U229" s="682">
        <v>0</v>
      </c>
      <c r="V229" s="682">
        <v>0</v>
      </c>
      <c r="W229" s="683">
        <v>0</v>
      </c>
      <c r="X229" s="683">
        <v>0</v>
      </c>
      <c r="Y229" s="683">
        <v>0</v>
      </c>
      <c r="Z229" s="683">
        <v>0</v>
      </c>
      <c r="AA229" s="683">
        <v>0</v>
      </c>
      <c r="AB229" s="683">
        <v>0</v>
      </c>
      <c r="AC229" s="683">
        <v>0</v>
      </c>
      <c r="AD229" s="683">
        <v>0</v>
      </c>
      <c r="AE229" s="683">
        <v>0</v>
      </c>
      <c r="AF229" s="683">
        <v>0</v>
      </c>
      <c r="AG229" s="790">
        <v>3600</v>
      </c>
      <c r="AH229" s="781">
        <v>0</v>
      </c>
      <c r="AI229" s="781">
        <v>0</v>
      </c>
      <c r="AJ229" s="781">
        <v>0</v>
      </c>
      <c r="AK229" s="781">
        <v>0</v>
      </c>
      <c r="AL229" s="781">
        <v>0</v>
      </c>
      <c r="AM229" s="819">
        <v>0</v>
      </c>
    </row>
    <row r="230" spans="1:39" ht="15" customHeight="1">
      <c r="A230" s="663" t="s">
        <v>979</v>
      </c>
      <c r="B230" s="682">
        <v>0</v>
      </c>
      <c r="C230" s="682">
        <v>0</v>
      </c>
      <c r="D230" s="682">
        <v>0</v>
      </c>
      <c r="E230" s="682">
        <v>0</v>
      </c>
      <c r="F230" s="682">
        <v>0</v>
      </c>
      <c r="G230" s="682">
        <v>0</v>
      </c>
      <c r="H230" s="682">
        <v>0</v>
      </c>
      <c r="I230" s="682">
        <v>0</v>
      </c>
      <c r="J230" s="682">
        <v>0</v>
      </c>
      <c r="K230" s="682">
        <v>0</v>
      </c>
      <c r="L230" s="682">
        <v>0</v>
      </c>
      <c r="M230" s="682">
        <v>0</v>
      </c>
      <c r="N230" s="682">
        <v>0</v>
      </c>
      <c r="O230" s="682">
        <v>0</v>
      </c>
      <c r="P230" s="682">
        <v>0</v>
      </c>
      <c r="Q230" s="682">
        <v>0</v>
      </c>
      <c r="R230" s="682">
        <v>0</v>
      </c>
      <c r="S230" s="682">
        <v>0</v>
      </c>
      <c r="T230" s="682">
        <v>0</v>
      </c>
      <c r="U230" s="682">
        <v>0</v>
      </c>
      <c r="V230" s="682">
        <v>0</v>
      </c>
      <c r="W230" s="683">
        <v>0</v>
      </c>
      <c r="X230" s="683">
        <v>0</v>
      </c>
      <c r="Y230" s="683">
        <v>0</v>
      </c>
      <c r="Z230" s="683">
        <v>0</v>
      </c>
      <c r="AA230" s="683">
        <v>0</v>
      </c>
      <c r="AB230" s="683">
        <v>0</v>
      </c>
      <c r="AC230" s="683">
        <v>0</v>
      </c>
      <c r="AD230" s="683">
        <v>0</v>
      </c>
      <c r="AE230" s="683">
        <v>0</v>
      </c>
      <c r="AF230" s="683">
        <v>0</v>
      </c>
      <c r="AG230" s="790">
        <v>3600</v>
      </c>
      <c r="AH230" s="781">
        <v>0</v>
      </c>
      <c r="AI230" s="781">
        <v>0</v>
      </c>
      <c r="AJ230" s="781">
        <v>0</v>
      </c>
      <c r="AK230" s="781">
        <v>0</v>
      </c>
      <c r="AL230" s="781">
        <v>0</v>
      </c>
      <c r="AM230" s="819">
        <v>0</v>
      </c>
    </row>
    <row r="231" spans="1:39" ht="15" customHeight="1">
      <c r="A231" s="663" t="s">
        <v>980</v>
      </c>
      <c r="B231" s="682">
        <v>0</v>
      </c>
      <c r="C231" s="682">
        <v>0</v>
      </c>
      <c r="D231" s="682">
        <v>0</v>
      </c>
      <c r="E231" s="682">
        <v>0</v>
      </c>
      <c r="F231" s="682">
        <v>0</v>
      </c>
      <c r="G231" s="682">
        <v>0</v>
      </c>
      <c r="H231" s="682">
        <v>0</v>
      </c>
      <c r="I231" s="682">
        <v>0</v>
      </c>
      <c r="J231" s="682">
        <v>0</v>
      </c>
      <c r="K231" s="682">
        <v>0</v>
      </c>
      <c r="L231" s="682">
        <v>0</v>
      </c>
      <c r="M231" s="682">
        <v>0</v>
      </c>
      <c r="N231" s="682">
        <v>0</v>
      </c>
      <c r="O231" s="682">
        <v>0</v>
      </c>
      <c r="P231" s="682">
        <v>0</v>
      </c>
      <c r="Q231" s="682">
        <v>0</v>
      </c>
      <c r="R231" s="682">
        <v>0</v>
      </c>
      <c r="S231" s="682">
        <v>0</v>
      </c>
      <c r="T231" s="682">
        <v>0</v>
      </c>
      <c r="U231" s="682">
        <v>0</v>
      </c>
      <c r="V231" s="682">
        <v>0</v>
      </c>
      <c r="W231" s="683">
        <v>0</v>
      </c>
      <c r="X231" s="683">
        <v>0</v>
      </c>
      <c r="Y231" s="683">
        <v>0</v>
      </c>
      <c r="Z231" s="683">
        <v>0</v>
      </c>
      <c r="AA231" s="683">
        <v>0</v>
      </c>
      <c r="AB231" s="683">
        <v>0</v>
      </c>
      <c r="AC231" s="683">
        <v>0</v>
      </c>
      <c r="AD231" s="683">
        <v>0</v>
      </c>
      <c r="AE231" s="683">
        <v>0</v>
      </c>
      <c r="AF231" s="683">
        <v>0</v>
      </c>
      <c r="AG231" s="790">
        <v>3600</v>
      </c>
      <c r="AH231" s="781">
        <v>0</v>
      </c>
      <c r="AI231" s="781">
        <v>0</v>
      </c>
      <c r="AJ231" s="781">
        <v>0</v>
      </c>
      <c r="AK231" s="781">
        <v>0</v>
      </c>
      <c r="AL231" s="781">
        <v>0</v>
      </c>
      <c r="AM231" s="819">
        <v>0</v>
      </c>
    </row>
    <row r="232" spans="1:39" ht="15" customHeight="1">
      <c r="A232" s="663" t="s">
        <v>981</v>
      </c>
      <c r="B232" s="682">
        <v>0</v>
      </c>
      <c r="C232" s="682">
        <v>0</v>
      </c>
      <c r="D232" s="682">
        <v>0</v>
      </c>
      <c r="E232" s="682">
        <v>0</v>
      </c>
      <c r="F232" s="682">
        <v>0</v>
      </c>
      <c r="G232" s="682">
        <v>0</v>
      </c>
      <c r="H232" s="682">
        <v>0</v>
      </c>
      <c r="I232" s="682">
        <v>0</v>
      </c>
      <c r="J232" s="682">
        <v>0</v>
      </c>
      <c r="K232" s="682">
        <v>0</v>
      </c>
      <c r="L232" s="682">
        <v>0</v>
      </c>
      <c r="M232" s="682">
        <v>0</v>
      </c>
      <c r="N232" s="682">
        <v>0</v>
      </c>
      <c r="O232" s="682">
        <v>0</v>
      </c>
      <c r="P232" s="682">
        <v>0</v>
      </c>
      <c r="Q232" s="682">
        <v>0</v>
      </c>
      <c r="R232" s="682">
        <v>0</v>
      </c>
      <c r="S232" s="682">
        <v>0</v>
      </c>
      <c r="T232" s="682">
        <v>0</v>
      </c>
      <c r="U232" s="682">
        <v>0</v>
      </c>
      <c r="V232" s="682">
        <v>0</v>
      </c>
      <c r="W232" s="683">
        <v>0</v>
      </c>
      <c r="X232" s="683">
        <v>0</v>
      </c>
      <c r="Y232" s="683">
        <v>0</v>
      </c>
      <c r="Z232" s="683">
        <v>0</v>
      </c>
      <c r="AA232" s="683">
        <v>0</v>
      </c>
      <c r="AB232" s="683">
        <v>0</v>
      </c>
      <c r="AC232" s="683">
        <v>0</v>
      </c>
      <c r="AD232" s="683">
        <v>0</v>
      </c>
      <c r="AE232" s="683">
        <v>0</v>
      </c>
      <c r="AF232" s="683">
        <v>0</v>
      </c>
      <c r="AG232" s="790">
        <v>3600</v>
      </c>
      <c r="AH232" s="781">
        <v>0</v>
      </c>
      <c r="AI232" s="781">
        <v>0</v>
      </c>
      <c r="AJ232" s="781">
        <v>0</v>
      </c>
      <c r="AK232" s="781">
        <v>0</v>
      </c>
      <c r="AL232" s="781">
        <v>0</v>
      </c>
      <c r="AM232" s="819">
        <v>0</v>
      </c>
    </row>
    <row r="233" spans="1:39" ht="15" customHeight="1">
      <c r="A233" s="663" t="s">
        <v>982</v>
      </c>
      <c r="B233" s="682">
        <v>0</v>
      </c>
      <c r="C233" s="682">
        <v>0</v>
      </c>
      <c r="D233" s="682">
        <v>0</v>
      </c>
      <c r="E233" s="682">
        <v>0</v>
      </c>
      <c r="F233" s="682">
        <v>0</v>
      </c>
      <c r="G233" s="682">
        <v>0</v>
      </c>
      <c r="H233" s="682">
        <v>0</v>
      </c>
      <c r="I233" s="682">
        <v>0</v>
      </c>
      <c r="J233" s="682">
        <v>0</v>
      </c>
      <c r="K233" s="682">
        <v>0</v>
      </c>
      <c r="L233" s="682">
        <v>0</v>
      </c>
      <c r="M233" s="682">
        <v>0</v>
      </c>
      <c r="N233" s="682">
        <v>0</v>
      </c>
      <c r="O233" s="682">
        <v>0</v>
      </c>
      <c r="P233" s="682">
        <v>0</v>
      </c>
      <c r="Q233" s="682">
        <v>0</v>
      </c>
      <c r="R233" s="682">
        <v>0</v>
      </c>
      <c r="S233" s="682">
        <v>0</v>
      </c>
      <c r="T233" s="682">
        <v>0</v>
      </c>
      <c r="U233" s="682">
        <v>0</v>
      </c>
      <c r="V233" s="682">
        <v>0</v>
      </c>
      <c r="W233" s="683">
        <v>0</v>
      </c>
      <c r="X233" s="683">
        <v>0</v>
      </c>
      <c r="Y233" s="683">
        <v>0</v>
      </c>
      <c r="Z233" s="683">
        <v>0</v>
      </c>
      <c r="AA233" s="683">
        <v>0</v>
      </c>
      <c r="AB233" s="683">
        <v>0</v>
      </c>
      <c r="AC233" s="683">
        <v>0</v>
      </c>
      <c r="AD233" s="683">
        <v>0</v>
      </c>
      <c r="AE233" s="683">
        <v>0</v>
      </c>
      <c r="AF233" s="683">
        <v>0</v>
      </c>
      <c r="AG233" s="790">
        <v>3600</v>
      </c>
      <c r="AH233" s="781">
        <v>0</v>
      </c>
      <c r="AI233" s="781">
        <v>0</v>
      </c>
      <c r="AJ233" s="781">
        <v>0</v>
      </c>
      <c r="AK233" s="781">
        <v>0</v>
      </c>
      <c r="AL233" s="781">
        <v>0</v>
      </c>
      <c r="AM233" s="819">
        <v>0</v>
      </c>
    </row>
    <row r="234" spans="1:39" ht="15" customHeight="1">
      <c r="A234" s="663" t="s">
        <v>983</v>
      </c>
      <c r="B234" s="682">
        <v>0</v>
      </c>
      <c r="C234" s="682">
        <v>0</v>
      </c>
      <c r="D234" s="682">
        <v>0</v>
      </c>
      <c r="E234" s="682">
        <v>0</v>
      </c>
      <c r="F234" s="682">
        <v>0</v>
      </c>
      <c r="G234" s="682">
        <v>0</v>
      </c>
      <c r="H234" s="682">
        <v>0</v>
      </c>
      <c r="I234" s="682">
        <v>0</v>
      </c>
      <c r="J234" s="682">
        <v>0</v>
      </c>
      <c r="K234" s="682">
        <v>0</v>
      </c>
      <c r="L234" s="682">
        <v>0</v>
      </c>
      <c r="M234" s="682">
        <v>0</v>
      </c>
      <c r="N234" s="682">
        <v>0</v>
      </c>
      <c r="O234" s="682">
        <v>0</v>
      </c>
      <c r="P234" s="682">
        <v>0</v>
      </c>
      <c r="Q234" s="682">
        <v>0</v>
      </c>
      <c r="R234" s="682">
        <v>0</v>
      </c>
      <c r="S234" s="682">
        <v>0</v>
      </c>
      <c r="T234" s="682">
        <v>0</v>
      </c>
      <c r="U234" s="682">
        <v>0</v>
      </c>
      <c r="V234" s="682">
        <v>0</v>
      </c>
      <c r="W234" s="683">
        <v>0</v>
      </c>
      <c r="X234" s="683">
        <v>0</v>
      </c>
      <c r="Y234" s="683">
        <v>0</v>
      </c>
      <c r="Z234" s="683">
        <v>0</v>
      </c>
      <c r="AA234" s="683">
        <v>0</v>
      </c>
      <c r="AB234" s="683">
        <v>0</v>
      </c>
      <c r="AC234" s="683">
        <v>0</v>
      </c>
      <c r="AD234" s="683">
        <v>0</v>
      </c>
      <c r="AE234" s="683">
        <v>0</v>
      </c>
      <c r="AF234" s="683">
        <v>0</v>
      </c>
      <c r="AG234" s="790">
        <v>3600</v>
      </c>
      <c r="AH234" s="781">
        <v>0</v>
      </c>
      <c r="AI234" s="781">
        <v>0</v>
      </c>
      <c r="AJ234" s="781">
        <v>0</v>
      </c>
      <c r="AK234" s="781">
        <v>0</v>
      </c>
      <c r="AL234" s="781">
        <v>0</v>
      </c>
      <c r="AM234" s="819">
        <v>0</v>
      </c>
    </row>
    <row r="235" spans="1:39" ht="15" customHeight="1">
      <c r="A235" s="663" t="s">
        <v>984</v>
      </c>
      <c r="B235" s="682">
        <v>0</v>
      </c>
      <c r="C235" s="682">
        <v>0</v>
      </c>
      <c r="D235" s="682">
        <v>0</v>
      </c>
      <c r="E235" s="682">
        <v>0</v>
      </c>
      <c r="F235" s="682">
        <v>0</v>
      </c>
      <c r="G235" s="682">
        <v>0</v>
      </c>
      <c r="H235" s="682">
        <v>0</v>
      </c>
      <c r="I235" s="682">
        <v>0</v>
      </c>
      <c r="J235" s="682">
        <v>0</v>
      </c>
      <c r="K235" s="682">
        <v>0</v>
      </c>
      <c r="L235" s="682">
        <v>0</v>
      </c>
      <c r="M235" s="682">
        <v>0</v>
      </c>
      <c r="N235" s="682">
        <v>0</v>
      </c>
      <c r="O235" s="682">
        <v>0</v>
      </c>
      <c r="P235" s="682">
        <v>0</v>
      </c>
      <c r="Q235" s="682">
        <v>0</v>
      </c>
      <c r="R235" s="682">
        <v>0</v>
      </c>
      <c r="S235" s="682">
        <v>0</v>
      </c>
      <c r="T235" s="682">
        <v>0</v>
      </c>
      <c r="U235" s="682">
        <v>0</v>
      </c>
      <c r="V235" s="682">
        <v>0</v>
      </c>
      <c r="W235" s="683">
        <v>0</v>
      </c>
      <c r="X235" s="683">
        <v>0</v>
      </c>
      <c r="Y235" s="683">
        <v>0</v>
      </c>
      <c r="Z235" s="683">
        <v>0</v>
      </c>
      <c r="AA235" s="683">
        <v>0</v>
      </c>
      <c r="AB235" s="683">
        <v>0</v>
      </c>
      <c r="AC235" s="683">
        <v>0</v>
      </c>
      <c r="AD235" s="683">
        <v>0</v>
      </c>
      <c r="AE235" s="683">
        <v>0</v>
      </c>
      <c r="AF235" s="683">
        <v>0</v>
      </c>
      <c r="AG235" s="790">
        <v>3600</v>
      </c>
      <c r="AH235" s="781">
        <v>0</v>
      </c>
      <c r="AI235" s="781">
        <v>0</v>
      </c>
      <c r="AJ235" s="781">
        <v>0</v>
      </c>
      <c r="AK235" s="781">
        <v>0</v>
      </c>
      <c r="AL235" s="781">
        <v>0</v>
      </c>
      <c r="AM235" s="819">
        <v>0</v>
      </c>
    </row>
    <row r="236" spans="1:39" ht="15" customHeight="1">
      <c r="A236" s="663" t="s">
        <v>985</v>
      </c>
      <c r="B236" s="682">
        <v>0</v>
      </c>
      <c r="C236" s="682">
        <v>0</v>
      </c>
      <c r="D236" s="682">
        <v>0</v>
      </c>
      <c r="E236" s="682">
        <v>0</v>
      </c>
      <c r="F236" s="682">
        <v>0</v>
      </c>
      <c r="G236" s="682">
        <v>0</v>
      </c>
      <c r="H236" s="682">
        <v>0</v>
      </c>
      <c r="I236" s="682">
        <v>0</v>
      </c>
      <c r="J236" s="682">
        <v>0</v>
      </c>
      <c r="K236" s="682">
        <v>0</v>
      </c>
      <c r="L236" s="682">
        <v>0</v>
      </c>
      <c r="M236" s="682">
        <v>0</v>
      </c>
      <c r="N236" s="682">
        <v>0</v>
      </c>
      <c r="O236" s="682">
        <v>0</v>
      </c>
      <c r="P236" s="682">
        <v>0</v>
      </c>
      <c r="Q236" s="682">
        <v>0</v>
      </c>
      <c r="R236" s="682">
        <v>0</v>
      </c>
      <c r="S236" s="682">
        <v>0</v>
      </c>
      <c r="T236" s="682">
        <v>0</v>
      </c>
      <c r="U236" s="682">
        <v>0</v>
      </c>
      <c r="V236" s="682">
        <v>0</v>
      </c>
      <c r="W236" s="683">
        <v>0</v>
      </c>
      <c r="X236" s="683">
        <v>0</v>
      </c>
      <c r="Y236" s="683">
        <v>0</v>
      </c>
      <c r="Z236" s="683">
        <v>0</v>
      </c>
      <c r="AA236" s="683">
        <v>0</v>
      </c>
      <c r="AB236" s="683">
        <v>0</v>
      </c>
      <c r="AC236" s="683">
        <v>0</v>
      </c>
      <c r="AD236" s="683">
        <v>0</v>
      </c>
      <c r="AE236" s="683">
        <v>0</v>
      </c>
      <c r="AF236" s="683">
        <v>0</v>
      </c>
      <c r="AG236" s="790">
        <v>3600</v>
      </c>
      <c r="AH236" s="781">
        <v>0</v>
      </c>
      <c r="AI236" s="781">
        <v>0</v>
      </c>
      <c r="AJ236" s="781">
        <v>0</v>
      </c>
      <c r="AK236" s="781">
        <v>0</v>
      </c>
      <c r="AL236" s="781">
        <v>0</v>
      </c>
      <c r="AM236" s="819">
        <v>0</v>
      </c>
    </row>
    <row r="237" spans="1:39" ht="15" customHeight="1">
      <c r="A237" s="663" t="s">
        <v>986</v>
      </c>
      <c r="B237" s="682">
        <v>0</v>
      </c>
      <c r="C237" s="682">
        <v>0</v>
      </c>
      <c r="D237" s="682">
        <v>0</v>
      </c>
      <c r="E237" s="682">
        <v>0</v>
      </c>
      <c r="F237" s="682">
        <v>0</v>
      </c>
      <c r="G237" s="682">
        <v>0</v>
      </c>
      <c r="H237" s="682">
        <v>0</v>
      </c>
      <c r="I237" s="682">
        <v>0</v>
      </c>
      <c r="J237" s="682">
        <v>0</v>
      </c>
      <c r="K237" s="682">
        <v>0</v>
      </c>
      <c r="L237" s="682">
        <v>0</v>
      </c>
      <c r="M237" s="682">
        <v>0</v>
      </c>
      <c r="N237" s="682">
        <v>0</v>
      </c>
      <c r="O237" s="682">
        <v>0</v>
      </c>
      <c r="P237" s="682">
        <v>0</v>
      </c>
      <c r="Q237" s="682">
        <v>0</v>
      </c>
      <c r="R237" s="682">
        <v>0</v>
      </c>
      <c r="S237" s="682">
        <v>0</v>
      </c>
      <c r="T237" s="682">
        <v>0</v>
      </c>
      <c r="U237" s="682">
        <v>0</v>
      </c>
      <c r="V237" s="682">
        <v>0</v>
      </c>
      <c r="W237" s="683">
        <v>0</v>
      </c>
      <c r="X237" s="683">
        <v>0</v>
      </c>
      <c r="Y237" s="683">
        <v>0</v>
      </c>
      <c r="Z237" s="683">
        <v>0</v>
      </c>
      <c r="AA237" s="683">
        <v>0</v>
      </c>
      <c r="AB237" s="683">
        <v>0</v>
      </c>
      <c r="AC237" s="683">
        <v>0</v>
      </c>
      <c r="AD237" s="683">
        <v>0</v>
      </c>
      <c r="AE237" s="683">
        <v>0</v>
      </c>
      <c r="AF237" s="683">
        <v>0</v>
      </c>
      <c r="AG237" s="790">
        <v>3600</v>
      </c>
      <c r="AH237" s="781">
        <v>0</v>
      </c>
      <c r="AI237" s="781">
        <v>0</v>
      </c>
      <c r="AJ237" s="781">
        <v>0</v>
      </c>
      <c r="AK237" s="781">
        <v>0</v>
      </c>
      <c r="AL237" s="781">
        <v>0</v>
      </c>
      <c r="AM237" s="819">
        <v>0</v>
      </c>
    </row>
    <row r="238" spans="1:39" ht="15" customHeight="1">
      <c r="A238" s="663" t="s">
        <v>987</v>
      </c>
      <c r="B238" s="682">
        <v>0</v>
      </c>
      <c r="C238" s="682">
        <v>0</v>
      </c>
      <c r="D238" s="682">
        <v>0</v>
      </c>
      <c r="E238" s="682">
        <v>0</v>
      </c>
      <c r="F238" s="682">
        <v>0</v>
      </c>
      <c r="G238" s="682">
        <v>0</v>
      </c>
      <c r="H238" s="682">
        <v>0</v>
      </c>
      <c r="I238" s="682">
        <v>0</v>
      </c>
      <c r="J238" s="682">
        <v>0</v>
      </c>
      <c r="K238" s="682">
        <v>0</v>
      </c>
      <c r="L238" s="682">
        <v>0</v>
      </c>
      <c r="M238" s="682">
        <v>0</v>
      </c>
      <c r="N238" s="682">
        <v>0</v>
      </c>
      <c r="O238" s="682">
        <v>0</v>
      </c>
      <c r="P238" s="682">
        <v>0</v>
      </c>
      <c r="Q238" s="682">
        <v>0</v>
      </c>
      <c r="R238" s="682">
        <v>0</v>
      </c>
      <c r="S238" s="682">
        <v>0</v>
      </c>
      <c r="T238" s="682">
        <v>0</v>
      </c>
      <c r="U238" s="682">
        <v>0</v>
      </c>
      <c r="V238" s="682">
        <v>0</v>
      </c>
      <c r="W238" s="683">
        <v>0</v>
      </c>
      <c r="X238" s="683">
        <v>0</v>
      </c>
      <c r="Y238" s="683">
        <v>0</v>
      </c>
      <c r="Z238" s="683">
        <v>0</v>
      </c>
      <c r="AA238" s="683">
        <v>0</v>
      </c>
      <c r="AB238" s="683">
        <v>0</v>
      </c>
      <c r="AC238" s="683">
        <v>0</v>
      </c>
      <c r="AD238" s="683">
        <v>0</v>
      </c>
      <c r="AE238" s="683">
        <v>0</v>
      </c>
      <c r="AF238" s="683">
        <v>0</v>
      </c>
      <c r="AG238" s="790">
        <v>3600</v>
      </c>
      <c r="AH238" s="781">
        <v>0</v>
      </c>
      <c r="AI238" s="781">
        <v>0</v>
      </c>
      <c r="AJ238" s="781">
        <v>0</v>
      </c>
      <c r="AK238" s="781">
        <v>0</v>
      </c>
      <c r="AL238" s="781">
        <v>0</v>
      </c>
      <c r="AM238" s="819">
        <v>0</v>
      </c>
    </row>
    <row r="239" spans="1:39" ht="15" customHeight="1" thickBot="1">
      <c r="A239" s="664" t="s">
        <v>70</v>
      </c>
      <c r="B239" s="667"/>
      <c r="C239" s="667"/>
      <c r="D239" s="667"/>
      <c r="E239" s="667"/>
      <c r="F239" s="667"/>
      <c r="G239" s="667"/>
      <c r="H239" s="667"/>
      <c r="I239" s="667"/>
      <c r="J239" s="667"/>
      <c r="K239" s="667"/>
      <c r="L239" s="667"/>
      <c r="M239" s="667"/>
      <c r="N239" s="667"/>
      <c r="O239" s="667"/>
      <c r="P239" s="667"/>
      <c r="Q239" s="667"/>
      <c r="R239" s="667"/>
      <c r="S239" s="667"/>
      <c r="T239" s="667"/>
      <c r="U239" s="667"/>
      <c r="V239" s="667"/>
      <c r="W239" s="667"/>
      <c r="X239" s="667"/>
      <c r="Y239" s="667"/>
      <c r="Z239" s="667"/>
      <c r="AA239" s="667"/>
      <c r="AB239" s="667"/>
      <c r="AC239" s="667"/>
      <c r="AD239" s="667"/>
      <c r="AE239" s="667"/>
      <c r="AF239" s="667"/>
      <c r="AG239" s="667"/>
      <c r="AH239" s="667"/>
      <c r="AI239" s="667"/>
      <c r="AJ239" s="667"/>
      <c r="AK239" s="667"/>
      <c r="AL239" s="667"/>
      <c r="AM239" s="1233"/>
    </row>
    <row r="240" spans="1:39" ht="15" customHeight="1" thickTop="1"/>
    <row r="243" spans="1:39" s="634" customFormat="1" ht="15" customHeight="1">
      <c r="A243" s="643"/>
      <c r="B243" s="637"/>
      <c r="C243" s="602"/>
      <c r="D243" s="602"/>
      <c r="E243" s="602"/>
      <c r="F243" s="602"/>
      <c r="G243" s="602"/>
      <c r="H243" s="602"/>
      <c r="I243" s="602"/>
      <c r="J243" s="602"/>
      <c r="K243" s="602"/>
      <c r="L243" s="602"/>
      <c r="M243" s="602"/>
      <c r="N243" s="602"/>
      <c r="O243" s="602"/>
      <c r="P243" s="602"/>
      <c r="Q243" s="602"/>
      <c r="R243" s="602"/>
      <c r="S243" s="680"/>
      <c r="T243" s="602"/>
      <c r="U243" s="602"/>
      <c r="V243" s="602"/>
      <c r="W243" s="602"/>
      <c r="X243" s="602"/>
      <c r="Y243" s="602"/>
      <c r="Z243" s="602"/>
      <c r="AA243" s="602"/>
      <c r="AB243" s="602"/>
      <c r="AC243" s="602"/>
      <c r="AD243" s="602"/>
      <c r="AE243" s="602"/>
      <c r="AF243" s="602"/>
      <c r="AG243" s="602"/>
      <c r="AH243" s="602"/>
      <c r="AI243" s="602"/>
      <c r="AJ243" s="602"/>
      <c r="AK243" s="602"/>
      <c r="AL243" s="602"/>
      <c r="AM243" s="602"/>
    </row>
  </sheetData>
  <phoneticPr fontId="77" type="noConversion"/>
  <pageMargins left="0.74803149606299213" right="0.74803149606299213" top="0.98425196850393704" bottom="0.98425196850393704" header="0.51181102362204722" footer="0.51181102362204722"/>
  <pageSetup paperSize="9" scale="10" orientation="landscape" r:id="rId1"/>
  <headerFooter alignWithMargins="0">
    <oddHeader>&amp;L&amp;F / &amp;A&amp;C &amp;R&amp;D</oddHeader>
    <oddFooter>&amp;LCONFIDENTIAL&amp;C BARKER JET&amp;RPage &amp;P/&amp;N</oddFooter>
  </headerFooter>
  <rowBreaks count="1" manualBreakCount="1">
    <brk id="179" max="16383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7">
    <pageSetUpPr fitToPage="1"/>
  </sheetPr>
  <dimension ref="A1:Y150"/>
  <sheetViews>
    <sheetView topLeftCell="A31" zoomScale="75" zoomScaleNormal="75" workbookViewId="0">
      <selection activeCell="M52" sqref="M52"/>
    </sheetView>
  </sheetViews>
  <sheetFormatPr defaultColWidth="9.140625" defaultRowHeight="13.5"/>
  <cols>
    <col min="1" max="16384" width="9.140625" style="336"/>
  </cols>
  <sheetData>
    <row r="1" spans="1:25">
      <c r="A1" s="832">
        <f>'[3]Mechanical data, limits'!A1</f>
        <v>170809</v>
      </c>
      <c r="B1" s="559">
        <f>'[3]Mechanical data, limits'!B1</f>
        <v>0</v>
      </c>
      <c r="C1" s="530">
        <f>'[3]Mechanical data, limits'!C1</f>
        <v>0</v>
      </c>
      <c r="D1" s="531" t="str">
        <f>'[3]Mechanical data, limits'!D1</f>
        <v>g</v>
      </c>
      <c r="E1" s="530">
        <f>'[3]Mechanical data, limits'!E1</f>
        <v>9.8070000000000004</v>
      </c>
      <c r="F1" s="530" t="str">
        <f>'[3]Mechanical data, limits'!F1</f>
        <v>kgm/s2</v>
      </c>
      <c r="G1" s="530">
        <f>'[3]Mechanical data, limits'!G1</f>
        <v>0</v>
      </c>
      <c r="H1" s="530">
        <f>'[3]Mechanical data, limits'!H1</f>
        <v>0</v>
      </c>
      <c r="I1" s="530">
        <f>'[3]Mechanical data, limits'!I1</f>
        <v>0</v>
      </c>
      <c r="J1" s="530">
        <f>'[3]Mechanical data, limits'!J1</f>
        <v>0</v>
      </c>
      <c r="K1" s="530">
        <f>'[3]Mechanical data, limits'!K1</f>
        <v>0</v>
      </c>
      <c r="L1" s="530">
        <f>'[3]Mechanical data, limits'!L1</f>
        <v>0</v>
      </c>
      <c r="M1" s="530">
        <f>'[3]Mechanical data, limits'!M1</f>
        <v>0</v>
      </c>
      <c r="N1" s="530">
        <f>'[3]Mechanical data, limits'!N1</f>
        <v>0</v>
      </c>
      <c r="O1" s="530">
        <f>'[3]Mechanical data, limits'!O1</f>
        <v>0</v>
      </c>
      <c r="P1" s="530">
        <f>'[3]Mechanical data, limits'!P1</f>
        <v>0</v>
      </c>
      <c r="Q1" s="530">
        <f>'[3]Mechanical data, limits'!Q1</f>
        <v>0</v>
      </c>
      <c r="R1" s="530">
        <f>'[3]Mechanical data, limits'!R1</f>
        <v>0</v>
      </c>
      <c r="S1" s="530">
        <f>'[3]Mechanical data, limits'!S1</f>
        <v>0</v>
      </c>
      <c r="T1" s="530">
        <f>'[3]Mechanical data, limits'!T1</f>
        <v>0</v>
      </c>
      <c r="U1" s="530">
        <f>'[3]Mechanical data, limits'!U1</f>
        <v>0</v>
      </c>
      <c r="V1" s="530">
        <f>'[3]Mechanical data, limits'!V1</f>
        <v>0</v>
      </c>
      <c r="W1" s="530">
        <f>'[3]Mechanical data, limits'!W1</f>
        <v>0</v>
      </c>
      <c r="X1" s="530">
        <f>'[3]Mechanical data, limits'!X1</f>
        <v>0</v>
      </c>
      <c r="Y1" s="530">
        <f>'[3]Mechanical data, limits'!Y1</f>
        <v>0</v>
      </c>
    </row>
    <row r="2" spans="1:25">
      <c r="A2" s="530">
        <f>'[3]Mechanical data, limits'!A2</f>
        <v>0</v>
      </c>
      <c r="B2" s="530">
        <f>'[3]Mechanical data, limits'!B2</f>
        <v>1</v>
      </c>
      <c r="C2" s="530">
        <f>'[3]Mechanical data, limits'!C2</f>
        <v>2</v>
      </c>
      <c r="D2" s="530">
        <f>'[3]Mechanical data, limits'!D2</f>
        <v>3</v>
      </c>
      <c r="E2" s="530">
        <f>'[3]Mechanical data, limits'!E2</f>
        <v>4</v>
      </c>
      <c r="F2" s="530">
        <f>'[3]Mechanical data, limits'!F2</f>
        <v>5</v>
      </c>
      <c r="G2" s="530">
        <f>'[3]Mechanical data, limits'!G2</f>
        <v>6</v>
      </c>
      <c r="H2" s="530">
        <f>'[3]Mechanical data, limits'!H2</f>
        <v>7</v>
      </c>
      <c r="I2" s="530">
        <f>'[3]Mechanical data, limits'!I2</f>
        <v>8</v>
      </c>
      <c r="J2" s="530">
        <f>'[3]Mechanical data, limits'!J2</f>
        <v>9</v>
      </c>
      <c r="K2" s="530">
        <f>'[3]Mechanical data, limits'!K2</f>
        <v>10</v>
      </c>
      <c r="L2" s="530">
        <f>'[3]Mechanical data, limits'!L2</f>
        <v>11</v>
      </c>
      <c r="M2" s="530">
        <f>'[3]Mechanical data, limits'!M2</f>
        <v>12</v>
      </c>
      <c r="N2" s="530">
        <f>'[3]Mechanical data, limits'!N2</f>
        <v>13</v>
      </c>
      <c r="O2" s="530">
        <f>'[3]Mechanical data, limits'!O2</f>
        <v>14</v>
      </c>
      <c r="P2" s="530">
        <f>'[3]Mechanical data, limits'!P2</f>
        <v>15</v>
      </c>
      <c r="Q2" s="530">
        <f>'[3]Mechanical data, limits'!Q2</f>
        <v>16</v>
      </c>
      <c r="R2" s="530">
        <f>'[3]Mechanical data, limits'!R2</f>
        <v>17</v>
      </c>
      <c r="S2" s="530">
        <f>'[3]Mechanical data, limits'!S2</f>
        <v>18</v>
      </c>
      <c r="T2" s="530">
        <f>'[3]Mechanical data, limits'!T2</f>
        <v>19</v>
      </c>
      <c r="U2" s="530">
        <f>'[3]Mechanical data, limits'!U2</f>
        <v>20</v>
      </c>
      <c r="V2" s="530">
        <f>'[3]Mechanical data, limits'!V2</f>
        <v>21</v>
      </c>
      <c r="W2" s="530">
        <f>'[3]Mechanical data, limits'!W2</f>
        <v>22</v>
      </c>
      <c r="X2" s="530">
        <f>'[3]Mechanical data, limits'!X2</f>
        <v>23</v>
      </c>
      <c r="Y2" s="530">
        <f>'[3]Mechanical data, limits'!Y2</f>
        <v>0</v>
      </c>
    </row>
    <row r="3" spans="1:25">
      <c r="A3" s="530">
        <f>'[3]Mechanical data, limits'!A3</f>
        <v>0</v>
      </c>
      <c r="B3" s="530" t="str">
        <f>'[3]Mechanical data, limits'!B3</f>
        <v>d2</v>
      </c>
      <c r="C3" s="530">
        <f>'[3]Mechanical data, limits'!C3</f>
        <v>0</v>
      </c>
      <c r="D3" s="530" t="str">
        <f>'[3]Mechanical data, limits'!D3</f>
        <v>FP, BP</v>
      </c>
      <c r="E3" s="530" t="str">
        <f>'[3]Mechanical data, limits'!E3</f>
        <v>Hub th.</v>
      </c>
      <c r="F3" s="530" t="str">
        <f>'[3]Mechanical data, limits'!F3</f>
        <v>F</v>
      </c>
      <c r="G3" s="530" t="str">
        <f>'[3]Mechanical data, limits'!G3</f>
        <v>X</v>
      </c>
      <c r="H3" s="530" t="str">
        <f>'[3]Mechanical data, limits'!H3</f>
        <v>Y</v>
      </c>
      <c r="I3" s="530" t="str">
        <f>'[3]Mechanical data, limits'!I3</f>
        <v>House B min.</v>
      </c>
      <c r="J3" s="530">
        <f>'[3]Mechanical data, limits'!J3</f>
        <v>0</v>
      </c>
      <c r="K3" s="530">
        <f>'[3]Mechanical data, limits'!K3</f>
        <v>0</v>
      </c>
      <c r="L3" s="530" t="str">
        <f>'[3]Mechanical data, limits'!L3</f>
        <v>House plate thickness</v>
      </c>
      <c r="M3" s="530">
        <f>'[3]Mechanical data, limits'!M3</f>
        <v>0</v>
      </c>
      <c r="N3" s="530">
        <f>'[3]Mechanical data, limits'!N3</f>
        <v>0</v>
      </c>
      <c r="O3" s="530">
        <f>'[3]Mechanical data, limits'!O3</f>
        <v>0</v>
      </c>
      <c r="P3" s="530">
        <f>'[3]Mechanical data, limits'!P3</f>
        <v>0</v>
      </c>
      <c r="Q3" s="530">
        <f>'[3]Mechanical data, limits'!Q3</f>
        <v>0</v>
      </c>
      <c r="R3" s="530">
        <f>'[3]Mechanical data, limits'!R3</f>
        <v>0</v>
      </c>
      <c r="S3" s="530">
        <f>'[3]Mechanical data, limits'!S3</f>
        <v>0</v>
      </c>
      <c r="T3" s="530">
        <f>'[3]Mechanical data, limits'!T3</f>
        <v>0</v>
      </c>
      <c r="U3" s="530">
        <f>'[3]Mechanical data, limits'!U3</f>
        <v>0</v>
      </c>
      <c r="V3" s="530">
        <f>'[3]Mechanical data, limits'!V3</f>
        <v>0</v>
      </c>
      <c r="W3" s="530">
        <f>'[3]Mechanical data, limits'!W3</f>
        <v>0</v>
      </c>
      <c r="X3" s="530">
        <f>'[3]Mechanical data, limits'!X3</f>
        <v>0</v>
      </c>
      <c r="Y3" s="530">
        <f>'[3]Mechanical data, limits'!Y3</f>
        <v>0</v>
      </c>
    </row>
    <row r="4" spans="1:25">
      <c r="A4" s="530">
        <f>'[3]Mechanical data, limits'!A4</f>
        <v>0</v>
      </c>
      <c r="B4" s="530">
        <f>'[3]Mechanical data, limits'!B4</f>
        <v>0</v>
      </c>
      <c r="C4" s="530">
        <f>'[3]Mechanical data, limits'!C4</f>
        <v>0</v>
      </c>
      <c r="D4" s="530" t="str">
        <f>'[3]Mechanical data, limits'!D4</f>
        <v xml:space="preserve">T &lt;m&gt; </v>
      </c>
      <c r="E4" s="530" t="str">
        <f>'[3]Mechanical data, limits'!E4</f>
        <v>T&lt;m&gt;</v>
      </c>
      <c r="F4" s="530">
        <f>'[3]Mechanical data, limits'!F4</f>
        <v>0</v>
      </c>
      <c r="G4" s="530">
        <f>'[3]Mechanical data, limits'!G4</f>
        <v>0</v>
      </c>
      <c r="H4" s="530">
        <f>'[3]Mechanical data, limits'!H4</f>
        <v>0</v>
      </c>
      <c r="I4" s="530" t="str">
        <f>'[3]Mechanical data, limits'!I4</f>
        <v>b-in+2*t+Y+N+F+X</v>
      </c>
      <c r="J4" s="530">
        <f>'[3]Mechanical data, limits'!J4</f>
        <v>0</v>
      </c>
      <c r="K4" s="530" t="str">
        <f>'[3]Mechanical data, limits'!K4</f>
        <v>Pt &lt;mmh2o&gt;</v>
      </c>
      <c r="L4" s="532">
        <f>'[3]Mechanical data, limits'!L4</f>
        <v>0</v>
      </c>
      <c r="M4" s="532">
        <f>'[3]Mechanical data, limits'!M4</f>
        <v>500</v>
      </c>
      <c r="N4" s="532">
        <f>'[3]Mechanical data, limits'!N4</f>
        <v>1000</v>
      </c>
      <c r="O4" s="532">
        <f>'[3]Mechanical data, limits'!O4</f>
        <v>1500</v>
      </c>
      <c r="P4" s="532">
        <f>'[3]Mechanical data, limits'!P4</f>
        <v>2000</v>
      </c>
      <c r="Q4" s="532">
        <f>'[3]Mechanical data, limits'!Q4</f>
        <v>2500</v>
      </c>
      <c r="R4" s="532">
        <f>'[3]Mechanical data, limits'!R4</f>
        <v>3000</v>
      </c>
      <c r="S4" s="532">
        <f>'[3]Mechanical data, limits'!S4</f>
        <v>3500</v>
      </c>
      <c r="T4" s="532">
        <f>'[3]Mechanical data, limits'!T4</f>
        <v>4000</v>
      </c>
      <c r="U4" s="532">
        <f>'[3]Mechanical data, limits'!U4</f>
        <v>4500</v>
      </c>
      <c r="V4" s="532">
        <f>'[3]Mechanical data, limits'!V4</f>
        <v>5000</v>
      </c>
      <c r="W4" s="532">
        <f>'[3]Mechanical data, limits'!W4</f>
        <v>5500</v>
      </c>
      <c r="X4" s="532">
        <f>'[3]Mechanical data, limits'!X4</f>
        <v>6000</v>
      </c>
      <c r="Y4" s="530">
        <f>'[3]Mechanical data, limits'!Y4</f>
        <v>0</v>
      </c>
    </row>
    <row r="5" spans="1:25">
      <c r="A5" s="530">
        <f>'[3]Mechanical data, limits'!A5</f>
        <v>0</v>
      </c>
      <c r="B5" s="533">
        <f>'[3]Mechanical data, limits'!B5</f>
        <v>0.10100000000000001</v>
      </c>
      <c r="C5" s="530">
        <f>'[3]Mechanical data, limits'!C5</f>
        <v>0</v>
      </c>
      <c r="D5" s="533">
        <f>'[3]Mechanical data, limits'!D5</f>
        <v>3.0000000000000001E-3</v>
      </c>
      <c r="E5" s="533">
        <f>'[3]Mechanical data, limits'!E5</f>
        <v>8.0000000000000002E-3</v>
      </c>
      <c r="F5" s="533">
        <f>'[3]Mechanical data, limits'!F5</f>
        <v>0.02</v>
      </c>
      <c r="G5" s="533">
        <f>'[3]Mechanical data, limits'!G5</f>
        <v>3.0000000000000001E-3</v>
      </c>
      <c r="H5" s="533">
        <f>'[3]Mechanical data, limits'!H5</f>
        <v>5.0000000000000001E-3</v>
      </c>
      <c r="I5" s="534">
        <f>'[3]Mechanical data, limits'!I5</f>
        <v>0.42591309852252224</v>
      </c>
      <c r="J5" s="530" t="str">
        <f>'[3]Mechanical data, limits'!J5</f>
        <v>m</v>
      </c>
      <c r="K5" s="530">
        <f>'[3]Mechanical data, limits'!K5</f>
        <v>0</v>
      </c>
      <c r="L5" s="535">
        <f>'[3]Mechanical data, limits'!L5</f>
        <v>3.0000000000000001E-3</v>
      </c>
      <c r="M5" s="535">
        <f>'[3]Mechanical data, limits'!M5</f>
        <v>3.0000000000000001E-3</v>
      </c>
      <c r="N5" s="535">
        <f>'[3]Mechanical data, limits'!N5</f>
        <v>3.0000000000000001E-3</v>
      </c>
      <c r="O5" s="536">
        <f>'[3]Mechanical data, limits'!O5</f>
        <v>4.0000000000000001E-3</v>
      </c>
      <c r="P5" s="536">
        <f>'[3]Mechanical data, limits'!P5</f>
        <v>4.0000000000000001E-3</v>
      </c>
      <c r="Q5" s="536">
        <f>'[3]Mechanical data, limits'!Q5</f>
        <v>4.0000000000000001E-3</v>
      </c>
      <c r="R5" s="537">
        <f>'[3]Mechanical data, limits'!R5</f>
        <v>5.0000000000000001E-3</v>
      </c>
      <c r="S5" s="537">
        <f>'[3]Mechanical data, limits'!S5</f>
        <v>5.0000000000000001E-3</v>
      </c>
      <c r="T5" s="537">
        <f>'[3]Mechanical data, limits'!T5</f>
        <v>5.0000000000000001E-3</v>
      </c>
      <c r="U5" s="538">
        <f>'[3]Mechanical data, limits'!U5</f>
        <v>6.0000000000000001E-3</v>
      </c>
      <c r="V5" s="538">
        <f>'[3]Mechanical data, limits'!V5</f>
        <v>6.0000000000000001E-3</v>
      </c>
      <c r="W5" s="538">
        <f>'[3]Mechanical data, limits'!W5</f>
        <v>6.0000000000000001E-3</v>
      </c>
      <c r="X5" s="539">
        <f>'[3]Mechanical data, limits'!X5</f>
        <v>7.0000000000000001E-3</v>
      </c>
      <c r="Y5" s="530">
        <f>'[3]Mechanical data, limits'!Y5</f>
        <v>0</v>
      </c>
    </row>
    <row r="6" spans="1:25">
      <c r="A6" s="530">
        <f>'[3]Mechanical data, limits'!A6</f>
        <v>0</v>
      </c>
      <c r="B6" s="533">
        <f>'[3]Mechanical data, limits'!B6</f>
        <v>0.20100000000000001</v>
      </c>
      <c r="C6" s="530">
        <f>'[3]Mechanical data, limits'!C6</f>
        <v>0</v>
      </c>
      <c r="D6" s="533">
        <f>'[3]Mechanical data, limits'!D6</f>
        <v>4.0000000000000001E-3</v>
      </c>
      <c r="E6" s="533">
        <f>'[3]Mechanical data, limits'!E6</f>
        <v>0.01</v>
      </c>
      <c r="F6" s="533">
        <f>'[3]Mechanical data, limits'!F6</f>
        <v>0.02</v>
      </c>
      <c r="G6" s="533">
        <f>'[3]Mechanical data, limits'!G6</f>
        <v>3.0000000000000001E-3</v>
      </c>
      <c r="H6" s="533">
        <f>'[3]Mechanical data, limits'!H6</f>
        <v>5.0000000000000001E-3</v>
      </c>
      <c r="I6" s="534">
        <f>'[3]Mechanical data, limits'!I6</f>
        <v>0.42991309852252224</v>
      </c>
      <c r="J6" s="530" t="str">
        <f>'[3]Mechanical data, limits'!J6</f>
        <v>m</v>
      </c>
      <c r="K6" s="530">
        <f>'[3]Mechanical data, limits'!K6</f>
        <v>0</v>
      </c>
      <c r="L6" s="535">
        <f>'[3]Mechanical data, limits'!L6</f>
        <v>3.0000000000000001E-3</v>
      </c>
      <c r="M6" s="535">
        <f>'[3]Mechanical data, limits'!M6</f>
        <v>3.0000000000000001E-3</v>
      </c>
      <c r="N6" s="536">
        <f>'[3]Mechanical data, limits'!N6</f>
        <v>4.0000000000000001E-3</v>
      </c>
      <c r="O6" s="536">
        <f>'[3]Mechanical data, limits'!O6</f>
        <v>4.0000000000000001E-3</v>
      </c>
      <c r="P6" s="536">
        <f>'[3]Mechanical data, limits'!P6</f>
        <v>4.0000000000000001E-3</v>
      </c>
      <c r="Q6" s="537">
        <f>'[3]Mechanical data, limits'!Q6</f>
        <v>5.0000000000000001E-3</v>
      </c>
      <c r="R6" s="537">
        <f>'[3]Mechanical data, limits'!R6</f>
        <v>5.0000000000000001E-3</v>
      </c>
      <c r="S6" s="537">
        <f>'[3]Mechanical data, limits'!S6</f>
        <v>5.0000000000000001E-3</v>
      </c>
      <c r="T6" s="538">
        <f>'[3]Mechanical data, limits'!T6</f>
        <v>6.0000000000000001E-3</v>
      </c>
      <c r="U6" s="538">
        <f>'[3]Mechanical data, limits'!U6</f>
        <v>6.0000000000000001E-3</v>
      </c>
      <c r="V6" s="538">
        <f>'[3]Mechanical data, limits'!V6</f>
        <v>6.0000000000000001E-3</v>
      </c>
      <c r="W6" s="539">
        <f>'[3]Mechanical data, limits'!W6</f>
        <v>7.0000000000000001E-3</v>
      </c>
      <c r="X6" s="539">
        <f>'[3]Mechanical data, limits'!X6</f>
        <v>7.0000000000000001E-3</v>
      </c>
      <c r="Y6" s="530">
        <f>'[3]Mechanical data, limits'!Y6</f>
        <v>0</v>
      </c>
    </row>
    <row r="7" spans="1:25">
      <c r="A7" s="530">
        <f>'[3]Mechanical data, limits'!A7</f>
        <v>0</v>
      </c>
      <c r="B7" s="533">
        <f>'[3]Mechanical data, limits'!B7</f>
        <v>0.30100000000000005</v>
      </c>
      <c r="C7" s="530">
        <f>'[3]Mechanical data, limits'!C7</f>
        <v>0</v>
      </c>
      <c r="D7" s="533">
        <f>'[3]Mechanical data, limits'!D7</f>
        <v>4.0000000000000001E-3</v>
      </c>
      <c r="E7" s="533">
        <f>'[3]Mechanical data, limits'!E7</f>
        <v>0.01</v>
      </c>
      <c r="F7" s="533">
        <f>'[3]Mechanical data, limits'!F7</f>
        <v>0.02</v>
      </c>
      <c r="G7" s="533">
        <f>'[3]Mechanical data, limits'!G7</f>
        <v>3.0000000000000001E-3</v>
      </c>
      <c r="H7" s="533">
        <f>'[3]Mechanical data, limits'!H7</f>
        <v>0.01</v>
      </c>
      <c r="I7" s="534">
        <f>'[3]Mechanical data, limits'!I7</f>
        <v>0.43491309852252225</v>
      </c>
      <c r="J7" s="530" t="str">
        <f>'[3]Mechanical data, limits'!J7</f>
        <v>m</v>
      </c>
      <c r="K7" s="530">
        <f>'[3]Mechanical data, limits'!K7</f>
        <v>0</v>
      </c>
      <c r="L7" s="535">
        <f>'[3]Mechanical data, limits'!L7</f>
        <v>3.0000000000000001E-3</v>
      </c>
      <c r="M7" s="536">
        <f>'[3]Mechanical data, limits'!M7</f>
        <v>4.0000000000000001E-3</v>
      </c>
      <c r="N7" s="536">
        <f>'[3]Mechanical data, limits'!N7</f>
        <v>4.0000000000000001E-3</v>
      </c>
      <c r="O7" s="536">
        <f>'[3]Mechanical data, limits'!O7</f>
        <v>4.0000000000000001E-3</v>
      </c>
      <c r="P7" s="536">
        <f>'[3]Mechanical data, limits'!P7</f>
        <v>4.0000000000000001E-3</v>
      </c>
      <c r="Q7" s="537">
        <f>'[3]Mechanical data, limits'!Q7</f>
        <v>5.0000000000000001E-3</v>
      </c>
      <c r="R7" s="537">
        <f>'[3]Mechanical data, limits'!R7</f>
        <v>5.0000000000000001E-3</v>
      </c>
      <c r="S7" s="537">
        <f>'[3]Mechanical data, limits'!S7</f>
        <v>5.0000000000000001E-3</v>
      </c>
      <c r="T7" s="538">
        <f>'[3]Mechanical data, limits'!T7</f>
        <v>6.0000000000000001E-3</v>
      </c>
      <c r="U7" s="538">
        <f>'[3]Mechanical data, limits'!U7</f>
        <v>6.0000000000000001E-3</v>
      </c>
      <c r="V7" s="538">
        <f>'[3]Mechanical data, limits'!V7</f>
        <v>6.0000000000000001E-3</v>
      </c>
      <c r="W7" s="539">
        <f>'[3]Mechanical data, limits'!W7</f>
        <v>7.0000000000000001E-3</v>
      </c>
      <c r="X7" s="539">
        <f>'[3]Mechanical data, limits'!X7</f>
        <v>7.0000000000000001E-3</v>
      </c>
      <c r="Y7" s="530">
        <f>'[3]Mechanical data, limits'!Y7</f>
        <v>0</v>
      </c>
    </row>
    <row r="8" spans="1:25">
      <c r="A8" s="530">
        <f>'[3]Mechanical data, limits'!A8</f>
        <v>0</v>
      </c>
      <c r="B8" s="533">
        <f>'[3]Mechanical data, limits'!B8</f>
        <v>0.40100000000000002</v>
      </c>
      <c r="C8" s="530">
        <f>'[3]Mechanical data, limits'!C8</f>
        <v>0</v>
      </c>
      <c r="D8" s="533">
        <f>'[3]Mechanical data, limits'!D8</f>
        <v>4.0000000000000001E-3</v>
      </c>
      <c r="E8" s="533">
        <f>'[3]Mechanical data, limits'!E8</f>
        <v>1.3000000000000001E-2</v>
      </c>
      <c r="F8" s="533">
        <f>'[3]Mechanical data, limits'!F8</f>
        <v>0.02</v>
      </c>
      <c r="G8" s="533">
        <f>'[3]Mechanical data, limits'!G8</f>
        <v>5.0000000000000001E-3</v>
      </c>
      <c r="H8" s="533">
        <f>'[3]Mechanical data, limits'!H8</f>
        <v>1.4999999999999999E-2</v>
      </c>
      <c r="I8" s="534">
        <f>'[3]Mechanical data, limits'!I8</f>
        <v>0.44491309852252225</v>
      </c>
      <c r="J8" s="530" t="str">
        <f>'[3]Mechanical data, limits'!J8</f>
        <v>m</v>
      </c>
      <c r="K8" s="530">
        <f>'[3]Mechanical data, limits'!K8</f>
        <v>0</v>
      </c>
      <c r="L8" s="536">
        <f>'[3]Mechanical data, limits'!L8</f>
        <v>4.0000000000000001E-3</v>
      </c>
      <c r="M8" s="536">
        <f>'[3]Mechanical data, limits'!M8</f>
        <v>4.0000000000000001E-3</v>
      </c>
      <c r="N8" s="536">
        <f>'[3]Mechanical data, limits'!N8</f>
        <v>4.0000000000000001E-3</v>
      </c>
      <c r="O8" s="536">
        <f>'[3]Mechanical data, limits'!O8</f>
        <v>4.0000000000000001E-3</v>
      </c>
      <c r="P8" s="537">
        <f>'[3]Mechanical data, limits'!P8</f>
        <v>5.0000000000000001E-3</v>
      </c>
      <c r="Q8" s="537">
        <f>'[3]Mechanical data, limits'!Q8</f>
        <v>5.0000000000000001E-3</v>
      </c>
      <c r="R8" s="537">
        <f>'[3]Mechanical data, limits'!R8</f>
        <v>5.0000000000000001E-3</v>
      </c>
      <c r="S8" s="538">
        <f>'[3]Mechanical data, limits'!S8</f>
        <v>6.0000000000000001E-3</v>
      </c>
      <c r="T8" s="538">
        <f>'[3]Mechanical data, limits'!T8</f>
        <v>6.0000000000000001E-3</v>
      </c>
      <c r="U8" s="538">
        <f>'[3]Mechanical data, limits'!U8</f>
        <v>6.0000000000000001E-3</v>
      </c>
      <c r="V8" s="539">
        <f>'[3]Mechanical data, limits'!V8</f>
        <v>7.0000000000000001E-3</v>
      </c>
      <c r="W8" s="539">
        <f>'[3]Mechanical data, limits'!W8</f>
        <v>7.0000000000000001E-3</v>
      </c>
      <c r="X8" s="539">
        <f>'[3]Mechanical data, limits'!X8</f>
        <v>7.0000000000000001E-3</v>
      </c>
      <c r="Y8" s="530">
        <f>'[3]Mechanical data, limits'!Y8</f>
        <v>0</v>
      </c>
    </row>
    <row r="9" spans="1:25">
      <c r="A9" s="530">
        <f>'[3]Mechanical data, limits'!A9</f>
        <v>0</v>
      </c>
      <c r="B9" s="533">
        <f>'[3]Mechanical data, limits'!B9</f>
        <v>0.501</v>
      </c>
      <c r="C9" s="530">
        <f>'[3]Mechanical data, limits'!C9</f>
        <v>0</v>
      </c>
      <c r="D9" s="533">
        <f>'[3]Mechanical data, limits'!D9</f>
        <v>4.0000000000000001E-3</v>
      </c>
      <c r="E9" s="533">
        <f>'[3]Mechanical data, limits'!E9</f>
        <v>1.3000000000000001E-2</v>
      </c>
      <c r="F9" s="533">
        <f>'[3]Mechanical data, limits'!F9</f>
        <v>0.02</v>
      </c>
      <c r="G9" s="533">
        <f>'[3]Mechanical data, limits'!G9</f>
        <v>5.0000000000000001E-3</v>
      </c>
      <c r="H9" s="533">
        <f>'[3]Mechanical data, limits'!H9</f>
        <v>1.4999999999999999E-2</v>
      </c>
      <c r="I9" s="534">
        <f>'[3]Mechanical data, limits'!I9</f>
        <v>0.44491309852252225</v>
      </c>
      <c r="J9" s="530" t="str">
        <f>'[3]Mechanical data, limits'!J9</f>
        <v>m</v>
      </c>
      <c r="K9" s="530">
        <f>'[3]Mechanical data, limits'!K9</f>
        <v>0</v>
      </c>
      <c r="L9" s="536">
        <f>'[3]Mechanical data, limits'!L9</f>
        <v>4.0000000000000001E-3</v>
      </c>
      <c r="M9" s="536">
        <f>'[3]Mechanical data, limits'!M9</f>
        <v>4.0000000000000001E-3</v>
      </c>
      <c r="N9" s="536">
        <f>'[3]Mechanical data, limits'!N9</f>
        <v>4.0000000000000001E-3</v>
      </c>
      <c r="O9" s="536">
        <f>'[3]Mechanical data, limits'!O9</f>
        <v>4.0000000000000001E-3</v>
      </c>
      <c r="P9" s="537">
        <f>'[3]Mechanical data, limits'!P9</f>
        <v>5.0000000000000001E-3</v>
      </c>
      <c r="Q9" s="537">
        <f>'[3]Mechanical data, limits'!Q9</f>
        <v>5.0000000000000001E-3</v>
      </c>
      <c r="R9" s="537">
        <f>'[3]Mechanical data, limits'!R9</f>
        <v>5.0000000000000001E-3</v>
      </c>
      <c r="S9" s="538">
        <f>'[3]Mechanical data, limits'!S9</f>
        <v>6.0000000000000001E-3</v>
      </c>
      <c r="T9" s="538">
        <f>'[3]Mechanical data, limits'!T9</f>
        <v>6.0000000000000001E-3</v>
      </c>
      <c r="U9" s="538">
        <f>'[3]Mechanical data, limits'!U9</f>
        <v>6.0000000000000001E-3</v>
      </c>
      <c r="V9" s="539">
        <f>'[3]Mechanical data, limits'!V9</f>
        <v>7.0000000000000001E-3</v>
      </c>
      <c r="W9" s="539">
        <f>'[3]Mechanical data, limits'!W9</f>
        <v>7.0000000000000001E-3</v>
      </c>
      <c r="X9" s="539">
        <f>'[3]Mechanical data, limits'!X9</f>
        <v>7.0000000000000001E-3</v>
      </c>
      <c r="Y9" s="530">
        <f>'[3]Mechanical data, limits'!Y9</f>
        <v>0</v>
      </c>
    </row>
    <row r="10" spans="1:25">
      <c r="A10" s="530">
        <f>'[3]Mechanical data, limits'!A10</f>
        <v>0</v>
      </c>
      <c r="B10" s="533">
        <f>'[3]Mechanical data, limits'!B10</f>
        <v>0.60099999999999998</v>
      </c>
      <c r="C10" s="530">
        <f>'[3]Mechanical data, limits'!C10</f>
        <v>0</v>
      </c>
      <c r="D10" s="533">
        <f>'[3]Mechanical data, limits'!D10</f>
        <v>4.0000000000000001E-3</v>
      </c>
      <c r="E10" s="533">
        <f>'[3]Mechanical data, limits'!E10</f>
        <v>1.3000000000000001E-2</v>
      </c>
      <c r="F10" s="533">
        <f>'[3]Mechanical data, limits'!F10</f>
        <v>0.02</v>
      </c>
      <c r="G10" s="533">
        <f>'[3]Mechanical data, limits'!G10</f>
        <v>6.0000000000000001E-3</v>
      </c>
      <c r="H10" s="533">
        <f>'[3]Mechanical data, limits'!H10</f>
        <v>1.4999999999999999E-2</v>
      </c>
      <c r="I10" s="534">
        <f>'[3]Mechanical data, limits'!I10</f>
        <v>0.44591309852252226</v>
      </c>
      <c r="J10" s="530" t="str">
        <f>'[3]Mechanical data, limits'!J10</f>
        <v>m</v>
      </c>
      <c r="K10" s="530">
        <f>'[3]Mechanical data, limits'!K10</f>
        <v>0</v>
      </c>
      <c r="L10" s="536">
        <f>'[3]Mechanical data, limits'!L10</f>
        <v>4.0000000000000001E-3</v>
      </c>
      <c r="M10" s="536">
        <f>'[3]Mechanical data, limits'!M10</f>
        <v>4.0000000000000001E-3</v>
      </c>
      <c r="N10" s="536">
        <f>'[3]Mechanical data, limits'!N10</f>
        <v>4.0000000000000001E-3</v>
      </c>
      <c r="O10" s="537">
        <f>'[3]Mechanical data, limits'!O10</f>
        <v>5.0000000000000001E-3</v>
      </c>
      <c r="P10" s="537">
        <f>'[3]Mechanical data, limits'!P10</f>
        <v>5.0000000000000001E-3</v>
      </c>
      <c r="Q10" s="537">
        <f>'[3]Mechanical data, limits'!Q10</f>
        <v>5.0000000000000001E-3</v>
      </c>
      <c r="R10" s="538">
        <f>'[3]Mechanical data, limits'!R10</f>
        <v>6.0000000000000001E-3</v>
      </c>
      <c r="S10" s="538">
        <f>'[3]Mechanical data, limits'!S10</f>
        <v>6.0000000000000001E-3</v>
      </c>
      <c r="T10" s="538">
        <f>'[3]Mechanical data, limits'!T10</f>
        <v>6.0000000000000001E-3</v>
      </c>
      <c r="U10" s="539">
        <f>'[3]Mechanical data, limits'!U10</f>
        <v>7.0000000000000001E-3</v>
      </c>
      <c r="V10" s="539">
        <f>'[3]Mechanical data, limits'!V10</f>
        <v>7.0000000000000001E-3</v>
      </c>
      <c r="W10" s="539">
        <f>'[3]Mechanical data, limits'!W10</f>
        <v>7.0000000000000001E-3</v>
      </c>
      <c r="X10" s="540">
        <f>'[3]Mechanical data, limits'!X10</f>
        <v>8.0000000000000002E-3</v>
      </c>
      <c r="Y10" s="530">
        <f>'[3]Mechanical data, limits'!Y10</f>
        <v>0</v>
      </c>
    </row>
    <row r="11" spans="1:25">
      <c r="A11" s="530">
        <f>'[3]Mechanical data, limits'!A11</f>
        <v>0</v>
      </c>
      <c r="B11" s="533">
        <f>'[3]Mechanical data, limits'!B11</f>
        <v>0.70099999999999996</v>
      </c>
      <c r="C11" s="530">
        <f>'[3]Mechanical data, limits'!C11</f>
        <v>0</v>
      </c>
      <c r="D11" s="533">
        <f>'[3]Mechanical data, limits'!D11</f>
        <v>5.0000000000000001E-3</v>
      </c>
      <c r="E11" s="533">
        <f>'[3]Mechanical data, limits'!E11</f>
        <v>1.3000000000000001E-2</v>
      </c>
      <c r="F11" s="533">
        <f>'[3]Mechanical data, limits'!F11</f>
        <v>0.02</v>
      </c>
      <c r="G11" s="533">
        <f>'[3]Mechanical data, limits'!G11</f>
        <v>6.0000000000000001E-3</v>
      </c>
      <c r="H11" s="533">
        <f>'[3]Mechanical data, limits'!H11</f>
        <v>1.4999999999999999E-2</v>
      </c>
      <c r="I11" s="534">
        <f>'[3]Mechanical data, limits'!I11</f>
        <v>0.44791309852252226</v>
      </c>
      <c r="J11" s="530" t="str">
        <f>'[3]Mechanical data, limits'!J11</f>
        <v>m</v>
      </c>
      <c r="K11" s="530">
        <f>'[3]Mechanical data, limits'!K11</f>
        <v>0</v>
      </c>
      <c r="L11" s="536">
        <f>'[3]Mechanical data, limits'!L11</f>
        <v>4.0000000000000001E-3</v>
      </c>
      <c r="M11" s="536">
        <f>'[3]Mechanical data, limits'!M11</f>
        <v>4.0000000000000001E-3</v>
      </c>
      <c r="N11" s="536">
        <f>'[3]Mechanical data, limits'!N11</f>
        <v>4.0000000000000001E-3</v>
      </c>
      <c r="O11" s="537">
        <f>'[3]Mechanical data, limits'!O11</f>
        <v>5.0000000000000001E-3</v>
      </c>
      <c r="P11" s="537">
        <f>'[3]Mechanical data, limits'!P11</f>
        <v>5.0000000000000001E-3</v>
      </c>
      <c r="Q11" s="537">
        <f>'[3]Mechanical data, limits'!Q11</f>
        <v>5.0000000000000001E-3</v>
      </c>
      <c r="R11" s="538">
        <f>'[3]Mechanical data, limits'!R11</f>
        <v>6.0000000000000001E-3</v>
      </c>
      <c r="S11" s="538">
        <f>'[3]Mechanical data, limits'!S11</f>
        <v>6.0000000000000001E-3</v>
      </c>
      <c r="T11" s="538">
        <f>'[3]Mechanical data, limits'!T11</f>
        <v>6.0000000000000001E-3</v>
      </c>
      <c r="U11" s="539">
        <f>'[3]Mechanical data, limits'!U11</f>
        <v>7.0000000000000001E-3</v>
      </c>
      <c r="V11" s="539">
        <f>'[3]Mechanical data, limits'!V11</f>
        <v>7.0000000000000001E-3</v>
      </c>
      <c r="W11" s="539">
        <f>'[3]Mechanical data, limits'!W11</f>
        <v>7.0000000000000001E-3</v>
      </c>
      <c r="X11" s="540">
        <f>'[3]Mechanical data, limits'!X11</f>
        <v>8.0000000000000002E-3</v>
      </c>
      <c r="Y11" s="530">
        <f>'[3]Mechanical data, limits'!Y11</f>
        <v>0</v>
      </c>
    </row>
    <row r="12" spans="1:25">
      <c r="A12" s="530">
        <f>'[3]Mechanical data, limits'!A12</f>
        <v>0</v>
      </c>
      <c r="B12" s="533">
        <f>'[3]Mechanical data, limits'!B12</f>
        <v>0.80099999999999993</v>
      </c>
      <c r="C12" s="530">
        <f>'[3]Mechanical data, limits'!C12</f>
        <v>0</v>
      </c>
      <c r="D12" s="533">
        <f>'[3]Mechanical data, limits'!D12</f>
        <v>5.0000000000000001E-3</v>
      </c>
      <c r="E12" s="533">
        <f>'[3]Mechanical data, limits'!E12</f>
        <v>1.8000000000000002E-2</v>
      </c>
      <c r="F12" s="533">
        <f>'[3]Mechanical data, limits'!F12</f>
        <v>0.02</v>
      </c>
      <c r="G12" s="533">
        <f>'[3]Mechanical data, limits'!G12</f>
        <v>7.000000000000001E-3</v>
      </c>
      <c r="H12" s="533">
        <f>'[3]Mechanical data, limits'!H12</f>
        <v>1.8000000000000002E-2</v>
      </c>
      <c r="I12" s="534">
        <f>'[3]Mechanical data, limits'!I12</f>
        <v>0.45691309852252227</v>
      </c>
      <c r="J12" s="530" t="str">
        <f>'[3]Mechanical data, limits'!J12</f>
        <v>m</v>
      </c>
      <c r="K12" s="530">
        <f>'[3]Mechanical data, limits'!K12</f>
        <v>0</v>
      </c>
      <c r="L12" s="536">
        <f>'[3]Mechanical data, limits'!L12</f>
        <v>4.0000000000000001E-3</v>
      </c>
      <c r="M12" s="536">
        <f>'[3]Mechanical data, limits'!M12</f>
        <v>4.0000000000000001E-3</v>
      </c>
      <c r="N12" s="537">
        <f>'[3]Mechanical data, limits'!N12</f>
        <v>5.0000000000000001E-3</v>
      </c>
      <c r="O12" s="537">
        <f>'[3]Mechanical data, limits'!O12</f>
        <v>5.0000000000000001E-3</v>
      </c>
      <c r="P12" s="537">
        <f>'[3]Mechanical data, limits'!P12</f>
        <v>5.0000000000000001E-3</v>
      </c>
      <c r="Q12" s="538">
        <f>'[3]Mechanical data, limits'!Q12</f>
        <v>6.0000000000000001E-3</v>
      </c>
      <c r="R12" s="538">
        <f>'[3]Mechanical data, limits'!R12</f>
        <v>6.0000000000000001E-3</v>
      </c>
      <c r="S12" s="538">
        <f>'[3]Mechanical data, limits'!S12</f>
        <v>6.0000000000000001E-3</v>
      </c>
      <c r="T12" s="539">
        <f>'[3]Mechanical data, limits'!T12</f>
        <v>7.0000000000000001E-3</v>
      </c>
      <c r="U12" s="539">
        <f>'[3]Mechanical data, limits'!U12</f>
        <v>7.0000000000000001E-3</v>
      </c>
      <c r="V12" s="539">
        <f>'[3]Mechanical data, limits'!V12</f>
        <v>7.0000000000000001E-3</v>
      </c>
      <c r="W12" s="540">
        <f>'[3]Mechanical data, limits'!W12</f>
        <v>8.0000000000000002E-3</v>
      </c>
      <c r="X12" s="540">
        <f>'[3]Mechanical data, limits'!X12</f>
        <v>8.0000000000000002E-3</v>
      </c>
      <c r="Y12" s="530">
        <f>'[3]Mechanical data, limits'!Y12</f>
        <v>0</v>
      </c>
    </row>
    <row r="13" spans="1:25">
      <c r="A13" s="530">
        <f>'[3]Mechanical data, limits'!A13</f>
        <v>0</v>
      </c>
      <c r="B13" s="533">
        <f>'[3]Mechanical data, limits'!B13</f>
        <v>0.90099999999999991</v>
      </c>
      <c r="C13" s="530">
        <f>'[3]Mechanical data, limits'!C13</f>
        <v>0</v>
      </c>
      <c r="D13" s="533">
        <f>'[3]Mechanical data, limits'!D13</f>
        <v>6.0000000000000001E-3</v>
      </c>
      <c r="E13" s="533">
        <f>'[3]Mechanical data, limits'!E13</f>
        <v>1.8000000000000002E-2</v>
      </c>
      <c r="F13" s="533">
        <f>'[3]Mechanical data, limits'!F13</f>
        <v>0.02</v>
      </c>
      <c r="G13" s="533">
        <f>'[3]Mechanical data, limits'!G13</f>
        <v>7.000000000000001E-3</v>
      </c>
      <c r="H13" s="533">
        <f>'[3]Mechanical data, limits'!H13</f>
        <v>1.8000000000000002E-2</v>
      </c>
      <c r="I13" s="534">
        <f>'[3]Mechanical data, limits'!I13</f>
        <v>0.45891309852252227</v>
      </c>
      <c r="J13" s="530" t="str">
        <f>'[3]Mechanical data, limits'!J13</f>
        <v>m</v>
      </c>
      <c r="K13" s="530">
        <f>'[3]Mechanical data, limits'!K13</f>
        <v>0</v>
      </c>
      <c r="L13" s="536">
        <f>'[3]Mechanical data, limits'!L13</f>
        <v>4.0000000000000001E-3</v>
      </c>
      <c r="M13" s="536">
        <f>'[3]Mechanical data, limits'!M13</f>
        <v>4.0000000000000001E-3</v>
      </c>
      <c r="N13" s="537">
        <f>'[3]Mechanical data, limits'!N13</f>
        <v>5.0000000000000001E-3</v>
      </c>
      <c r="O13" s="537">
        <f>'[3]Mechanical data, limits'!O13</f>
        <v>5.0000000000000001E-3</v>
      </c>
      <c r="P13" s="537">
        <f>'[3]Mechanical data, limits'!P13</f>
        <v>5.0000000000000001E-3</v>
      </c>
      <c r="Q13" s="538">
        <f>'[3]Mechanical data, limits'!Q13</f>
        <v>6.0000000000000001E-3</v>
      </c>
      <c r="R13" s="538">
        <f>'[3]Mechanical data, limits'!R13</f>
        <v>6.0000000000000001E-3</v>
      </c>
      <c r="S13" s="538">
        <f>'[3]Mechanical data, limits'!S13</f>
        <v>6.0000000000000001E-3</v>
      </c>
      <c r="T13" s="539">
        <f>'[3]Mechanical data, limits'!T13</f>
        <v>7.0000000000000001E-3</v>
      </c>
      <c r="U13" s="539">
        <f>'[3]Mechanical data, limits'!U13</f>
        <v>7.0000000000000001E-3</v>
      </c>
      <c r="V13" s="539">
        <f>'[3]Mechanical data, limits'!V13</f>
        <v>7.0000000000000001E-3</v>
      </c>
      <c r="W13" s="540">
        <f>'[3]Mechanical data, limits'!W13</f>
        <v>8.0000000000000002E-3</v>
      </c>
      <c r="X13" s="540">
        <f>'[3]Mechanical data, limits'!X13</f>
        <v>8.0000000000000002E-3</v>
      </c>
      <c r="Y13" s="530">
        <f>'[3]Mechanical data, limits'!Y13</f>
        <v>0</v>
      </c>
    </row>
    <row r="14" spans="1:25">
      <c r="A14" s="530">
        <f>'[3]Mechanical data, limits'!A14</f>
        <v>0</v>
      </c>
      <c r="B14" s="533">
        <f>'[3]Mechanical data, limits'!B14</f>
        <v>1.0009999999999999</v>
      </c>
      <c r="C14" s="530">
        <f>'[3]Mechanical data, limits'!C14</f>
        <v>0</v>
      </c>
      <c r="D14" s="533">
        <f>'[3]Mechanical data, limits'!D14</f>
        <v>6.0000000000000001E-3</v>
      </c>
      <c r="E14" s="533">
        <f>'[3]Mechanical data, limits'!E14</f>
        <v>1.8000000000000002E-2</v>
      </c>
      <c r="F14" s="533">
        <f>'[3]Mechanical data, limits'!F14</f>
        <v>0.02</v>
      </c>
      <c r="G14" s="533">
        <f>'[3]Mechanical data, limits'!G14</f>
        <v>8.0000000000000002E-3</v>
      </c>
      <c r="H14" s="533">
        <f>'[3]Mechanical data, limits'!H14</f>
        <v>1.8000000000000002E-2</v>
      </c>
      <c r="I14" s="534">
        <f>'[3]Mechanical data, limits'!I14</f>
        <v>0.45991309852252227</v>
      </c>
      <c r="J14" s="530" t="str">
        <f>'[3]Mechanical data, limits'!J14</f>
        <v>m</v>
      </c>
      <c r="K14" s="530">
        <f>'[3]Mechanical data, limits'!K14</f>
        <v>0</v>
      </c>
      <c r="L14" s="536">
        <f>'[3]Mechanical data, limits'!L14</f>
        <v>4.0000000000000001E-3</v>
      </c>
      <c r="M14" s="537">
        <f>'[3]Mechanical data, limits'!M14</f>
        <v>5.0000000000000001E-3</v>
      </c>
      <c r="N14" s="537">
        <f>'[3]Mechanical data, limits'!N14</f>
        <v>5.0000000000000001E-3</v>
      </c>
      <c r="O14" s="537">
        <f>'[3]Mechanical data, limits'!O14</f>
        <v>5.0000000000000001E-3</v>
      </c>
      <c r="P14" s="538">
        <f>'[3]Mechanical data, limits'!P14</f>
        <v>6.0000000000000001E-3</v>
      </c>
      <c r="Q14" s="538">
        <f>'[3]Mechanical data, limits'!Q14</f>
        <v>6.0000000000000001E-3</v>
      </c>
      <c r="R14" s="538">
        <f>'[3]Mechanical data, limits'!R14</f>
        <v>6.0000000000000001E-3</v>
      </c>
      <c r="S14" s="539">
        <f>'[3]Mechanical data, limits'!S14</f>
        <v>7.0000000000000001E-3</v>
      </c>
      <c r="T14" s="539">
        <f>'[3]Mechanical data, limits'!T14</f>
        <v>7.0000000000000001E-3</v>
      </c>
      <c r="U14" s="539">
        <f>'[3]Mechanical data, limits'!U14</f>
        <v>7.0000000000000001E-3</v>
      </c>
      <c r="V14" s="540">
        <f>'[3]Mechanical data, limits'!V14</f>
        <v>8.0000000000000002E-3</v>
      </c>
      <c r="W14" s="540">
        <f>'[3]Mechanical data, limits'!W14</f>
        <v>8.0000000000000002E-3</v>
      </c>
      <c r="X14" s="540">
        <f>'[3]Mechanical data, limits'!X14</f>
        <v>8.0000000000000002E-3</v>
      </c>
      <c r="Y14" s="530">
        <f>'[3]Mechanical data, limits'!Y14</f>
        <v>0</v>
      </c>
    </row>
    <row r="15" spans="1:25">
      <c r="A15" s="530">
        <f>'[3]Mechanical data, limits'!A15</f>
        <v>0</v>
      </c>
      <c r="B15" s="533">
        <f>'[3]Mechanical data, limits'!B15</f>
        <v>1.101</v>
      </c>
      <c r="C15" s="530">
        <f>'[3]Mechanical data, limits'!C15</f>
        <v>0</v>
      </c>
      <c r="D15" s="533">
        <f>'[3]Mechanical data, limits'!D15</f>
        <v>6.0000000000000001E-3</v>
      </c>
      <c r="E15" s="533">
        <f>'[3]Mechanical data, limits'!E15</f>
        <v>1.8000000000000002E-2</v>
      </c>
      <c r="F15" s="533">
        <f>'[3]Mechanical data, limits'!F15</f>
        <v>0.03</v>
      </c>
      <c r="G15" s="533">
        <f>'[3]Mechanical data, limits'!G15</f>
        <v>8.9999999999999993E-3</v>
      </c>
      <c r="H15" s="533">
        <f>'[3]Mechanical data, limits'!H15</f>
        <v>1.8000000000000002E-2</v>
      </c>
      <c r="I15" s="534">
        <f>'[3]Mechanical data, limits'!I15</f>
        <v>0.47091309852252228</v>
      </c>
      <c r="J15" s="530" t="str">
        <f>'[3]Mechanical data, limits'!J15</f>
        <v>m</v>
      </c>
      <c r="K15" s="530">
        <f>'[3]Mechanical data, limits'!K15</f>
        <v>0</v>
      </c>
      <c r="L15" s="536">
        <f>'[3]Mechanical data, limits'!L15</f>
        <v>4.0000000000000001E-3</v>
      </c>
      <c r="M15" s="537">
        <f>'[3]Mechanical data, limits'!M15</f>
        <v>5.0000000000000001E-3</v>
      </c>
      <c r="N15" s="537">
        <f>'[3]Mechanical data, limits'!N15</f>
        <v>5.0000000000000001E-3</v>
      </c>
      <c r="O15" s="537">
        <f>'[3]Mechanical data, limits'!O15</f>
        <v>5.0000000000000001E-3</v>
      </c>
      <c r="P15" s="538">
        <f>'[3]Mechanical data, limits'!P15</f>
        <v>6.0000000000000001E-3</v>
      </c>
      <c r="Q15" s="538">
        <f>'[3]Mechanical data, limits'!Q15</f>
        <v>6.0000000000000001E-3</v>
      </c>
      <c r="R15" s="538">
        <f>'[3]Mechanical data, limits'!R15</f>
        <v>6.0000000000000001E-3</v>
      </c>
      <c r="S15" s="539">
        <f>'[3]Mechanical data, limits'!S15</f>
        <v>7.0000000000000001E-3</v>
      </c>
      <c r="T15" s="539">
        <f>'[3]Mechanical data, limits'!T15</f>
        <v>7.0000000000000001E-3</v>
      </c>
      <c r="U15" s="539">
        <f>'[3]Mechanical data, limits'!U15</f>
        <v>7.0000000000000001E-3</v>
      </c>
      <c r="V15" s="540">
        <f>'[3]Mechanical data, limits'!V15</f>
        <v>8.0000000000000002E-3</v>
      </c>
      <c r="W15" s="540">
        <f>'[3]Mechanical data, limits'!W15</f>
        <v>8.0000000000000002E-3</v>
      </c>
      <c r="X15" s="540">
        <f>'[3]Mechanical data, limits'!X15</f>
        <v>8.0000000000000002E-3</v>
      </c>
      <c r="Y15" s="530">
        <f>'[3]Mechanical data, limits'!Y15</f>
        <v>0</v>
      </c>
    </row>
    <row r="16" spans="1:25">
      <c r="A16" s="530">
        <f>'[3]Mechanical data, limits'!A16</f>
        <v>0</v>
      </c>
      <c r="B16" s="533">
        <f>'[3]Mechanical data, limits'!B16</f>
        <v>1.2010000000000001</v>
      </c>
      <c r="C16" s="530">
        <f>'[3]Mechanical data, limits'!C16</f>
        <v>0</v>
      </c>
      <c r="D16" s="533">
        <f>'[3]Mechanical data, limits'!D16</f>
        <v>6.0000000000000001E-3</v>
      </c>
      <c r="E16" s="533">
        <f>'[3]Mechanical data, limits'!E16</f>
        <v>1.8000000000000002E-2</v>
      </c>
      <c r="F16" s="533">
        <f>'[3]Mechanical data, limits'!F16</f>
        <v>0.03</v>
      </c>
      <c r="G16" s="533">
        <f>'[3]Mechanical data, limits'!G16</f>
        <v>8.9999999999999993E-3</v>
      </c>
      <c r="H16" s="533">
        <f>'[3]Mechanical data, limits'!H16</f>
        <v>1.8000000000000002E-2</v>
      </c>
      <c r="I16" s="534">
        <f>'[3]Mechanical data, limits'!I16</f>
        <v>0.47091309852252228</v>
      </c>
      <c r="J16" s="530" t="str">
        <f>'[3]Mechanical data, limits'!J16</f>
        <v>m</v>
      </c>
      <c r="K16" s="530">
        <f>'[3]Mechanical data, limits'!K16</f>
        <v>0</v>
      </c>
      <c r="L16" s="537">
        <f>'[3]Mechanical data, limits'!L16</f>
        <v>5.0000000000000001E-3</v>
      </c>
      <c r="M16" s="537">
        <f>'[3]Mechanical data, limits'!M16</f>
        <v>5.0000000000000001E-3</v>
      </c>
      <c r="N16" s="537">
        <f>'[3]Mechanical data, limits'!N16</f>
        <v>5.0000000000000001E-3</v>
      </c>
      <c r="O16" s="538">
        <f>'[3]Mechanical data, limits'!O16</f>
        <v>6.0000000000000001E-3</v>
      </c>
      <c r="P16" s="538">
        <f>'[3]Mechanical data, limits'!P16</f>
        <v>6.0000000000000001E-3</v>
      </c>
      <c r="Q16" s="538">
        <f>'[3]Mechanical data, limits'!Q16</f>
        <v>6.0000000000000001E-3</v>
      </c>
      <c r="R16" s="539">
        <f>'[3]Mechanical data, limits'!R16</f>
        <v>7.0000000000000001E-3</v>
      </c>
      <c r="S16" s="539">
        <f>'[3]Mechanical data, limits'!S16</f>
        <v>7.0000000000000001E-3</v>
      </c>
      <c r="T16" s="539">
        <f>'[3]Mechanical data, limits'!T16</f>
        <v>7.0000000000000001E-3</v>
      </c>
      <c r="U16" s="540">
        <f>'[3]Mechanical data, limits'!U16</f>
        <v>8.0000000000000002E-3</v>
      </c>
      <c r="V16" s="540">
        <f>'[3]Mechanical data, limits'!V16</f>
        <v>8.0000000000000002E-3</v>
      </c>
      <c r="W16" s="540">
        <f>'[3]Mechanical data, limits'!W16</f>
        <v>8.0000000000000002E-3</v>
      </c>
      <c r="X16" s="541">
        <f>'[3]Mechanical data, limits'!X16</f>
        <v>0.01</v>
      </c>
      <c r="Y16" s="530">
        <f>'[3]Mechanical data, limits'!Y16</f>
        <v>0</v>
      </c>
    </row>
    <row r="17" spans="1:25">
      <c r="A17" s="530">
        <f>'[3]Mechanical data, limits'!A17</f>
        <v>0</v>
      </c>
      <c r="B17" s="533">
        <f>'[3]Mechanical data, limits'!B17</f>
        <v>1.3010000000000002</v>
      </c>
      <c r="C17" s="530">
        <f>'[3]Mechanical data, limits'!C17</f>
        <v>0</v>
      </c>
      <c r="D17" s="533">
        <f>'[3]Mechanical data, limits'!D17</f>
        <v>6.0000000000000001E-3</v>
      </c>
      <c r="E17" s="533">
        <f>'[3]Mechanical data, limits'!E17</f>
        <v>0.02</v>
      </c>
      <c r="F17" s="533">
        <f>'[3]Mechanical data, limits'!F17</f>
        <v>0.03</v>
      </c>
      <c r="G17" s="533">
        <f>'[3]Mechanical data, limits'!G17</f>
        <v>0.01</v>
      </c>
      <c r="H17" s="533">
        <f>'[3]Mechanical data, limits'!H17</f>
        <v>0.02</v>
      </c>
      <c r="I17" s="534">
        <f>'[3]Mechanical data, limits'!I17</f>
        <v>0.47591309852252228</v>
      </c>
      <c r="J17" s="530" t="str">
        <f>'[3]Mechanical data, limits'!J17</f>
        <v>m</v>
      </c>
      <c r="K17" s="530">
        <f>'[3]Mechanical data, limits'!K17</f>
        <v>0</v>
      </c>
      <c r="L17" s="537">
        <f>'[3]Mechanical data, limits'!L17</f>
        <v>5.0000000000000001E-3</v>
      </c>
      <c r="M17" s="537">
        <f>'[3]Mechanical data, limits'!M17</f>
        <v>5.0000000000000001E-3</v>
      </c>
      <c r="N17" s="537">
        <f>'[3]Mechanical data, limits'!N17</f>
        <v>5.0000000000000001E-3</v>
      </c>
      <c r="O17" s="538">
        <f>'[3]Mechanical data, limits'!O17</f>
        <v>6.0000000000000001E-3</v>
      </c>
      <c r="P17" s="538">
        <f>'[3]Mechanical data, limits'!P17</f>
        <v>6.0000000000000001E-3</v>
      </c>
      <c r="Q17" s="538">
        <f>'[3]Mechanical data, limits'!Q17</f>
        <v>6.0000000000000001E-3</v>
      </c>
      <c r="R17" s="539">
        <f>'[3]Mechanical data, limits'!R17</f>
        <v>7.0000000000000001E-3</v>
      </c>
      <c r="S17" s="539">
        <f>'[3]Mechanical data, limits'!S17</f>
        <v>7.0000000000000001E-3</v>
      </c>
      <c r="T17" s="539">
        <f>'[3]Mechanical data, limits'!T17</f>
        <v>7.0000000000000001E-3</v>
      </c>
      <c r="U17" s="540">
        <f>'[3]Mechanical data, limits'!U17</f>
        <v>8.0000000000000002E-3</v>
      </c>
      <c r="V17" s="540">
        <f>'[3]Mechanical data, limits'!V17</f>
        <v>8.0000000000000002E-3</v>
      </c>
      <c r="W17" s="540">
        <f>'[3]Mechanical data, limits'!W17</f>
        <v>8.0000000000000002E-3</v>
      </c>
      <c r="X17" s="541">
        <f>'[3]Mechanical data, limits'!X17</f>
        <v>0.01</v>
      </c>
      <c r="Y17" s="530">
        <f>'[3]Mechanical data, limits'!Y17</f>
        <v>0</v>
      </c>
    </row>
    <row r="18" spans="1:25">
      <c r="A18" s="530">
        <f>'[3]Mechanical data, limits'!A18</f>
        <v>0</v>
      </c>
      <c r="B18" s="533">
        <f>'[3]Mechanical data, limits'!B18</f>
        <v>1.4010000000000002</v>
      </c>
      <c r="C18" s="530">
        <f>'[3]Mechanical data, limits'!C18</f>
        <v>0</v>
      </c>
      <c r="D18" s="533">
        <f>'[3]Mechanical data, limits'!D18</f>
        <v>6.0000000000000001E-3</v>
      </c>
      <c r="E18" s="533">
        <f>'[3]Mechanical data, limits'!E18</f>
        <v>0.02</v>
      </c>
      <c r="F18" s="533">
        <f>'[3]Mechanical data, limits'!F18</f>
        <v>0.03</v>
      </c>
      <c r="G18" s="533">
        <f>'[3]Mechanical data, limits'!G18</f>
        <v>1.0999999999999999E-2</v>
      </c>
      <c r="H18" s="533">
        <f>'[3]Mechanical data, limits'!H18</f>
        <v>0.02</v>
      </c>
      <c r="I18" s="534">
        <f>'[3]Mechanical data, limits'!I18</f>
        <v>0.47691309852252228</v>
      </c>
      <c r="J18" s="530" t="str">
        <f>'[3]Mechanical data, limits'!J18</f>
        <v>m</v>
      </c>
      <c r="K18" s="530">
        <f>'[3]Mechanical data, limits'!K18</f>
        <v>0</v>
      </c>
      <c r="L18" s="537">
        <f>'[3]Mechanical data, limits'!L18</f>
        <v>5.0000000000000001E-3</v>
      </c>
      <c r="M18" s="537">
        <f>'[3]Mechanical data, limits'!M18</f>
        <v>5.0000000000000001E-3</v>
      </c>
      <c r="N18" s="538">
        <f>'[3]Mechanical data, limits'!N18</f>
        <v>6.0000000000000001E-3</v>
      </c>
      <c r="O18" s="538">
        <f>'[3]Mechanical data, limits'!O18</f>
        <v>6.0000000000000001E-3</v>
      </c>
      <c r="P18" s="538">
        <f>'[3]Mechanical data, limits'!P18</f>
        <v>6.0000000000000001E-3</v>
      </c>
      <c r="Q18" s="539">
        <f>'[3]Mechanical data, limits'!Q18</f>
        <v>7.0000000000000001E-3</v>
      </c>
      <c r="R18" s="539">
        <f>'[3]Mechanical data, limits'!R18</f>
        <v>7.0000000000000001E-3</v>
      </c>
      <c r="S18" s="539">
        <f>'[3]Mechanical data, limits'!S18</f>
        <v>7.0000000000000001E-3</v>
      </c>
      <c r="T18" s="540">
        <f>'[3]Mechanical data, limits'!T18</f>
        <v>8.0000000000000002E-3</v>
      </c>
      <c r="U18" s="540">
        <f>'[3]Mechanical data, limits'!U18</f>
        <v>8.0000000000000002E-3</v>
      </c>
      <c r="V18" s="540">
        <f>'[3]Mechanical data, limits'!V18</f>
        <v>8.0000000000000002E-3</v>
      </c>
      <c r="W18" s="541">
        <f>'[3]Mechanical data, limits'!W18</f>
        <v>0.01</v>
      </c>
      <c r="X18" s="541">
        <f>'[3]Mechanical data, limits'!X18</f>
        <v>0.01</v>
      </c>
      <c r="Y18" s="530">
        <f>'[3]Mechanical data, limits'!Y18</f>
        <v>0</v>
      </c>
    </row>
    <row r="19" spans="1:25">
      <c r="A19" s="530">
        <f>'[3]Mechanical data, limits'!A19</f>
        <v>0</v>
      </c>
      <c r="B19" s="533">
        <f>'[3]Mechanical data, limits'!B19</f>
        <v>1.5010000000000003</v>
      </c>
      <c r="C19" s="530">
        <f>'[3]Mechanical data, limits'!C19</f>
        <v>0</v>
      </c>
      <c r="D19" s="533">
        <f>'[3]Mechanical data, limits'!D19</f>
        <v>6.0000000000000001E-3</v>
      </c>
      <c r="E19" s="533">
        <f>'[3]Mechanical data, limits'!E19</f>
        <v>0.02</v>
      </c>
      <c r="F19" s="533">
        <f>'[3]Mechanical data, limits'!F19</f>
        <v>0.03</v>
      </c>
      <c r="G19" s="533">
        <f>'[3]Mechanical data, limits'!G19</f>
        <v>1.2E-2</v>
      </c>
      <c r="H19" s="533">
        <f>'[3]Mechanical data, limits'!H19</f>
        <v>0.02</v>
      </c>
      <c r="I19" s="534">
        <f>'[3]Mechanical data, limits'!I19</f>
        <v>0.47791309852252228</v>
      </c>
      <c r="J19" s="530" t="str">
        <f>'[3]Mechanical data, limits'!J19</f>
        <v>m</v>
      </c>
      <c r="K19" s="530">
        <f>'[3]Mechanical data, limits'!K19</f>
        <v>0</v>
      </c>
      <c r="L19" s="537">
        <f>'[3]Mechanical data, limits'!L19</f>
        <v>5.0000000000000001E-3</v>
      </c>
      <c r="M19" s="537">
        <f>'[3]Mechanical data, limits'!M19</f>
        <v>5.0000000000000001E-3</v>
      </c>
      <c r="N19" s="538">
        <f>'[3]Mechanical data, limits'!N19</f>
        <v>6.0000000000000001E-3</v>
      </c>
      <c r="O19" s="538">
        <f>'[3]Mechanical data, limits'!O19</f>
        <v>6.0000000000000001E-3</v>
      </c>
      <c r="P19" s="538">
        <f>'[3]Mechanical data, limits'!P19</f>
        <v>6.0000000000000001E-3</v>
      </c>
      <c r="Q19" s="539">
        <f>'[3]Mechanical data, limits'!Q19</f>
        <v>7.0000000000000001E-3</v>
      </c>
      <c r="R19" s="539">
        <f>'[3]Mechanical data, limits'!R19</f>
        <v>7.0000000000000001E-3</v>
      </c>
      <c r="S19" s="539">
        <f>'[3]Mechanical data, limits'!S19</f>
        <v>7.0000000000000001E-3</v>
      </c>
      <c r="T19" s="540">
        <f>'[3]Mechanical data, limits'!T19</f>
        <v>8.0000000000000002E-3</v>
      </c>
      <c r="U19" s="540">
        <f>'[3]Mechanical data, limits'!U19</f>
        <v>8.0000000000000002E-3</v>
      </c>
      <c r="V19" s="540">
        <f>'[3]Mechanical data, limits'!V19</f>
        <v>8.0000000000000002E-3</v>
      </c>
      <c r="W19" s="541">
        <f>'[3]Mechanical data, limits'!W19</f>
        <v>0.01</v>
      </c>
      <c r="X19" s="541">
        <f>'[3]Mechanical data, limits'!X19</f>
        <v>0.01</v>
      </c>
      <c r="Y19" s="530">
        <f>'[3]Mechanical data, limits'!Y19</f>
        <v>0</v>
      </c>
    </row>
    <row r="20" spans="1:25">
      <c r="A20" s="530">
        <f>'[3]Mechanical data, limits'!A20</f>
        <v>0</v>
      </c>
      <c r="B20" s="533">
        <f>'[3]Mechanical data, limits'!B20</f>
        <v>1.6010000000000004</v>
      </c>
      <c r="C20" s="530">
        <f>'[3]Mechanical data, limits'!C20</f>
        <v>0</v>
      </c>
      <c r="D20" s="533">
        <f>'[3]Mechanical data, limits'!D20</f>
        <v>6.0000000000000001E-3</v>
      </c>
      <c r="E20" s="533">
        <f>'[3]Mechanical data, limits'!E20</f>
        <v>2.1999999999999999E-2</v>
      </c>
      <c r="F20" s="533">
        <f>'[3]Mechanical data, limits'!F20</f>
        <v>0.03</v>
      </c>
      <c r="G20" s="533">
        <f>'[3]Mechanical data, limits'!G20</f>
        <v>1.2E-2</v>
      </c>
      <c r="H20" s="533">
        <f>'[3]Mechanical data, limits'!H20</f>
        <v>0.02</v>
      </c>
      <c r="I20" s="534">
        <f>'[3]Mechanical data, limits'!I20</f>
        <v>0.47991309852252229</v>
      </c>
      <c r="J20" s="530" t="str">
        <f>'[3]Mechanical data, limits'!J20</f>
        <v>m</v>
      </c>
      <c r="K20" s="530">
        <f>'[3]Mechanical data, limits'!K20</f>
        <v>0</v>
      </c>
      <c r="L20" s="537">
        <f>'[3]Mechanical data, limits'!L20</f>
        <v>5.0000000000000001E-3</v>
      </c>
      <c r="M20" s="538">
        <f>'[3]Mechanical data, limits'!M20</f>
        <v>6.0000000000000001E-3</v>
      </c>
      <c r="N20" s="538">
        <f>'[3]Mechanical data, limits'!N20</f>
        <v>6.0000000000000001E-3</v>
      </c>
      <c r="O20" s="538">
        <f>'[3]Mechanical data, limits'!O20</f>
        <v>6.0000000000000001E-3</v>
      </c>
      <c r="P20" s="539">
        <f>'[3]Mechanical data, limits'!P20</f>
        <v>7.0000000000000001E-3</v>
      </c>
      <c r="Q20" s="539">
        <f>'[3]Mechanical data, limits'!Q20</f>
        <v>7.0000000000000001E-3</v>
      </c>
      <c r="R20" s="539">
        <f>'[3]Mechanical data, limits'!R20</f>
        <v>7.0000000000000001E-3</v>
      </c>
      <c r="S20" s="540">
        <f>'[3]Mechanical data, limits'!S20</f>
        <v>8.0000000000000002E-3</v>
      </c>
      <c r="T20" s="540">
        <f>'[3]Mechanical data, limits'!T20</f>
        <v>8.0000000000000002E-3</v>
      </c>
      <c r="U20" s="540">
        <f>'[3]Mechanical data, limits'!U20</f>
        <v>8.0000000000000002E-3</v>
      </c>
      <c r="V20" s="541">
        <f>'[3]Mechanical data, limits'!V20</f>
        <v>0.01</v>
      </c>
      <c r="W20" s="541">
        <f>'[3]Mechanical data, limits'!W20</f>
        <v>0.01</v>
      </c>
      <c r="X20" s="541">
        <f>'[3]Mechanical data, limits'!X20</f>
        <v>0.01</v>
      </c>
      <c r="Y20" s="530">
        <f>'[3]Mechanical data, limits'!Y20</f>
        <v>0</v>
      </c>
    </row>
    <row r="21" spans="1:25">
      <c r="A21" s="530">
        <f>'[3]Mechanical data, limits'!A21</f>
        <v>0</v>
      </c>
      <c r="B21" s="533">
        <f>'[3]Mechanical data, limits'!B21</f>
        <v>1.7010000000000005</v>
      </c>
      <c r="C21" s="530">
        <f>'[3]Mechanical data, limits'!C21</f>
        <v>0</v>
      </c>
      <c r="D21" s="533">
        <f>'[3]Mechanical data, limits'!D21</f>
        <v>6.0000000000000001E-3</v>
      </c>
      <c r="E21" s="533">
        <f>'[3]Mechanical data, limits'!E21</f>
        <v>2.1999999999999999E-2</v>
      </c>
      <c r="F21" s="533">
        <f>'[3]Mechanical data, limits'!F21</f>
        <v>0.03</v>
      </c>
      <c r="G21" s="533">
        <f>'[3]Mechanical data, limits'!G21</f>
        <v>1.3000000000000001E-2</v>
      </c>
      <c r="H21" s="533">
        <f>'[3]Mechanical data, limits'!H21</f>
        <v>0.02</v>
      </c>
      <c r="I21" s="534">
        <f>'[3]Mechanical data, limits'!I21</f>
        <v>0.48091309852252229</v>
      </c>
      <c r="J21" s="530" t="str">
        <f>'[3]Mechanical data, limits'!J21</f>
        <v>m</v>
      </c>
      <c r="K21" s="530">
        <f>'[3]Mechanical data, limits'!K21</f>
        <v>0</v>
      </c>
      <c r="L21" s="537">
        <f>'[3]Mechanical data, limits'!L21</f>
        <v>5.0000000000000001E-3</v>
      </c>
      <c r="M21" s="538">
        <f>'[3]Mechanical data, limits'!M21</f>
        <v>6.0000000000000001E-3</v>
      </c>
      <c r="N21" s="538">
        <f>'[3]Mechanical data, limits'!N21</f>
        <v>6.0000000000000001E-3</v>
      </c>
      <c r="O21" s="538">
        <f>'[3]Mechanical data, limits'!O21</f>
        <v>6.0000000000000001E-3</v>
      </c>
      <c r="P21" s="539">
        <f>'[3]Mechanical data, limits'!P21</f>
        <v>7.0000000000000001E-3</v>
      </c>
      <c r="Q21" s="539">
        <f>'[3]Mechanical data, limits'!Q21</f>
        <v>7.0000000000000001E-3</v>
      </c>
      <c r="R21" s="539">
        <f>'[3]Mechanical data, limits'!R21</f>
        <v>7.0000000000000001E-3</v>
      </c>
      <c r="S21" s="540">
        <f>'[3]Mechanical data, limits'!S21</f>
        <v>8.0000000000000002E-3</v>
      </c>
      <c r="T21" s="540">
        <f>'[3]Mechanical data, limits'!T21</f>
        <v>8.0000000000000002E-3</v>
      </c>
      <c r="U21" s="540">
        <f>'[3]Mechanical data, limits'!U21</f>
        <v>8.0000000000000002E-3</v>
      </c>
      <c r="V21" s="541">
        <f>'[3]Mechanical data, limits'!V21</f>
        <v>0.01</v>
      </c>
      <c r="W21" s="541">
        <f>'[3]Mechanical data, limits'!W21</f>
        <v>0.01</v>
      </c>
      <c r="X21" s="541">
        <f>'[3]Mechanical data, limits'!X21</f>
        <v>0.01</v>
      </c>
      <c r="Y21" s="530">
        <f>'[3]Mechanical data, limits'!Y21</f>
        <v>0</v>
      </c>
    </row>
    <row r="22" spans="1:25">
      <c r="A22" s="530">
        <f>'[3]Mechanical data, limits'!A22</f>
        <v>0</v>
      </c>
      <c r="B22" s="533">
        <f>'[3]Mechanical data, limits'!B22</f>
        <v>1.8010000000000006</v>
      </c>
      <c r="C22" s="530">
        <f>'[3]Mechanical data, limits'!C22</f>
        <v>0</v>
      </c>
      <c r="D22" s="533">
        <f>'[3]Mechanical data, limits'!D22</f>
        <v>6.0000000000000001E-3</v>
      </c>
      <c r="E22" s="533">
        <f>'[3]Mechanical data, limits'!E22</f>
        <v>2.1999999999999999E-2</v>
      </c>
      <c r="F22" s="533">
        <f>'[3]Mechanical data, limits'!F22</f>
        <v>0.03</v>
      </c>
      <c r="G22" s="533">
        <f>'[3]Mechanical data, limits'!G22</f>
        <v>1.4000000000000002E-2</v>
      </c>
      <c r="H22" s="533">
        <f>'[3]Mechanical data, limits'!H22</f>
        <v>0.02</v>
      </c>
      <c r="I22" s="534">
        <f>'[3]Mechanical data, limits'!I22</f>
        <v>0.48191309852252229</v>
      </c>
      <c r="J22" s="530" t="str">
        <f>'[3]Mechanical data, limits'!J22</f>
        <v>m</v>
      </c>
      <c r="K22" s="530">
        <f>'[3]Mechanical data, limits'!K22</f>
        <v>0</v>
      </c>
      <c r="L22" s="538">
        <f>'[3]Mechanical data, limits'!L22</f>
        <v>6.0000000000000001E-3</v>
      </c>
      <c r="M22" s="538">
        <f>'[3]Mechanical data, limits'!M22</f>
        <v>6.0000000000000001E-3</v>
      </c>
      <c r="N22" s="538">
        <f>'[3]Mechanical data, limits'!N22</f>
        <v>6.0000000000000001E-3</v>
      </c>
      <c r="O22" s="539">
        <f>'[3]Mechanical data, limits'!O22</f>
        <v>7.0000000000000001E-3</v>
      </c>
      <c r="P22" s="539">
        <f>'[3]Mechanical data, limits'!P22</f>
        <v>7.0000000000000001E-3</v>
      </c>
      <c r="Q22" s="539">
        <f>'[3]Mechanical data, limits'!Q22</f>
        <v>7.0000000000000001E-3</v>
      </c>
      <c r="R22" s="540">
        <f>'[3]Mechanical data, limits'!R22</f>
        <v>8.0000000000000002E-3</v>
      </c>
      <c r="S22" s="540">
        <f>'[3]Mechanical data, limits'!S22</f>
        <v>8.0000000000000002E-3</v>
      </c>
      <c r="T22" s="540">
        <f>'[3]Mechanical data, limits'!T22</f>
        <v>8.0000000000000002E-3</v>
      </c>
      <c r="U22" s="541">
        <f>'[3]Mechanical data, limits'!U22</f>
        <v>0.01</v>
      </c>
      <c r="V22" s="541">
        <f>'[3]Mechanical data, limits'!V22</f>
        <v>0.01</v>
      </c>
      <c r="W22" s="541">
        <f>'[3]Mechanical data, limits'!W22</f>
        <v>0.01</v>
      </c>
      <c r="X22" s="535">
        <f>'[3]Mechanical data, limits'!X22</f>
        <v>1.2E-2</v>
      </c>
      <c r="Y22" s="530">
        <f>'[3]Mechanical data, limits'!Y22</f>
        <v>0</v>
      </c>
    </row>
    <row r="23" spans="1:25">
      <c r="A23" s="530">
        <f>'[3]Mechanical data, limits'!A23</f>
        <v>0</v>
      </c>
      <c r="B23" s="533">
        <f>'[3]Mechanical data, limits'!B23</f>
        <v>1.9010000000000007</v>
      </c>
      <c r="C23" s="530">
        <f>'[3]Mechanical data, limits'!C23</f>
        <v>0</v>
      </c>
      <c r="D23" s="533">
        <f>'[3]Mechanical data, limits'!D23</f>
        <v>6.0000000000000001E-3</v>
      </c>
      <c r="E23" s="533">
        <f>'[3]Mechanical data, limits'!E23</f>
        <v>2.1999999999999999E-2</v>
      </c>
      <c r="F23" s="533">
        <f>'[3]Mechanical data, limits'!F23</f>
        <v>0.03</v>
      </c>
      <c r="G23" s="533">
        <f>'[3]Mechanical data, limits'!G23</f>
        <v>1.4999999999999999E-2</v>
      </c>
      <c r="H23" s="533">
        <f>'[3]Mechanical data, limits'!H23</f>
        <v>0.02</v>
      </c>
      <c r="I23" s="534">
        <f>'[3]Mechanical data, limits'!I23</f>
        <v>0.48291309852252229</v>
      </c>
      <c r="J23" s="530" t="str">
        <f>'[3]Mechanical data, limits'!J23</f>
        <v>m</v>
      </c>
      <c r="K23" s="530">
        <f>'[3]Mechanical data, limits'!K23</f>
        <v>0</v>
      </c>
      <c r="L23" s="538">
        <f>'[3]Mechanical data, limits'!L23</f>
        <v>6.0000000000000001E-3</v>
      </c>
      <c r="M23" s="538">
        <f>'[3]Mechanical data, limits'!M23</f>
        <v>6.0000000000000001E-3</v>
      </c>
      <c r="N23" s="538">
        <f>'[3]Mechanical data, limits'!N23</f>
        <v>6.0000000000000001E-3</v>
      </c>
      <c r="O23" s="539">
        <f>'[3]Mechanical data, limits'!O23</f>
        <v>7.0000000000000001E-3</v>
      </c>
      <c r="P23" s="539">
        <f>'[3]Mechanical data, limits'!P23</f>
        <v>7.0000000000000001E-3</v>
      </c>
      <c r="Q23" s="539">
        <f>'[3]Mechanical data, limits'!Q23</f>
        <v>7.0000000000000001E-3</v>
      </c>
      <c r="R23" s="540">
        <f>'[3]Mechanical data, limits'!R23</f>
        <v>8.0000000000000002E-3</v>
      </c>
      <c r="S23" s="540">
        <f>'[3]Mechanical data, limits'!S23</f>
        <v>8.0000000000000002E-3</v>
      </c>
      <c r="T23" s="540">
        <f>'[3]Mechanical data, limits'!T23</f>
        <v>8.0000000000000002E-3</v>
      </c>
      <c r="U23" s="541">
        <f>'[3]Mechanical data, limits'!U23</f>
        <v>0.01</v>
      </c>
      <c r="V23" s="541">
        <f>'[3]Mechanical data, limits'!V23</f>
        <v>0.01</v>
      </c>
      <c r="W23" s="541">
        <f>'[3]Mechanical data, limits'!W23</f>
        <v>0.01</v>
      </c>
      <c r="X23" s="535">
        <f>'[3]Mechanical data, limits'!X23</f>
        <v>1.2E-2</v>
      </c>
      <c r="Y23" s="530">
        <f>'[3]Mechanical data, limits'!Y23</f>
        <v>0</v>
      </c>
    </row>
    <row r="24" spans="1:25">
      <c r="A24" s="530">
        <f>'[3]Mechanical data, limits'!A24</f>
        <v>0</v>
      </c>
      <c r="B24" s="533">
        <f>'[3]Mechanical data, limits'!B24</f>
        <v>2.0010000000000008</v>
      </c>
      <c r="C24" s="530">
        <f>'[3]Mechanical data, limits'!C24</f>
        <v>0</v>
      </c>
      <c r="D24" s="533">
        <f>'[3]Mechanical data, limits'!D24</f>
        <v>8.0000000000000002E-3</v>
      </c>
      <c r="E24" s="533">
        <f>'[3]Mechanical data, limits'!E24</f>
        <v>2.5000000000000001E-2</v>
      </c>
      <c r="F24" s="533">
        <f>'[3]Mechanical data, limits'!F24</f>
        <v>0.03</v>
      </c>
      <c r="G24" s="533">
        <f>'[3]Mechanical data, limits'!G24</f>
        <v>1.6E-2</v>
      </c>
      <c r="H24" s="533">
        <f>'[3]Mechanical data, limits'!H24</f>
        <v>0.02</v>
      </c>
      <c r="I24" s="534">
        <f>'[3]Mechanical data, limits'!I24</f>
        <v>0.4909130985225223</v>
      </c>
      <c r="J24" s="530" t="str">
        <f>'[3]Mechanical data, limits'!J24</f>
        <v>m</v>
      </c>
      <c r="K24" s="530">
        <f>'[3]Mechanical data, limits'!K24</f>
        <v>0</v>
      </c>
      <c r="L24" s="538">
        <f>'[3]Mechanical data, limits'!L24</f>
        <v>6.0000000000000001E-3</v>
      </c>
      <c r="M24" s="538">
        <f>'[3]Mechanical data, limits'!M24</f>
        <v>6.0000000000000001E-3</v>
      </c>
      <c r="N24" s="539">
        <f>'[3]Mechanical data, limits'!N24</f>
        <v>7.0000000000000001E-3</v>
      </c>
      <c r="O24" s="539">
        <f>'[3]Mechanical data, limits'!O24</f>
        <v>7.0000000000000001E-3</v>
      </c>
      <c r="P24" s="539">
        <f>'[3]Mechanical data, limits'!P24</f>
        <v>7.0000000000000001E-3</v>
      </c>
      <c r="Q24" s="540">
        <f>'[3]Mechanical data, limits'!Q24</f>
        <v>8.0000000000000002E-3</v>
      </c>
      <c r="R24" s="540">
        <f>'[3]Mechanical data, limits'!R24</f>
        <v>8.0000000000000002E-3</v>
      </c>
      <c r="S24" s="540">
        <f>'[3]Mechanical data, limits'!S24</f>
        <v>8.0000000000000002E-3</v>
      </c>
      <c r="T24" s="541">
        <f>'[3]Mechanical data, limits'!T24</f>
        <v>0.01</v>
      </c>
      <c r="U24" s="541">
        <f>'[3]Mechanical data, limits'!U24</f>
        <v>0.01</v>
      </c>
      <c r="V24" s="541">
        <f>'[3]Mechanical data, limits'!V24</f>
        <v>0.01</v>
      </c>
      <c r="W24" s="535">
        <f>'[3]Mechanical data, limits'!W24</f>
        <v>1.2E-2</v>
      </c>
      <c r="X24" s="535">
        <f>'[3]Mechanical data, limits'!X24</f>
        <v>1.2E-2</v>
      </c>
      <c r="Y24" s="530">
        <f>'[3]Mechanical data, limits'!Y24</f>
        <v>0</v>
      </c>
    </row>
    <row r="25" spans="1:25">
      <c r="A25" s="530">
        <f>'[3]Mechanical data, limits'!A25</f>
        <v>0</v>
      </c>
      <c r="B25" s="533">
        <f>'[3]Mechanical data, limits'!B25</f>
        <v>2.1010000000000009</v>
      </c>
      <c r="C25" s="530">
        <f>'[3]Mechanical data, limits'!C25</f>
        <v>0</v>
      </c>
      <c r="D25" s="533">
        <f>'[3]Mechanical data, limits'!D25</f>
        <v>8.0000000000000002E-3</v>
      </c>
      <c r="E25" s="533">
        <f>'[3]Mechanical data, limits'!E25</f>
        <v>2.5000000000000001E-2</v>
      </c>
      <c r="F25" s="533">
        <f>'[3]Mechanical data, limits'!F25</f>
        <v>0.04</v>
      </c>
      <c r="G25" s="533">
        <f>'[3]Mechanical data, limits'!G25</f>
        <v>1.6E-2</v>
      </c>
      <c r="H25" s="533">
        <f>'[3]Mechanical data, limits'!H25</f>
        <v>0.02</v>
      </c>
      <c r="I25" s="534">
        <f>'[3]Mechanical data, limits'!I25</f>
        <v>0.5009130985225223</v>
      </c>
      <c r="J25" s="530" t="str">
        <f>'[3]Mechanical data, limits'!J25</f>
        <v>m</v>
      </c>
      <c r="K25" s="530">
        <f>'[3]Mechanical data, limits'!K25</f>
        <v>0</v>
      </c>
      <c r="L25" s="538">
        <f>'[3]Mechanical data, limits'!L25</f>
        <v>6.0000000000000001E-3</v>
      </c>
      <c r="M25" s="538">
        <f>'[3]Mechanical data, limits'!M25</f>
        <v>6.0000000000000001E-3</v>
      </c>
      <c r="N25" s="539">
        <f>'[3]Mechanical data, limits'!N25</f>
        <v>7.0000000000000001E-3</v>
      </c>
      <c r="O25" s="539">
        <f>'[3]Mechanical data, limits'!O25</f>
        <v>7.0000000000000001E-3</v>
      </c>
      <c r="P25" s="539">
        <f>'[3]Mechanical data, limits'!P25</f>
        <v>7.0000000000000001E-3</v>
      </c>
      <c r="Q25" s="540">
        <f>'[3]Mechanical data, limits'!Q25</f>
        <v>8.0000000000000002E-3</v>
      </c>
      <c r="R25" s="540">
        <f>'[3]Mechanical data, limits'!R25</f>
        <v>8.0000000000000002E-3</v>
      </c>
      <c r="S25" s="540">
        <f>'[3]Mechanical data, limits'!S25</f>
        <v>8.0000000000000002E-3</v>
      </c>
      <c r="T25" s="541">
        <f>'[3]Mechanical data, limits'!T25</f>
        <v>0.01</v>
      </c>
      <c r="U25" s="541">
        <f>'[3]Mechanical data, limits'!U25</f>
        <v>0.01</v>
      </c>
      <c r="V25" s="541">
        <f>'[3]Mechanical data, limits'!V25</f>
        <v>0.01</v>
      </c>
      <c r="W25" s="535">
        <f>'[3]Mechanical data, limits'!W25</f>
        <v>1.2E-2</v>
      </c>
      <c r="X25" s="535">
        <f>'[3]Mechanical data, limits'!X25</f>
        <v>1.2E-2</v>
      </c>
      <c r="Y25" s="530">
        <f>'[3]Mechanical data, limits'!Y25</f>
        <v>0</v>
      </c>
    </row>
    <row r="26" spans="1:25">
      <c r="A26" s="530">
        <f>'[3]Mechanical data, limits'!A26</f>
        <v>0</v>
      </c>
      <c r="B26" s="533">
        <f>'[3]Mechanical data, limits'!B26</f>
        <v>2.201000000000001</v>
      </c>
      <c r="C26" s="530">
        <f>'[3]Mechanical data, limits'!C26</f>
        <v>0</v>
      </c>
      <c r="D26" s="533">
        <f>'[3]Mechanical data, limits'!D26</f>
        <v>8.0000000000000002E-3</v>
      </c>
      <c r="E26" s="533">
        <f>'[3]Mechanical data, limits'!E26</f>
        <v>2.5000000000000001E-2</v>
      </c>
      <c r="F26" s="533">
        <f>'[3]Mechanical data, limits'!F26</f>
        <v>0.04</v>
      </c>
      <c r="G26" s="533">
        <f>'[3]Mechanical data, limits'!G26</f>
        <v>1.6E-2</v>
      </c>
      <c r="H26" s="533">
        <f>'[3]Mechanical data, limits'!H26</f>
        <v>0.02</v>
      </c>
      <c r="I26" s="534">
        <f>'[3]Mechanical data, limits'!I26</f>
        <v>0.5009130985225223</v>
      </c>
      <c r="J26" s="530" t="str">
        <f>'[3]Mechanical data, limits'!J26</f>
        <v>m</v>
      </c>
      <c r="K26" s="530">
        <f>'[3]Mechanical data, limits'!K26</f>
        <v>0</v>
      </c>
      <c r="L26" s="538">
        <f>'[3]Mechanical data, limits'!L26</f>
        <v>6.0000000000000001E-3</v>
      </c>
      <c r="M26" s="539">
        <f>'[3]Mechanical data, limits'!M26</f>
        <v>7.0000000000000001E-3</v>
      </c>
      <c r="N26" s="539">
        <f>'[3]Mechanical data, limits'!N26</f>
        <v>7.0000000000000001E-3</v>
      </c>
      <c r="O26" s="539">
        <f>'[3]Mechanical data, limits'!O26</f>
        <v>7.0000000000000001E-3</v>
      </c>
      <c r="P26" s="540">
        <f>'[3]Mechanical data, limits'!P26</f>
        <v>8.0000000000000002E-3</v>
      </c>
      <c r="Q26" s="540">
        <f>'[3]Mechanical data, limits'!Q26</f>
        <v>8.0000000000000002E-3</v>
      </c>
      <c r="R26" s="540">
        <f>'[3]Mechanical data, limits'!R26</f>
        <v>8.0000000000000002E-3</v>
      </c>
      <c r="S26" s="541">
        <f>'[3]Mechanical data, limits'!S26</f>
        <v>0.01</v>
      </c>
      <c r="T26" s="541">
        <f>'[3]Mechanical data, limits'!T26</f>
        <v>0.01</v>
      </c>
      <c r="U26" s="541">
        <f>'[3]Mechanical data, limits'!U26</f>
        <v>0.01</v>
      </c>
      <c r="V26" s="535">
        <f>'[3]Mechanical data, limits'!V26</f>
        <v>1.2E-2</v>
      </c>
      <c r="W26" s="535">
        <f>'[3]Mechanical data, limits'!W26</f>
        <v>1.2E-2</v>
      </c>
      <c r="X26" s="535">
        <f>'[3]Mechanical data, limits'!X26</f>
        <v>1.2E-2</v>
      </c>
      <c r="Y26" s="530">
        <f>'[3]Mechanical data, limits'!Y26</f>
        <v>0</v>
      </c>
    </row>
    <row r="27" spans="1:25">
      <c r="A27" s="530">
        <f>'[3]Mechanical data, limits'!A27</f>
        <v>0</v>
      </c>
      <c r="B27" s="533">
        <f>'[3]Mechanical data, limits'!B27</f>
        <v>2.301000000000001</v>
      </c>
      <c r="C27" s="530">
        <f>'[3]Mechanical data, limits'!C27</f>
        <v>0</v>
      </c>
      <c r="D27" s="533">
        <f>'[3]Mechanical data, limits'!D27</f>
        <v>8.0000000000000002E-3</v>
      </c>
      <c r="E27" s="533">
        <f>'[3]Mechanical data, limits'!E27</f>
        <v>2.5000000000000001E-2</v>
      </c>
      <c r="F27" s="533">
        <f>'[3]Mechanical data, limits'!F27</f>
        <v>0.04</v>
      </c>
      <c r="G27" s="533">
        <f>'[3]Mechanical data, limits'!G27</f>
        <v>1.6E-2</v>
      </c>
      <c r="H27" s="533">
        <f>'[3]Mechanical data, limits'!H27</f>
        <v>0.02</v>
      </c>
      <c r="I27" s="534">
        <f>'[3]Mechanical data, limits'!I27</f>
        <v>0.5009130985225223</v>
      </c>
      <c r="J27" s="530" t="str">
        <f>'[3]Mechanical data, limits'!J27</f>
        <v>m</v>
      </c>
      <c r="K27" s="530">
        <f>'[3]Mechanical data, limits'!K27</f>
        <v>0</v>
      </c>
      <c r="L27" s="538">
        <f>'[3]Mechanical data, limits'!L27</f>
        <v>6.0000000000000001E-3</v>
      </c>
      <c r="M27" s="539">
        <f>'[3]Mechanical data, limits'!M27</f>
        <v>7.0000000000000001E-3</v>
      </c>
      <c r="N27" s="539">
        <f>'[3]Mechanical data, limits'!N27</f>
        <v>7.0000000000000001E-3</v>
      </c>
      <c r="O27" s="539">
        <f>'[3]Mechanical data, limits'!O27</f>
        <v>7.0000000000000001E-3</v>
      </c>
      <c r="P27" s="540">
        <f>'[3]Mechanical data, limits'!P27</f>
        <v>8.0000000000000002E-3</v>
      </c>
      <c r="Q27" s="540">
        <f>'[3]Mechanical data, limits'!Q27</f>
        <v>8.0000000000000002E-3</v>
      </c>
      <c r="R27" s="540">
        <f>'[3]Mechanical data, limits'!R27</f>
        <v>8.0000000000000002E-3</v>
      </c>
      <c r="S27" s="541">
        <f>'[3]Mechanical data, limits'!S27</f>
        <v>0.01</v>
      </c>
      <c r="T27" s="541">
        <f>'[3]Mechanical data, limits'!T27</f>
        <v>0.01</v>
      </c>
      <c r="U27" s="541">
        <f>'[3]Mechanical data, limits'!U27</f>
        <v>0.01</v>
      </c>
      <c r="V27" s="535">
        <f>'[3]Mechanical data, limits'!V27</f>
        <v>1.2E-2</v>
      </c>
      <c r="W27" s="535">
        <f>'[3]Mechanical data, limits'!W27</f>
        <v>1.2E-2</v>
      </c>
      <c r="X27" s="535">
        <f>'[3]Mechanical data, limits'!X27</f>
        <v>1.2E-2</v>
      </c>
      <c r="Y27" s="530">
        <f>'[3]Mechanical data, limits'!Y27</f>
        <v>0</v>
      </c>
    </row>
    <row r="28" spans="1:25">
      <c r="A28" s="530">
        <f>'[3]Mechanical data, limits'!A28</f>
        <v>0</v>
      </c>
      <c r="B28" s="533">
        <f>'[3]Mechanical data, limits'!B28</f>
        <v>2.4010000000000011</v>
      </c>
      <c r="C28" s="530">
        <f>'[3]Mechanical data, limits'!C28</f>
        <v>0</v>
      </c>
      <c r="D28" s="533">
        <f>'[3]Mechanical data, limits'!D28</f>
        <v>8.0000000000000002E-3</v>
      </c>
      <c r="E28" s="533">
        <f>'[3]Mechanical data, limits'!E28</f>
        <v>2.5000000000000001E-2</v>
      </c>
      <c r="F28" s="533">
        <f>'[3]Mechanical data, limits'!F28</f>
        <v>0.04</v>
      </c>
      <c r="G28" s="533">
        <f>'[3]Mechanical data, limits'!G28</f>
        <v>1.6E-2</v>
      </c>
      <c r="H28" s="533">
        <f>'[3]Mechanical data, limits'!H28</f>
        <v>0.02</v>
      </c>
      <c r="I28" s="534">
        <f>'[3]Mechanical data, limits'!I28</f>
        <v>0.5009130985225223</v>
      </c>
      <c r="J28" s="530" t="str">
        <f>'[3]Mechanical data, limits'!J28</f>
        <v>m</v>
      </c>
      <c r="K28" s="530">
        <f>'[3]Mechanical data, limits'!K28</f>
        <v>0</v>
      </c>
      <c r="L28" s="539">
        <f>'[3]Mechanical data, limits'!L28</f>
        <v>7.0000000000000001E-3</v>
      </c>
      <c r="M28" s="539">
        <f>'[3]Mechanical data, limits'!M28</f>
        <v>7.0000000000000001E-3</v>
      </c>
      <c r="N28" s="539">
        <f>'[3]Mechanical data, limits'!N28</f>
        <v>7.0000000000000001E-3</v>
      </c>
      <c r="O28" s="540">
        <f>'[3]Mechanical data, limits'!O28</f>
        <v>8.0000000000000002E-3</v>
      </c>
      <c r="P28" s="540">
        <f>'[3]Mechanical data, limits'!P28</f>
        <v>8.0000000000000002E-3</v>
      </c>
      <c r="Q28" s="540">
        <f>'[3]Mechanical data, limits'!Q28</f>
        <v>8.0000000000000002E-3</v>
      </c>
      <c r="R28" s="541">
        <f>'[3]Mechanical data, limits'!R28</f>
        <v>0.01</v>
      </c>
      <c r="S28" s="541">
        <f>'[3]Mechanical data, limits'!S28</f>
        <v>0.01</v>
      </c>
      <c r="T28" s="541">
        <f>'[3]Mechanical data, limits'!T28</f>
        <v>0.01</v>
      </c>
      <c r="U28" s="535">
        <f>'[3]Mechanical data, limits'!U28</f>
        <v>1.2E-2</v>
      </c>
      <c r="V28" s="535">
        <f>'[3]Mechanical data, limits'!V28</f>
        <v>1.2E-2</v>
      </c>
      <c r="W28" s="535">
        <f>'[3]Mechanical data, limits'!W28</f>
        <v>1.2E-2</v>
      </c>
      <c r="X28" s="536">
        <f>'[3]Mechanical data, limits'!X28</f>
        <v>1.4E-2</v>
      </c>
      <c r="Y28" s="530">
        <f>'[3]Mechanical data, limits'!Y28</f>
        <v>0</v>
      </c>
    </row>
    <row r="29" spans="1:25">
      <c r="A29" s="530">
        <f>'[3]Mechanical data, limits'!A29</f>
        <v>0</v>
      </c>
      <c r="B29" s="533">
        <f>'[3]Mechanical data, limits'!B29</f>
        <v>2.5010000000000012</v>
      </c>
      <c r="C29" s="530">
        <f>'[3]Mechanical data, limits'!C29</f>
        <v>0</v>
      </c>
      <c r="D29" s="533">
        <f>'[3]Mechanical data, limits'!D29</f>
        <v>8.0000000000000002E-3</v>
      </c>
      <c r="E29" s="533">
        <f>'[3]Mechanical data, limits'!E29</f>
        <v>2.5000000000000001E-2</v>
      </c>
      <c r="F29" s="533">
        <f>'[3]Mechanical data, limits'!F29</f>
        <v>0.04</v>
      </c>
      <c r="G29" s="533">
        <f>'[3]Mechanical data, limits'!G29</f>
        <v>1.6E-2</v>
      </c>
      <c r="H29" s="533">
        <f>'[3]Mechanical data, limits'!H29</f>
        <v>0.02</v>
      </c>
      <c r="I29" s="534">
        <f>'[3]Mechanical data, limits'!I29</f>
        <v>0.5009130985225223</v>
      </c>
      <c r="J29" s="530" t="str">
        <f>'[3]Mechanical data, limits'!J29</f>
        <v>m</v>
      </c>
      <c r="K29" s="530">
        <f>'[3]Mechanical data, limits'!K29</f>
        <v>0</v>
      </c>
      <c r="L29" s="539">
        <f>'[3]Mechanical data, limits'!L29</f>
        <v>7.0000000000000001E-3</v>
      </c>
      <c r="M29" s="539">
        <f>'[3]Mechanical data, limits'!M29</f>
        <v>7.0000000000000001E-3</v>
      </c>
      <c r="N29" s="539">
        <f>'[3]Mechanical data, limits'!N29</f>
        <v>7.0000000000000001E-3</v>
      </c>
      <c r="O29" s="540">
        <f>'[3]Mechanical data, limits'!O29</f>
        <v>8.0000000000000002E-3</v>
      </c>
      <c r="P29" s="540">
        <f>'[3]Mechanical data, limits'!P29</f>
        <v>8.0000000000000002E-3</v>
      </c>
      <c r="Q29" s="540">
        <f>'[3]Mechanical data, limits'!Q29</f>
        <v>8.0000000000000002E-3</v>
      </c>
      <c r="R29" s="541">
        <f>'[3]Mechanical data, limits'!R29</f>
        <v>0.01</v>
      </c>
      <c r="S29" s="541">
        <f>'[3]Mechanical data, limits'!S29</f>
        <v>0.01</v>
      </c>
      <c r="T29" s="541">
        <f>'[3]Mechanical data, limits'!T29</f>
        <v>0.01</v>
      </c>
      <c r="U29" s="535">
        <f>'[3]Mechanical data, limits'!U29</f>
        <v>1.2E-2</v>
      </c>
      <c r="V29" s="535">
        <f>'[3]Mechanical data, limits'!V29</f>
        <v>1.2E-2</v>
      </c>
      <c r="W29" s="535">
        <f>'[3]Mechanical data, limits'!W29</f>
        <v>1.2E-2</v>
      </c>
      <c r="X29" s="536">
        <f>'[3]Mechanical data, limits'!X29</f>
        <v>1.4E-2</v>
      </c>
      <c r="Y29" s="530">
        <f>'[3]Mechanical data, limits'!Y29</f>
        <v>0</v>
      </c>
    </row>
    <row r="30" spans="1:25">
      <c r="A30" s="530">
        <f>'[3]Mechanical data, limits'!A30</f>
        <v>0</v>
      </c>
      <c r="B30" s="533">
        <f>'[3]Mechanical data, limits'!B30</f>
        <v>2.6010000000000013</v>
      </c>
      <c r="C30" s="530">
        <f>'[3]Mechanical data, limits'!C30</f>
        <v>0</v>
      </c>
      <c r="D30" s="533">
        <f>'[3]Mechanical data, limits'!D30</f>
        <v>8.0000000000000002E-3</v>
      </c>
      <c r="E30" s="533">
        <f>'[3]Mechanical data, limits'!E30</f>
        <v>2.5000000000000001E-2</v>
      </c>
      <c r="F30" s="533">
        <f>'[3]Mechanical data, limits'!F30</f>
        <v>0.04</v>
      </c>
      <c r="G30" s="533">
        <f>'[3]Mechanical data, limits'!G30</f>
        <v>1.6E-2</v>
      </c>
      <c r="H30" s="533">
        <f>'[3]Mechanical data, limits'!H30</f>
        <v>0.02</v>
      </c>
      <c r="I30" s="534">
        <f>'[3]Mechanical data, limits'!I30</f>
        <v>0.5009130985225223</v>
      </c>
      <c r="J30" s="530" t="str">
        <f>'[3]Mechanical data, limits'!J30</f>
        <v>m</v>
      </c>
      <c r="K30" s="530">
        <f>'[3]Mechanical data, limits'!K30</f>
        <v>0</v>
      </c>
      <c r="L30" s="539">
        <f>'[3]Mechanical data, limits'!L30</f>
        <v>7.0000000000000001E-3</v>
      </c>
      <c r="M30" s="539">
        <f>'[3]Mechanical data, limits'!M30</f>
        <v>7.0000000000000001E-3</v>
      </c>
      <c r="N30" s="540">
        <f>'[3]Mechanical data, limits'!N30</f>
        <v>8.0000000000000002E-3</v>
      </c>
      <c r="O30" s="540">
        <f>'[3]Mechanical data, limits'!O30</f>
        <v>8.0000000000000002E-3</v>
      </c>
      <c r="P30" s="540">
        <f>'[3]Mechanical data, limits'!P30</f>
        <v>8.0000000000000002E-3</v>
      </c>
      <c r="Q30" s="541">
        <f>'[3]Mechanical data, limits'!Q30</f>
        <v>0.01</v>
      </c>
      <c r="R30" s="541">
        <f>'[3]Mechanical data, limits'!R30</f>
        <v>0.01</v>
      </c>
      <c r="S30" s="541">
        <f>'[3]Mechanical data, limits'!S30</f>
        <v>0.01</v>
      </c>
      <c r="T30" s="535">
        <f>'[3]Mechanical data, limits'!T30</f>
        <v>1.2E-2</v>
      </c>
      <c r="U30" s="535">
        <f>'[3]Mechanical data, limits'!U30</f>
        <v>1.2E-2</v>
      </c>
      <c r="V30" s="535">
        <f>'[3]Mechanical data, limits'!V30</f>
        <v>1.2E-2</v>
      </c>
      <c r="W30" s="536">
        <f>'[3]Mechanical data, limits'!W30</f>
        <v>1.4E-2</v>
      </c>
      <c r="X30" s="536">
        <f>'[3]Mechanical data, limits'!X30</f>
        <v>1.4E-2</v>
      </c>
      <c r="Y30" s="530">
        <f>'[3]Mechanical data, limits'!Y30</f>
        <v>0</v>
      </c>
    </row>
    <row r="31" spans="1:25">
      <c r="A31" s="530">
        <f>'[3]Mechanical data, limits'!A31</f>
        <v>0</v>
      </c>
      <c r="B31" s="533">
        <f>'[3]Mechanical data, limits'!B31</f>
        <v>2.7010000000000014</v>
      </c>
      <c r="C31" s="530">
        <f>'[3]Mechanical data, limits'!C31</f>
        <v>0</v>
      </c>
      <c r="D31" s="533">
        <f>'[3]Mechanical data, limits'!D31</f>
        <v>8.0000000000000002E-3</v>
      </c>
      <c r="E31" s="533">
        <f>'[3]Mechanical data, limits'!E31</f>
        <v>2.5000000000000001E-2</v>
      </c>
      <c r="F31" s="533">
        <f>'[3]Mechanical data, limits'!F31</f>
        <v>0.04</v>
      </c>
      <c r="G31" s="533">
        <f>'[3]Mechanical data, limits'!G31</f>
        <v>1.6E-2</v>
      </c>
      <c r="H31" s="533">
        <f>'[3]Mechanical data, limits'!H31</f>
        <v>0.02</v>
      </c>
      <c r="I31" s="534">
        <f>'[3]Mechanical data, limits'!I31</f>
        <v>0.5009130985225223</v>
      </c>
      <c r="J31" s="530" t="str">
        <f>'[3]Mechanical data, limits'!J31</f>
        <v>m</v>
      </c>
      <c r="K31" s="530">
        <f>'[3]Mechanical data, limits'!K31</f>
        <v>0</v>
      </c>
      <c r="L31" s="539">
        <f>'[3]Mechanical data, limits'!L31</f>
        <v>7.0000000000000001E-3</v>
      </c>
      <c r="M31" s="539">
        <f>'[3]Mechanical data, limits'!M31</f>
        <v>7.0000000000000001E-3</v>
      </c>
      <c r="N31" s="540">
        <f>'[3]Mechanical data, limits'!N31</f>
        <v>8.0000000000000002E-3</v>
      </c>
      <c r="O31" s="540">
        <f>'[3]Mechanical data, limits'!O31</f>
        <v>8.0000000000000002E-3</v>
      </c>
      <c r="P31" s="540">
        <f>'[3]Mechanical data, limits'!P31</f>
        <v>8.0000000000000002E-3</v>
      </c>
      <c r="Q31" s="541">
        <f>'[3]Mechanical data, limits'!Q31</f>
        <v>0.01</v>
      </c>
      <c r="R31" s="541">
        <f>'[3]Mechanical data, limits'!R31</f>
        <v>0.01</v>
      </c>
      <c r="S31" s="541">
        <f>'[3]Mechanical data, limits'!S31</f>
        <v>0.01</v>
      </c>
      <c r="T31" s="535">
        <f>'[3]Mechanical data, limits'!T31</f>
        <v>1.2E-2</v>
      </c>
      <c r="U31" s="535">
        <f>'[3]Mechanical data, limits'!U31</f>
        <v>1.2E-2</v>
      </c>
      <c r="V31" s="535">
        <f>'[3]Mechanical data, limits'!V31</f>
        <v>1.2E-2</v>
      </c>
      <c r="W31" s="536">
        <f>'[3]Mechanical data, limits'!W31</f>
        <v>1.4E-2</v>
      </c>
      <c r="X31" s="536">
        <f>'[3]Mechanical data, limits'!X31</f>
        <v>1.4E-2</v>
      </c>
      <c r="Y31" s="530">
        <f>'[3]Mechanical data, limits'!Y31</f>
        <v>0</v>
      </c>
    </row>
    <row r="32" spans="1:25">
      <c r="A32" s="530">
        <f>'[3]Mechanical data, limits'!A32</f>
        <v>0</v>
      </c>
      <c r="B32" s="533">
        <f>'[3]Mechanical data, limits'!B32</f>
        <v>2.8010000000000015</v>
      </c>
      <c r="C32" s="530">
        <f>'[3]Mechanical data, limits'!C32</f>
        <v>0</v>
      </c>
      <c r="D32" s="533">
        <f>'[3]Mechanical data, limits'!D32</f>
        <v>8.0000000000000002E-3</v>
      </c>
      <c r="E32" s="533">
        <f>'[3]Mechanical data, limits'!E32</f>
        <v>2.5000000000000001E-2</v>
      </c>
      <c r="F32" s="533">
        <f>'[3]Mechanical data, limits'!F32</f>
        <v>0.04</v>
      </c>
      <c r="G32" s="533">
        <f>'[3]Mechanical data, limits'!G32</f>
        <v>1.6E-2</v>
      </c>
      <c r="H32" s="533">
        <f>'[3]Mechanical data, limits'!H32</f>
        <v>0.02</v>
      </c>
      <c r="I32" s="534">
        <f>'[3]Mechanical data, limits'!I32</f>
        <v>0.5009130985225223</v>
      </c>
      <c r="J32" s="530" t="str">
        <f>'[3]Mechanical data, limits'!J32</f>
        <v>m</v>
      </c>
      <c r="K32" s="530">
        <f>'[3]Mechanical data, limits'!K32</f>
        <v>0</v>
      </c>
      <c r="L32" s="539">
        <f>'[3]Mechanical data, limits'!L32</f>
        <v>7.0000000000000001E-3</v>
      </c>
      <c r="M32" s="540">
        <f>'[3]Mechanical data, limits'!M32</f>
        <v>8.0000000000000002E-3</v>
      </c>
      <c r="N32" s="540">
        <f>'[3]Mechanical data, limits'!N32</f>
        <v>8.0000000000000002E-3</v>
      </c>
      <c r="O32" s="540">
        <f>'[3]Mechanical data, limits'!O32</f>
        <v>8.0000000000000002E-3</v>
      </c>
      <c r="P32" s="541">
        <f>'[3]Mechanical data, limits'!P32</f>
        <v>0.01</v>
      </c>
      <c r="Q32" s="541">
        <f>'[3]Mechanical data, limits'!Q32</f>
        <v>0.01</v>
      </c>
      <c r="R32" s="541">
        <f>'[3]Mechanical data, limits'!R32</f>
        <v>0.01</v>
      </c>
      <c r="S32" s="535">
        <f>'[3]Mechanical data, limits'!S32</f>
        <v>1.2E-2</v>
      </c>
      <c r="T32" s="535">
        <f>'[3]Mechanical data, limits'!T32</f>
        <v>1.2E-2</v>
      </c>
      <c r="U32" s="535">
        <f>'[3]Mechanical data, limits'!U32</f>
        <v>1.2E-2</v>
      </c>
      <c r="V32" s="536">
        <f>'[3]Mechanical data, limits'!V32</f>
        <v>1.4E-2</v>
      </c>
      <c r="W32" s="536">
        <f>'[3]Mechanical data, limits'!W32</f>
        <v>1.4E-2</v>
      </c>
      <c r="X32" s="536">
        <f>'[3]Mechanical data, limits'!X32</f>
        <v>1.4E-2</v>
      </c>
      <c r="Y32" s="530">
        <f>'[3]Mechanical data, limits'!Y32</f>
        <v>0</v>
      </c>
    </row>
    <row r="33" spans="1:25">
      <c r="A33" s="530">
        <f>'[3]Mechanical data, limits'!A33</f>
        <v>0</v>
      </c>
      <c r="B33" s="533">
        <f>'[3]Mechanical data, limits'!B33</f>
        <v>2.9010000000000016</v>
      </c>
      <c r="C33" s="530">
        <f>'[3]Mechanical data, limits'!C33</f>
        <v>0</v>
      </c>
      <c r="D33" s="533">
        <f>'[3]Mechanical data, limits'!D33</f>
        <v>8.0000000000000002E-3</v>
      </c>
      <c r="E33" s="533">
        <f>'[3]Mechanical data, limits'!E33</f>
        <v>2.5000000000000001E-2</v>
      </c>
      <c r="F33" s="533">
        <f>'[3]Mechanical data, limits'!F33</f>
        <v>0.04</v>
      </c>
      <c r="G33" s="533">
        <f>'[3]Mechanical data, limits'!G33</f>
        <v>1.6E-2</v>
      </c>
      <c r="H33" s="533">
        <f>'[3]Mechanical data, limits'!H33</f>
        <v>0.02</v>
      </c>
      <c r="I33" s="534">
        <f>'[3]Mechanical data, limits'!I33</f>
        <v>0.5009130985225223</v>
      </c>
      <c r="J33" s="530" t="str">
        <f>'[3]Mechanical data, limits'!J33</f>
        <v>m</v>
      </c>
      <c r="K33" s="530">
        <f>'[3]Mechanical data, limits'!K33</f>
        <v>0</v>
      </c>
      <c r="L33" s="540">
        <f>'[3]Mechanical data, limits'!L33</f>
        <v>8.0000000000000002E-3</v>
      </c>
      <c r="M33" s="540">
        <f>'[3]Mechanical data, limits'!M33</f>
        <v>8.0000000000000002E-3</v>
      </c>
      <c r="N33" s="540">
        <f>'[3]Mechanical data, limits'!N33</f>
        <v>8.0000000000000002E-3</v>
      </c>
      <c r="O33" s="540">
        <f>'[3]Mechanical data, limits'!O33</f>
        <v>8.0000000000000002E-3</v>
      </c>
      <c r="P33" s="541">
        <f>'[3]Mechanical data, limits'!P33</f>
        <v>0.01</v>
      </c>
      <c r="Q33" s="541">
        <f>'[3]Mechanical data, limits'!Q33</f>
        <v>0.01</v>
      </c>
      <c r="R33" s="541">
        <f>'[3]Mechanical data, limits'!R33</f>
        <v>0.01</v>
      </c>
      <c r="S33" s="535">
        <f>'[3]Mechanical data, limits'!S33</f>
        <v>1.2E-2</v>
      </c>
      <c r="T33" s="535">
        <f>'[3]Mechanical data, limits'!T33</f>
        <v>1.2E-2</v>
      </c>
      <c r="U33" s="535">
        <f>'[3]Mechanical data, limits'!U33</f>
        <v>1.2E-2</v>
      </c>
      <c r="V33" s="536">
        <f>'[3]Mechanical data, limits'!V33</f>
        <v>1.4E-2</v>
      </c>
      <c r="W33" s="536">
        <f>'[3]Mechanical data, limits'!W33</f>
        <v>1.4E-2</v>
      </c>
      <c r="X33" s="536">
        <f>'[3]Mechanical data, limits'!X33</f>
        <v>1.4E-2</v>
      </c>
      <c r="Y33" s="530">
        <f>'[3]Mechanical data, limits'!Y33</f>
        <v>0</v>
      </c>
    </row>
    <row r="34" spans="1:25">
      <c r="A34" s="530">
        <f>'[3]Mechanical data, limits'!A34</f>
        <v>0</v>
      </c>
      <c r="B34" s="530">
        <f>'[3]Mechanical data, limits'!B34</f>
        <v>0</v>
      </c>
      <c r="C34" s="530">
        <f>'[3]Mechanical data, limits'!C34</f>
        <v>0</v>
      </c>
      <c r="D34" s="530">
        <f>'[3]Mechanical data, limits'!D34</f>
        <v>0</v>
      </c>
      <c r="E34" s="530">
        <f>'[3]Mechanical data, limits'!E34</f>
        <v>0</v>
      </c>
      <c r="F34" s="530">
        <f>'[3]Mechanical data, limits'!F34</f>
        <v>0</v>
      </c>
      <c r="G34" s="530">
        <f>'[3]Mechanical data, limits'!G34</f>
        <v>0</v>
      </c>
      <c r="H34" s="530">
        <f>'[3]Mechanical data, limits'!H34</f>
        <v>0</v>
      </c>
      <c r="I34" s="530">
        <f>'[3]Mechanical data, limits'!I34</f>
        <v>0</v>
      </c>
      <c r="J34" s="530">
        <f>'[3]Mechanical data, limits'!J34</f>
        <v>0</v>
      </c>
      <c r="K34" s="530">
        <f>'[3]Mechanical data, limits'!K34</f>
        <v>0</v>
      </c>
      <c r="L34" s="530">
        <f>'[3]Mechanical data, limits'!L34</f>
        <v>0</v>
      </c>
      <c r="M34" s="530">
        <f>'[3]Mechanical data, limits'!M34</f>
        <v>0</v>
      </c>
      <c r="N34" s="530">
        <f>'[3]Mechanical data, limits'!N34</f>
        <v>0</v>
      </c>
      <c r="O34" s="530">
        <f>'[3]Mechanical data, limits'!O34</f>
        <v>0</v>
      </c>
      <c r="P34" s="530">
        <f>'[3]Mechanical data, limits'!P34</f>
        <v>0</v>
      </c>
      <c r="Q34" s="530">
        <f>'[3]Mechanical data, limits'!Q34</f>
        <v>0</v>
      </c>
      <c r="R34" s="530">
        <f>'[3]Mechanical data, limits'!R34</f>
        <v>0</v>
      </c>
      <c r="S34" s="530">
        <f>'[3]Mechanical data, limits'!S34</f>
        <v>0</v>
      </c>
      <c r="T34" s="530">
        <f>'[3]Mechanical data, limits'!T34</f>
        <v>0</v>
      </c>
      <c r="U34" s="530">
        <f>'[3]Mechanical data, limits'!U34</f>
        <v>0</v>
      </c>
      <c r="V34" s="530">
        <f>'[3]Mechanical data, limits'!V34</f>
        <v>0</v>
      </c>
      <c r="W34" s="530">
        <f>'[3]Mechanical data, limits'!W34</f>
        <v>0</v>
      </c>
      <c r="X34" s="530">
        <f>'[3]Mechanical data, limits'!X34</f>
        <v>0</v>
      </c>
      <c r="Y34" s="530">
        <f>'[3]Mechanical data, limits'!Y34</f>
        <v>0</v>
      </c>
    </row>
    <row r="35" spans="1:25">
      <c r="A35" s="530">
        <f>'[3]Mechanical data, limits'!A35</f>
        <v>0</v>
      </c>
      <c r="B35" s="530">
        <f>'[3]Mechanical data, limits'!B35</f>
        <v>0</v>
      </c>
      <c r="C35" s="530">
        <f>'[3]Mechanical data, limits'!C35</f>
        <v>0</v>
      </c>
      <c r="D35" s="530">
        <f>'[3]Mechanical data, limits'!D35</f>
        <v>0</v>
      </c>
      <c r="E35" s="530">
        <f>'[3]Mechanical data, limits'!E35</f>
        <v>0</v>
      </c>
      <c r="F35" s="530">
        <f>'[3]Mechanical data, limits'!F35</f>
        <v>0</v>
      </c>
      <c r="G35" s="530">
        <f>'[3]Mechanical data, limits'!G35</f>
        <v>0</v>
      </c>
      <c r="H35" s="530">
        <f>'[3]Mechanical data, limits'!H35</f>
        <v>0</v>
      </c>
      <c r="I35" s="530">
        <f>'[3]Mechanical data, limits'!I35</f>
        <v>0</v>
      </c>
      <c r="J35" s="530">
        <f>'[3]Mechanical data, limits'!J35</f>
        <v>0</v>
      </c>
      <c r="K35" s="530">
        <f>'[3]Mechanical data, limits'!K35</f>
        <v>0</v>
      </c>
      <c r="L35" s="530">
        <f>'[3]Mechanical data, limits'!L35</f>
        <v>0</v>
      </c>
      <c r="M35" s="530">
        <f>'[3]Mechanical data, limits'!M35</f>
        <v>0</v>
      </c>
      <c r="N35" s="530">
        <f>'[3]Mechanical data, limits'!N35</f>
        <v>0</v>
      </c>
      <c r="O35" s="530">
        <f>'[3]Mechanical data, limits'!O35</f>
        <v>0</v>
      </c>
      <c r="P35" s="530">
        <f>'[3]Mechanical data, limits'!P35</f>
        <v>0</v>
      </c>
      <c r="Q35" s="530">
        <f>'[3]Mechanical data, limits'!Q35</f>
        <v>0</v>
      </c>
      <c r="R35" s="530">
        <f>'[3]Mechanical data, limits'!R35</f>
        <v>0</v>
      </c>
      <c r="S35" s="530">
        <f>'[3]Mechanical data, limits'!S35</f>
        <v>0</v>
      </c>
      <c r="T35" s="530">
        <f>'[3]Mechanical data, limits'!T35</f>
        <v>0</v>
      </c>
      <c r="U35" s="530">
        <f>'[3]Mechanical data, limits'!U35</f>
        <v>0</v>
      </c>
      <c r="V35" s="530">
        <f>'[3]Mechanical data, limits'!V35</f>
        <v>0</v>
      </c>
      <c r="W35" s="530">
        <f>'[3]Mechanical data, limits'!W35</f>
        <v>0</v>
      </c>
      <c r="X35" s="530">
        <f>'[3]Mechanical data, limits'!X35</f>
        <v>0</v>
      </c>
      <c r="Y35" s="530">
        <f>'[3]Mechanical data, limits'!Y35</f>
        <v>0</v>
      </c>
    </row>
    <row r="36" spans="1:25">
      <c r="A36" s="530">
        <f>'[3]Mechanical data, limits'!A36</f>
        <v>0</v>
      </c>
      <c r="B36" s="530">
        <f>'[3]Mechanical data, limits'!B36</f>
        <v>0</v>
      </c>
      <c r="C36" s="530">
        <f>'[3]Mechanical data, limits'!C36</f>
        <v>0</v>
      </c>
      <c r="D36" s="530">
        <f>'[3]Mechanical data, limits'!D36</f>
        <v>0</v>
      </c>
      <c r="E36" s="530">
        <f>'[3]Mechanical data, limits'!E36</f>
        <v>0</v>
      </c>
      <c r="F36" s="530">
        <f>'[3]Mechanical data, limits'!F36</f>
        <v>0</v>
      </c>
      <c r="G36" s="530">
        <f>'[3]Mechanical data, limits'!G36</f>
        <v>0</v>
      </c>
      <c r="H36" s="530">
        <f>'[3]Mechanical data, limits'!H36</f>
        <v>0</v>
      </c>
      <c r="I36" s="530">
        <f>'[3]Mechanical data, limits'!I36</f>
        <v>0</v>
      </c>
      <c r="J36" s="530">
        <f>'[3]Mechanical data, limits'!J36</f>
        <v>0</v>
      </c>
      <c r="K36" s="530">
        <f>'[3]Mechanical data, limits'!K36</f>
        <v>0</v>
      </c>
      <c r="L36" s="530">
        <f>'[3]Mechanical data, limits'!L36</f>
        <v>0</v>
      </c>
      <c r="M36" s="530">
        <f>'[3]Mechanical data, limits'!M36</f>
        <v>0</v>
      </c>
      <c r="N36" s="530">
        <f>'[3]Mechanical data, limits'!N36</f>
        <v>0</v>
      </c>
      <c r="O36" s="530">
        <f>'[3]Mechanical data, limits'!O36</f>
        <v>0</v>
      </c>
      <c r="P36" s="530">
        <f>'[3]Mechanical data, limits'!P36</f>
        <v>0</v>
      </c>
      <c r="Q36" s="530">
        <f>'[3]Mechanical data, limits'!Q36</f>
        <v>0</v>
      </c>
      <c r="R36" s="530">
        <f>'[3]Mechanical data, limits'!R36</f>
        <v>0</v>
      </c>
      <c r="S36" s="530">
        <f>'[3]Mechanical data, limits'!S36</f>
        <v>0</v>
      </c>
      <c r="T36" s="530">
        <f>'[3]Mechanical data, limits'!T36</f>
        <v>0</v>
      </c>
      <c r="U36" s="530">
        <f>'[3]Mechanical data, limits'!U36</f>
        <v>0</v>
      </c>
      <c r="V36" s="530">
        <f>'[3]Mechanical data, limits'!V36</f>
        <v>0</v>
      </c>
      <c r="W36" s="530">
        <f>'[3]Mechanical data, limits'!W36</f>
        <v>0</v>
      </c>
      <c r="X36" s="530">
        <f>'[3]Mechanical data, limits'!X36</f>
        <v>0</v>
      </c>
      <c r="Y36" s="530">
        <f>'[3]Mechanical data, limits'!Y36</f>
        <v>0</v>
      </c>
    </row>
    <row r="37" spans="1:25">
      <c r="A37" s="530">
        <f>'[3]Mechanical data, limits'!A37</f>
        <v>0</v>
      </c>
      <c r="B37" s="530">
        <f>'[3]Mechanical data, limits'!B37</f>
        <v>0</v>
      </c>
      <c r="C37" s="530">
        <f>'[3]Mechanical data, limits'!C37</f>
        <v>0</v>
      </c>
      <c r="D37" s="530">
        <f>'[3]Mechanical data, limits'!D37</f>
        <v>0</v>
      </c>
      <c r="E37" s="530">
        <f>'[3]Mechanical data, limits'!E37</f>
        <v>0</v>
      </c>
      <c r="F37" s="530">
        <f>'[3]Mechanical data, limits'!F37</f>
        <v>0</v>
      </c>
      <c r="G37" s="530">
        <f>'[3]Mechanical data, limits'!G37</f>
        <v>0</v>
      </c>
      <c r="H37" s="530">
        <f>'[3]Mechanical data, limits'!H37</f>
        <v>0</v>
      </c>
      <c r="I37" s="530">
        <f>'[3]Mechanical data, limits'!I37</f>
        <v>0</v>
      </c>
      <c r="J37" s="530">
        <f>'[3]Mechanical data, limits'!J37</f>
        <v>0</v>
      </c>
      <c r="K37" s="530">
        <f>'[3]Mechanical data, limits'!K37</f>
        <v>0</v>
      </c>
      <c r="L37" s="530">
        <f>'[3]Mechanical data, limits'!L37</f>
        <v>0</v>
      </c>
      <c r="M37" s="530">
        <f>'[3]Mechanical data, limits'!M37</f>
        <v>0</v>
      </c>
      <c r="N37" s="530">
        <f>'[3]Mechanical data, limits'!N37</f>
        <v>0</v>
      </c>
      <c r="O37" s="530">
        <f>'[3]Mechanical data, limits'!O37</f>
        <v>0</v>
      </c>
      <c r="P37" s="530">
        <f>'[3]Mechanical data, limits'!P37</f>
        <v>0</v>
      </c>
      <c r="Q37" s="530">
        <f>'[3]Mechanical data, limits'!Q37</f>
        <v>0</v>
      </c>
      <c r="R37" s="530">
        <f>'[3]Mechanical data, limits'!R37</f>
        <v>0</v>
      </c>
      <c r="S37" s="530">
        <f>'[3]Mechanical data, limits'!S37</f>
        <v>0</v>
      </c>
      <c r="T37" s="530">
        <f>'[3]Mechanical data, limits'!T37</f>
        <v>0</v>
      </c>
      <c r="U37" s="530">
        <f>'[3]Mechanical data, limits'!U37</f>
        <v>0</v>
      </c>
      <c r="V37" s="530">
        <f>'[3]Mechanical data, limits'!V37</f>
        <v>0</v>
      </c>
      <c r="W37" s="530">
        <f>'[3]Mechanical data, limits'!W37</f>
        <v>0</v>
      </c>
      <c r="X37" s="530">
        <f>'[3]Mechanical data, limits'!X37</f>
        <v>0</v>
      </c>
      <c r="Y37" s="530">
        <f>'[3]Mechanical data, limits'!Y37</f>
        <v>0</v>
      </c>
    </row>
    <row r="38" spans="1:25" ht="14.25" thickBot="1">
      <c r="A38" s="530">
        <f>'[3]Mechanical data, limits'!A38</f>
        <v>0</v>
      </c>
      <c r="B38" s="530">
        <f>'[3]Mechanical data, limits'!B38</f>
        <v>0</v>
      </c>
      <c r="C38" s="530">
        <f>'[3]Mechanical data, limits'!C38</f>
        <v>0</v>
      </c>
      <c r="D38" s="530">
        <f>'[3]Mechanical data, limits'!D38</f>
        <v>0</v>
      </c>
      <c r="E38" s="530">
        <f>'[3]Mechanical data, limits'!E38</f>
        <v>0</v>
      </c>
      <c r="F38" s="530">
        <f>'[3]Mechanical data, limits'!F38</f>
        <v>0</v>
      </c>
      <c r="G38" s="530">
        <f>'[3]Mechanical data, limits'!G38</f>
        <v>0</v>
      </c>
      <c r="H38" s="530">
        <f>'[3]Mechanical data, limits'!H38</f>
        <v>0</v>
      </c>
      <c r="I38" s="530">
        <f>'[3]Mechanical data, limits'!I38</f>
        <v>0</v>
      </c>
      <c r="J38" s="530">
        <f>'[3]Mechanical data, limits'!J38</f>
        <v>0</v>
      </c>
      <c r="K38" s="530">
        <f>'[3]Mechanical data, limits'!K38</f>
        <v>0</v>
      </c>
      <c r="L38" s="530">
        <f>'[3]Mechanical data, limits'!L38</f>
        <v>0</v>
      </c>
      <c r="M38" s="530">
        <f>'[3]Mechanical data, limits'!M38</f>
        <v>0</v>
      </c>
      <c r="N38" s="530">
        <f>'[3]Mechanical data, limits'!N38</f>
        <v>0</v>
      </c>
      <c r="O38" s="530">
        <f>'[3]Mechanical data, limits'!O38</f>
        <v>0</v>
      </c>
      <c r="P38" s="530">
        <f>'[3]Mechanical data, limits'!P38</f>
        <v>0</v>
      </c>
      <c r="Q38" s="530">
        <f>'[3]Mechanical data, limits'!Q38</f>
        <v>0</v>
      </c>
      <c r="R38" s="530">
        <f>'[3]Mechanical data, limits'!R38</f>
        <v>0</v>
      </c>
      <c r="S38" s="530">
        <f>'[3]Mechanical data, limits'!S38</f>
        <v>0</v>
      </c>
      <c r="T38" s="530">
        <f>'[3]Mechanical data, limits'!T38</f>
        <v>0</v>
      </c>
      <c r="U38" s="530">
        <f>'[3]Mechanical data, limits'!U38</f>
        <v>0</v>
      </c>
      <c r="V38" s="530">
        <f>'[3]Mechanical data, limits'!V38</f>
        <v>0</v>
      </c>
      <c r="W38" s="530">
        <f>'[3]Mechanical data, limits'!W38</f>
        <v>0</v>
      </c>
      <c r="X38" s="530">
        <f>'[3]Mechanical data, limits'!X38</f>
        <v>0</v>
      </c>
      <c r="Y38" s="530">
        <f>'[3]Mechanical data, limits'!Y38</f>
        <v>0</v>
      </c>
    </row>
    <row r="39" spans="1:25" ht="14.25" thickBot="1">
      <c r="A39" s="915" t="str">
        <f>'[3]Mechanical data, limits'!A39</f>
        <v>Data Type</v>
      </c>
      <c r="B39" s="916" t="str">
        <f>'[3]Mechanical data, limits'!B39</f>
        <v>Density</v>
      </c>
      <c r="C39" s="1473" t="str">
        <f>'[3]Mechanical data, limits'!C39</f>
        <v>YS regr.</v>
      </c>
      <c r="D39" s="1474">
        <f>'[3]Mechanical data, limits'!D39</f>
        <v>0</v>
      </c>
      <c r="E39" s="1475">
        <f>'[3]Mechanical data, limits'!E39</f>
        <v>0</v>
      </c>
      <c r="F39" s="917" t="str">
        <f>'[3]Mechanical data, limits'!F39</f>
        <v>safety factor</v>
      </c>
      <c r="G39" s="918" t="str">
        <f>'[3]Mechanical data, limits'!G39</f>
        <v>minT</v>
      </c>
      <c r="H39" s="919" t="str">
        <f>'[3]Mechanical data, limits'!H39</f>
        <v>maxT</v>
      </c>
      <c r="I39" s="1470" t="str">
        <f>'[3]Mechanical data, limits'!I39</f>
        <v>Plate T, mm</v>
      </c>
      <c r="J39" s="1470">
        <f>'[3]Mechanical data, limits'!J39</f>
        <v>0</v>
      </c>
      <c r="K39" s="1470">
        <f>'[3]Mechanical data, limits'!K39</f>
        <v>0</v>
      </c>
      <c r="L39" s="1470">
        <f>'[3]Mechanical data, limits'!L39</f>
        <v>0</v>
      </c>
      <c r="M39" s="1470">
        <f>'[3]Mechanical data, limits'!M39</f>
        <v>0</v>
      </c>
      <c r="N39" s="1470">
        <f>'[3]Mechanical data, limits'!N39</f>
        <v>0</v>
      </c>
      <c r="O39" s="1470">
        <f>'[3]Mechanical data, limits'!O39</f>
        <v>0</v>
      </c>
      <c r="P39" s="1470">
        <f>'[3]Mechanical data, limits'!P39</f>
        <v>0</v>
      </c>
      <c r="Q39" s="1471">
        <f>'[3]Mechanical data, limits'!Q39</f>
        <v>0</v>
      </c>
      <c r="R39" s="920">
        <f>'[3]Mechanical data, limits'!R39</f>
        <v>0</v>
      </c>
      <c r="S39" s="921">
        <f>'[3]Mechanical data, limits'!S39</f>
        <v>0</v>
      </c>
      <c r="T39" s="530">
        <f>'[3]Mechanical data, limits'!T39</f>
        <v>0</v>
      </c>
      <c r="U39" s="530">
        <f>'[3]Mechanical data, limits'!U39</f>
        <v>0</v>
      </c>
      <c r="V39" s="542" t="str">
        <f>'[3]Mechanical data, limits'!V39</f>
        <v>TEMP Yield strength data, Mpa</v>
      </c>
      <c r="W39" s="543">
        <f>'[3]Mechanical data, limits'!W39</f>
        <v>0</v>
      </c>
      <c r="X39" s="543">
        <f>'[3]Mechanical data, limits'!X39</f>
        <v>0</v>
      </c>
      <c r="Y39" s="543">
        <f>'[3]Mechanical data, limits'!Y39</f>
        <v>0</v>
      </c>
    </row>
    <row r="40" spans="1:25" ht="14.25" thickBot="1">
      <c r="A40" s="922" t="str">
        <f>'[3]Mechanical data, limits'!A40</f>
        <v>Metal Type</v>
      </c>
      <c r="B40" s="918" t="str">
        <f>'[3]Mechanical data, limits'!B40</f>
        <v>kg/m3</v>
      </c>
      <c r="C40" s="923" t="str">
        <f>'[3]Mechanical data, limits'!C40</f>
        <v>a</v>
      </c>
      <c r="D40" s="923" t="str">
        <f>'[3]Mechanical data, limits'!D40</f>
        <v>b</v>
      </c>
      <c r="E40" s="923" t="str">
        <f>'[3]Mechanical data, limits'!E40</f>
        <v>YS20</v>
      </c>
      <c r="F40" s="924">
        <f>'[3]Mechanical data, limits'!F40</f>
        <v>0</v>
      </c>
      <c r="G40" s="925">
        <f>'[3]Mechanical data, limits'!G40</f>
        <v>0</v>
      </c>
      <c r="H40" s="923">
        <f>'[3]Mechanical data, limits'!H40</f>
        <v>0</v>
      </c>
      <c r="I40" s="926">
        <f>'[3]Mechanical data, limits'!I40</f>
        <v>0</v>
      </c>
      <c r="J40" s="920">
        <f>'[3]Mechanical data, limits'!J40</f>
        <v>1</v>
      </c>
      <c r="K40" s="920">
        <f>'[3]Mechanical data, limits'!K40</f>
        <v>2</v>
      </c>
      <c r="L40" s="927">
        <f>'[3]Mechanical data, limits'!L40</f>
        <v>3</v>
      </c>
      <c r="M40" s="927">
        <f>'[3]Mechanical data, limits'!M40</f>
        <v>4</v>
      </c>
      <c r="N40" s="927">
        <f>'[3]Mechanical data, limits'!N40</f>
        <v>5</v>
      </c>
      <c r="O40" s="927">
        <f>'[3]Mechanical data, limits'!O40</f>
        <v>6</v>
      </c>
      <c r="P40" s="927">
        <f>'[3]Mechanical data, limits'!P40</f>
        <v>7</v>
      </c>
      <c r="Q40" s="928">
        <f>'[3]Mechanical data, limits'!Q40</f>
        <v>8</v>
      </c>
      <c r="R40" s="920">
        <f>'[3]Mechanical data, limits'!R40</f>
        <v>8</v>
      </c>
      <c r="S40" s="929">
        <f>'[3]Mechanical data, limits'!S40</f>
        <v>8</v>
      </c>
      <c r="T40" s="530">
        <f>'[3]Mechanical data, limits'!T40</f>
        <v>0</v>
      </c>
      <c r="U40" s="530">
        <f>'[3]Mechanical data, limits'!U40</f>
        <v>0</v>
      </c>
      <c r="V40" s="544">
        <f>'[3]Mechanical data, limits'!V40</f>
        <v>0</v>
      </c>
      <c r="W40" s="543" t="str">
        <f>'[3]Mechanical data, limits'!W40</f>
        <v>Temp</v>
      </c>
      <c r="X40" s="545">
        <f>'[3]Mechanical data, limits'!X40</f>
        <v>20</v>
      </c>
      <c r="Y40" s="545">
        <f>'[3]Mechanical data, limits'!Y40</f>
        <v>100</v>
      </c>
    </row>
    <row r="41" spans="1:25">
      <c r="A41" s="930" t="str">
        <f>'[3]Mechanical data, limits'!A41</f>
        <v>Steel</v>
      </c>
      <c r="B41" s="931">
        <f>'[3]Mechanical data, limits'!B41</f>
        <v>7850</v>
      </c>
      <c r="C41" s="932">
        <f>'[3]Mechanical data, limits'!C41</f>
        <v>5.7490138375806119E-4</v>
      </c>
      <c r="D41" s="932">
        <f>'[3]Mechanical data, limits'!D41</f>
        <v>-0.48039999582576742</v>
      </c>
      <c r="E41" s="933">
        <f>'[3]Mechanical data, limits'!E41</f>
        <v>250</v>
      </c>
      <c r="F41" s="934">
        <f>'[3]Mechanical data, limits'!F41</f>
        <v>0.9</v>
      </c>
      <c r="G41" s="935">
        <f>'[3]Mechanical data, limits'!G41</f>
        <v>3</v>
      </c>
      <c r="H41" s="936">
        <f>'[3]Mechanical data, limits'!H41</f>
        <v>10</v>
      </c>
      <c r="I41" s="937">
        <f>'[3]Mechanical data, limits'!I41</f>
        <v>0</v>
      </c>
      <c r="J41" s="937">
        <f>'[3]Mechanical data, limits'!J41</f>
        <v>0</v>
      </c>
      <c r="K41" s="937">
        <f>'[3]Mechanical data, limits'!K41</f>
        <v>0</v>
      </c>
      <c r="L41" s="937">
        <f>'[3]Mechanical data, limits'!L41</f>
        <v>0</v>
      </c>
      <c r="M41" s="937">
        <f>'[3]Mechanical data, limits'!M41</f>
        <v>3</v>
      </c>
      <c r="N41" s="937">
        <f>'[3]Mechanical data, limits'!N41</f>
        <v>4</v>
      </c>
      <c r="O41" s="937">
        <f>'[3]Mechanical data, limits'!O41</f>
        <v>5</v>
      </c>
      <c r="P41" s="937">
        <f>'[3]Mechanical data, limits'!P41</f>
        <v>6</v>
      </c>
      <c r="Q41" s="935">
        <f>'[3]Mechanical data, limits'!Q41</f>
        <v>8</v>
      </c>
      <c r="R41" s="937">
        <f>'[3]Mechanical data, limits'!R41</f>
        <v>8</v>
      </c>
      <c r="S41" s="938">
        <f>'[3]Mechanical data, limits'!S41</f>
        <v>8</v>
      </c>
      <c r="T41" s="530">
        <f>'[3]Mechanical data, limits'!T41</f>
        <v>0</v>
      </c>
      <c r="U41" s="530">
        <f>'[3]Mechanical data, limits'!U41</f>
        <v>0</v>
      </c>
      <c r="V41" s="546" t="str">
        <f>'[3]Mechanical data, limits'!V41</f>
        <v>DOMEX</v>
      </c>
      <c r="W41" s="543" t="str">
        <f>'[3]Mechanical data, limits'!W41</f>
        <v>N/mm2</v>
      </c>
      <c r="X41" s="543">
        <f>'[3]Mechanical data, limits'!X41</f>
        <v>390</v>
      </c>
      <c r="Y41" s="543">
        <f>'[3]Mechanical data, limits'!Y41</f>
        <v>360</v>
      </c>
    </row>
    <row r="42" spans="1:25">
      <c r="A42" s="939" t="str">
        <f>'[3]Mechanical data, limits'!A42</f>
        <v>AISI304</v>
      </c>
      <c r="B42" s="940">
        <f>'[3]Mechanical data, limits'!B42</f>
        <v>7850</v>
      </c>
      <c r="C42" s="941">
        <f>'[3]Mechanical data, limits'!C42</f>
        <v>5.7490138375806119E-4</v>
      </c>
      <c r="D42" s="941">
        <f>'[3]Mechanical data, limits'!D42</f>
        <v>-0.48039999582576742</v>
      </c>
      <c r="E42" s="942">
        <f>'[3]Mechanical data, limits'!E42</f>
        <v>240</v>
      </c>
      <c r="F42" s="943">
        <f>'[3]Mechanical data, limits'!F42</f>
        <v>0.9</v>
      </c>
      <c r="G42" s="940">
        <f>'[3]Mechanical data, limits'!G42</f>
        <v>3</v>
      </c>
      <c r="H42" s="942">
        <f>'[3]Mechanical data, limits'!H42</f>
        <v>10</v>
      </c>
      <c r="I42" s="944">
        <f>'[3]Mechanical data, limits'!I42</f>
        <v>0</v>
      </c>
      <c r="J42" s="944">
        <f>'[3]Mechanical data, limits'!J42</f>
        <v>0</v>
      </c>
      <c r="K42" s="944">
        <f>'[3]Mechanical data, limits'!K42</f>
        <v>0</v>
      </c>
      <c r="L42" s="944">
        <f>'[3]Mechanical data, limits'!L42</f>
        <v>0</v>
      </c>
      <c r="M42" s="944">
        <f>'[3]Mechanical data, limits'!M42</f>
        <v>3</v>
      </c>
      <c r="N42" s="944">
        <f>'[3]Mechanical data, limits'!N42</f>
        <v>4</v>
      </c>
      <c r="O42" s="944">
        <f>'[3]Mechanical data, limits'!O42</f>
        <v>5</v>
      </c>
      <c r="P42" s="944">
        <f>'[3]Mechanical data, limits'!P42</f>
        <v>6</v>
      </c>
      <c r="Q42" s="945">
        <f>'[3]Mechanical data, limits'!Q42</f>
        <v>8</v>
      </c>
      <c r="R42" s="944">
        <f>'[3]Mechanical data, limits'!R42</f>
        <v>8</v>
      </c>
      <c r="S42" s="946">
        <f>'[3]Mechanical data, limits'!S42</f>
        <v>8</v>
      </c>
      <c r="T42" s="530">
        <f>'[3]Mechanical data, limits'!T42</f>
        <v>0</v>
      </c>
      <c r="U42" s="530">
        <f>'[3]Mechanical data, limits'!U42</f>
        <v>0</v>
      </c>
      <c r="V42" s="543">
        <f>'[3]Mechanical data, limits'!V42</f>
        <v>0</v>
      </c>
      <c r="W42" s="543">
        <f>'[3]Mechanical data, limits'!W42</f>
        <v>0</v>
      </c>
      <c r="X42" s="543">
        <f>'[3]Mechanical data, limits'!X42</f>
        <v>550</v>
      </c>
      <c r="Y42" s="543">
        <f>'[3]Mechanical data, limits'!Y42</f>
        <v>530</v>
      </c>
    </row>
    <row r="43" spans="1:25">
      <c r="A43" s="939" t="str">
        <f>'[3]Mechanical data, limits'!A43</f>
        <v>AISI304L</v>
      </c>
      <c r="B43" s="940">
        <f>'[3]Mechanical data, limits'!B43</f>
        <v>7850</v>
      </c>
      <c r="C43" s="941">
        <f>'[3]Mechanical data, limits'!C43</f>
        <v>5.7490138375806119E-4</v>
      </c>
      <c r="D43" s="941">
        <f>'[3]Mechanical data, limits'!D43</f>
        <v>-0.48039999582576742</v>
      </c>
      <c r="E43" s="942">
        <f>'[3]Mechanical data, limits'!E43</f>
        <v>260</v>
      </c>
      <c r="F43" s="943">
        <f>'[3]Mechanical data, limits'!F43</f>
        <v>0.9</v>
      </c>
      <c r="G43" s="940">
        <f>'[3]Mechanical data, limits'!G43</f>
        <v>2</v>
      </c>
      <c r="H43" s="942">
        <f>'[3]Mechanical data, limits'!H43</f>
        <v>10</v>
      </c>
      <c r="I43" s="944">
        <f>'[3]Mechanical data, limits'!I43</f>
        <v>0</v>
      </c>
      <c r="J43" s="944">
        <f>'[3]Mechanical data, limits'!J43</f>
        <v>0</v>
      </c>
      <c r="K43" s="944">
        <f>'[3]Mechanical data, limits'!K43</f>
        <v>0</v>
      </c>
      <c r="L43" s="944">
        <f>'[3]Mechanical data, limits'!L43</f>
        <v>2</v>
      </c>
      <c r="M43" s="944">
        <f>'[3]Mechanical data, limits'!M43</f>
        <v>3</v>
      </c>
      <c r="N43" s="944">
        <f>'[3]Mechanical data, limits'!N43</f>
        <v>4</v>
      </c>
      <c r="O43" s="944">
        <f>'[3]Mechanical data, limits'!O43</f>
        <v>5</v>
      </c>
      <c r="P43" s="944">
        <f>'[3]Mechanical data, limits'!P43</f>
        <v>6</v>
      </c>
      <c r="Q43" s="945">
        <f>'[3]Mechanical data, limits'!Q43</f>
        <v>8</v>
      </c>
      <c r="R43" s="944">
        <f>'[3]Mechanical data, limits'!R43</f>
        <v>8</v>
      </c>
      <c r="S43" s="946">
        <f>'[3]Mechanical data, limits'!S43</f>
        <v>8</v>
      </c>
      <c r="T43" s="530">
        <f>'[3]Mechanical data, limits'!T43</f>
        <v>0</v>
      </c>
      <c r="U43" s="530">
        <f>'[3]Mechanical data, limits'!U43</f>
        <v>0</v>
      </c>
      <c r="V43" s="543">
        <f>'[3]Mechanical data, limits'!V43</f>
        <v>0</v>
      </c>
      <c r="W43" s="543">
        <f>'[3]Mechanical data, limits'!W43</f>
        <v>0</v>
      </c>
      <c r="X43" s="543">
        <f>'[3]Mechanical data, limits'!X43</f>
        <v>680</v>
      </c>
      <c r="Y43" s="543">
        <f>'[3]Mechanical data, limits'!Y43</f>
        <v>630</v>
      </c>
    </row>
    <row r="44" spans="1:25">
      <c r="A44" s="939" t="str">
        <f>'[3]Mechanical data, limits'!A44</f>
        <v>AISI316L</v>
      </c>
      <c r="B44" s="940">
        <f>'[3]Mechanical data, limits'!B44</f>
        <v>7850</v>
      </c>
      <c r="C44" s="941">
        <f>'[3]Mechanical data, limits'!C44</f>
        <v>5.7490138375806119E-4</v>
      </c>
      <c r="D44" s="941">
        <f>'[3]Mechanical data, limits'!D44</f>
        <v>-0.48039999582576742</v>
      </c>
      <c r="E44" s="942">
        <f>'[3]Mechanical data, limits'!E44</f>
        <v>295</v>
      </c>
      <c r="F44" s="943">
        <f>'[3]Mechanical data, limits'!F44</f>
        <v>0.9</v>
      </c>
      <c r="G44" s="940">
        <f>'[3]Mechanical data, limits'!G44</f>
        <v>2</v>
      </c>
      <c r="H44" s="942">
        <f>'[3]Mechanical data, limits'!H44</f>
        <v>10</v>
      </c>
      <c r="I44" s="944">
        <f>'[3]Mechanical data, limits'!I44</f>
        <v>0</v>
      </c>
      <c r="J44" s="944">
        <f>'[3]Mechanical data, limits'!J44</f>
        <v>0</v>
      </c>
      <c r="K44" s="944">
        <f>'[3]Mechanical data, limits'!K44</f>
        <v>0</v>
      </c>
      <c r="L44" s="944">
        <f>'[3]Mechanical data, limits'!L44</f>
        <v>2</v>
      </c>
      <c r="M44" s="944">
        <f>'[3]Mechanical data, limits'!M44</f>
        <v>3</v>
      </c>
      <c r="N44" s="944">
        <f>'[3]Mechanical data, limits'!N44</f>
        <v>4</v>
      </c>
      <c r="O44" s="944">
        <f>'[3]Mechanical data, limits'!O44</f>
        <v>5</v>
      </c>
      <c r="P44" s="944">
        <f>'[3]Mechanical data, limits'!P44</f>
        <v>6</v>
      </c>
      <c r="Q44" s="945">
        <f>'[3]Mechanical data, limits'!Q44</f>
        <v>8</v>
      </c>
      <c r="R44" s="944">
        <f>'[3]Mechanical data, limits'!R44</f>
        <v>8</v>
      </c>
      <c r="S44" s="946">
        <f>'[3]Mechanical data, limits'!S44</f>
        <v>8</v>
      </c>
      <c r="T44" s="530">
        <f>'[3]Mechanical data, limits'!T44</f>
        <v>0</v>
      </c>
      <c r="U44" s="530">
        <f>'[3]Mechanical data, limits'!U44</f>
        <v>0</v>
      </c>
      <c r="V44" s="543">
        <f>'[3]Mechanical data, limits'!V44</f>
        <v>0</v>
      </c>
      <c r="W44" s="543">
        <f>'[3]Mechanical data, limits'!W44</f>
        <v>0</v>
      </c>
      <c r="X44" s="543">
        <f>'[3]Mechanical data, limits'!X44</f>
        <v>740</v>
      </c>
      <c r="Y44" s="543">
        <f>'[3]Mechanical data, limits'!Y44</f>
        <v>690</v>
      </c>
    </row>
    <row r="45" spans="1:25">
      <c r="A45" s="939" t="str">
        <f>'[3]Mechanical data, limits'!A45</f>
        <v>AISI2205</v>
      </c>
      <c r="B45" s="940">
        <f>'[3]Mechanical data, limits'!B45</f>
        <v>7850</v>
      </c>
      <c r="C45" s="941">
        <f>'[3]Mechanical data, limits'!C45</f>
        <v>5.7490138375806119E-4</v>
      </c>
      <c r="D45" s="941">
        <f>'[3]Mechanical data, limits'!D45</f>
        <v>-0.48039999582576742</v>
      </c>
      <c r="E45" s="942">
        <f>'[3]Mechanical data, limits'!E45</f>
        <v>450</v>
      </c>
      <c r="F45" s="943">
        <f>'[3]Mechanical data, limits'!F45</f>
        <v>0.9</v>
      </c>
      <c r="G45" s="940">
        <f>'[3]Mechanical data, limits'!G45</f>
        <v>2</v>
      </c>
      <c r="H45" s="942">
        <f>'[3]Mechanical data, limits'!H45</f>
        <v>10</v>
      </c>
      <c r="I45" s="944">
        <f>'[3]Mechanical data, limits'!I45</f>
        <v>0</v>
      </c>
      <c r="J45" s="944">
        <f>'[3]Mechanical data, limits'!J45</f>
        <v>0</v>
      </c>
      <c r="K45" s="944">
        <f>'[3]Mechanical data, limits'!K45</f>
        <v>0</v>
      </c>
      <c r="L45" s="944">
        <f>'[3]Mechanical data, limits'!L45</f>
        <v>2</v>
      </c>
      <c r="M45" s="944">
        <f>'[3]Mechanical data, limits'!M45</f>
        <v>3</v>
      </c>
      <c r="N45" s="944">
        <f>'[3]Mechanical data, limits'!N45</f>
        <v>4</v>
      </c>
      <c r="O45" s="944">
        <f>'[3]Mechanical data, limits'!O45</f>
        <v>5</v>
      </c>
      <c r="P45" s="944">
        <f>'[3]Mechanical data, limits'!P45</f>
        <v>6</v>
      </c>
      <c r="Q45" s="945">
        <f>'[3]Mechanical data, limits'!Q45</f>
        <v>8</v>
      </c>
      <c r="R45" s="944">
        <f>'[3]Mechanical data, limits'!R45</f>
        <v>8</v>
      </c>
      <c r="S45" s="946">
        <f>'[3]Mechanical data, limits'!S45</f>
        <v>8</v>
      </c>
      <c r="T45" s="530">
        <f>'[3]Mechanical data, limits'!T45</f>
        <v>0</v>
      </c>
      <c r="U45" s="530">
        <f>'[3]Mechanical data, limits'!U45</f>
        <v>0</v>
      </c>
      <c r="V45" s="543">
        <f>'[3]Mechanical data, limits'!V45</f>
        <v>0</v>
      </c>
      <c r="W45" s="543">
        <f>'[3]Mechanical data, limits'!W45</f>
        <v>0</v>
      </c>
      <c r="X45" s="543">
        <f>'[3]Mechanical data, limits'!X45</f>
        <v>590</v>
      </c>
      <c r="Y45" s="543">
        <f>'[3]Mechanical data, limits'!Y45</f>
        <v>552.5</v>
      </c>
    </row>
    <row r="46" spans="1:25">
      <c r="A46" s="939" t="str">
        <f>'[3]Mechanical data, limits'!A46</f>
        <v>CORTEN</v>
      </c>
      <c r="B46" s="940">
        <f>'[3]Mechanical data, limits'!B46</f>
        <v>7850</v>
      </c>
      <c r="C46" s="941">
        <f>'[3]Mechanical data, limits'!C46</f>
        <v>5.7490138375806119E-4</v>
      </c>
      <c r="D46" s="941">
        <f>'[3]Mechanical data, limits'!D46</f>
        <v>-0.48039999582576742</v>
      </c>
      <c r="E46" s="942">
        <f>'[3]Mechanical data, limits'!E46</f>
        <v>350</v>
      </c>
      <c r="F46" s="943">
        <f>'[3]Mechanical data, limits'!F46</f>
        <v>0.9</v>
      </c>
      <c r="G46" s="940">
        <f>'[3]Mechanical data, limits'!G46</f>
        <v>2</v>
      </c>
      <c r="H46" s="942">
        <f>'[3]Mechanical data, limits'!H46</f>
        <v>6</v>
      </c>
      <c r="I46" s="944">
        <f>'[3]Mechanical data, limits'!I46</f>
        <v>0</v>
      </c>
      <c r="J46" s="944">
        <f>'[3]Mechanical data, limits'!J46</f>
        <v>0</v>
      </c>
      <c r="K46" s="944">
        <f>'[3]Mechanical data, limits'!K46</f>
        <v>0</v>
      </c>
      <c r="L46" s="944">
        <f>'[3]Mechanical data, limits'!L46</f>
        <v>2</v>
      </c>
      <c r="M46" s="944">
        <f>'[3]Mechanical data, limits'!M46</f>
        <v>3</v>
      </c>
      <c r="N46" s="944">
        <f>'[3]Mechanical data, limits'!N46</f>
        <v>4</v>
      </c>
      <c r="O46" s="944">
        <f>'[3]Mechanical data, limits'!O46</f>
        <v>5</v>
      </c>
      <c r="P46" s="944">
        <f>'[3]Mechanical data, limits'!P46</f>
        <v>6</v>
      </c>
      <c r="Q46" s="945">
        <f>'[3]Mechanical data, limits'!Q46</f>
        <v>6</v>
      </c>
      <c r="R46" s="944">
        <f>'[3]Mechanical data, limits'!R46</f>
        <v>6</v>
      </c>
      <c r="S46" s="946">
        <f>'[3]Mechanical data, limits'!S46</f>
        <v>6</v>
      </c>
      <c r="T46" s="530">
        <f>'[3]Mechanical data, limits'!T46</f>
        <v>0</v>
      </c>
      <c r="U46" s="530">
        <f>'[3]Mechanical data, limits'!U46</f>
        <v>0</v>
      </c>
      <c r="V46" s="542">
        <f>'[3]Mechanical data, limits'!V46</f>
        <v>0</v>
      </c>
      <c r="W46" s="543">
        <f>'[3]Mechanical data, limits'!W46</f>
        <v>0</v>
      </c>
      <c r="X46" s="543">
        <f>'[3]Mechanical data, limits'!X46</f>
        <v>0</v>
      </c>
      <c r="Y46" s="543">
        <f>'[3]Mechanical data, limits'!Y46</f>
        <v>0</v>
      </c>
    </row>
    <row r="47" spans="1:25">
      <c r="A47" s="939" t="str">
        <f>'[3]Mechanical data, limits'!A47</f>
        <v>DOMEX</v>
      </c>
      <c r="B47" s="940">
        <f>'[3]Mechanical data, limits'!B47</f>
        <v>7850</v>
      </c>
      <c r="C47" s="941">
        <f>'[3]Mechanical data, limits'!C47</f>
        <v>5.7490138375806119E-4</v>
      </c>
      <c r="D47" s="941">
        <f>'[3]Mechanical data, limits'!D47</f>
        <v>-0.48039999582576742</v>
      </c>
      <c r="E47" s="942">
        <f>'[3]Mechanical data, limits'!E47</f>
        <v>650</v>
      </c>
      <c r="F47" s="943">
        <f>'[3]Mechanical data, limits'!F47</f>
        <v>0.9</v>
      </c>
      <c r="G47" s="940">
        <f>'[3]Mechanical data, limits'!G47</f>
        <v>2</v>
      </c>
      <c r="H47" s="942">
        <f>'[3]Mechanical data, limits'!H47</f>
        <v>6</v>
      </c>
      <c r="I47" s="944">
        <f>'[3]Mechanical data, limits'!I47</f>
        <v>0</v>
      </c>
      <c r="J47" s="944">
        <f>'[3]Mechanical data, limits'!J47</f>
        <v>0</v>
      </c>
      <c r="K47" s="944">
        <f>'[3]Mechanical data, limits'!K47</f>
        <v>0</v>
      </c>
      <c r="L47" s="944">
        <f>'[3]Mechanical data, limits'!L47</f>
        <v>2</v>
      </c>
      <c r="M47" s="944">
        <f>'[3]Mechanical data, limits'!M47</f>
        <v>3</v>
      </c>
      <c r="N47" s="944">
        <f>'[3]Mechanical data, limits'!N47</f>
        <v>4</v>
      </c>
      <c r="O47" s="944">
        <f>'[3]Mechanical data, limits'!O47</f>
        <v>5</v>
      </c>
      <c r="P47" s="944">
        <f>'[3]Mechanical data, limits'!P47</f>
        <v>6</v>
      </c>
      <c r="Q47" s="945">
        <f>'[3]Mechanical data, limits'!Q47</f>
        <v>6</v>
      </c>
      <c r="R47" s="944">
        <f>'[3]Mechanical data, limits'!R47</f>
        <v>6</v>
      </c>
      <c r="S47" s="946">
        <f>'[3]Mechanical data, limits'!S47</f>
        <v>6</v>
      </c>
      <c r="T47" s="530">
        <f>'[3]Mechanical data, limits'!T47</f>
        <v>0</v>
      </c>
      <c r="U47" s="530">
        <f>'[3]Mechanical data, limits'!U47</f>
        <v>0</v>
      </c>
      <c r="V47" s="543">
        <f>'[3]Mechanical data, limits'!V47</f>
        <v>0</v>
      </c>
      <c r="W47" s="543">
        <f>'[3]Mechanical data, limits'!W47</f>
        <v>0</v>
      </c>
      <c r="X47" s="545">
        <f>'[3]Mechanical data, limits'!X47</f>
        <v>0</v>
      </c>
      <c r="Y47" s="545">
        <f>'[3]Mechanical data, limits'!Y47</f>
        <v>0</v>
      </c>
    </row>
    <row r="48" spans="1:25">
      <c r="A48" s="947" t="str">
        <f>'[3]Mechanical data, limits'!A48</f>
        <v>Al6061</v>
      </c>
      <c r="B48" s="948">
        <f>'[3]Mechanical data, limits'!B48</f>
        <v>2699</v>
      </c>
      <c r="C48" s="949">
        <f>'[3]Mechanical data, limits'!C48</f>
        <v>5.7490138375806119E-4</v>
      </c>
      <c r="D48" s="949">
        <f>'[3]Mechanical data, limits'!D48</f>
        <v>-0.48039999582576742</v>
      </c>
      <c r="E48" s="586">
        <f>'[3]Mechanical data, limits'!E48</f>
        <v>55</v>
      </c>
      <c r="F48" s="587">
        <f>'[3]Mechanical data, limits'!F48</f>
        <v>0.9</v>
      </c>
      <c r="G48" s="588">
        <f>'[3]Mechanical data, limits'!G48</f>
        <v>3</v>
      </c>
      <c r="H48" s="586">
        <f>'[3]Mechanical data, limits'!H48</f>
        <v>8</v>
      </c>
      <c r="I48" s="589">
        <f>'[3]Mechanical data, limits'!I48</f>
        <v>0</v>
      </c>
      <c r="J48" s="589">
        <f>'[3]Mechanical data, limits'!J48</f>
        <v>0</v>
      </c>
      <c r="K48" s="589">
        <f>'[3]Mechanical data, limits'!K48</f>
        <v>0</v>
      </c>
      <c r="L48" s="589">
        <f>'[3]Mechanical data, limits'!L48</f>
        <v>0</v>
      </c>
      <c r="M48" s="944">
        <f>'[3]Mechanical data, limits'!M48</f>
        <v>3</v>
      </c>
      <c r="N48" s="944">
        <f>'[3]Mechanical data, limits'!N48</f>
        <v>4</v>
      </c>
      <c r="O48" s="944">
        <f>'[3]Mechanical data, limits'!O48</f>
        <v>5</v>
      </c>
      <c r="P48" s="944">
        <f>'[3]Mechanical data, limits'!P48</f>
        <v>6</v>
      </c>
      <c r="Q48" s="945">
        <f>'[3]Mechanical data, limits'!Q48</f>
        <v>8</v>
      </c>
      <c r="R48" s="589">
        <f>'[3]Mechanical data, limits'!R48</f>
        <v>8</v>
      </c>
      <c r="S48" s="950">
        <f>'[3]Mechanical data, limits'!S48</f>
        <v>8</v>
      </c>
      <c r="T48" s="530">
        <f>'[3]Mechanical data, limits'!T48</f>
        <v>0</v>
      </c>
      <c r="U48" s="530">
        <f>'[3]Mechanical data, limits'!U48</f>
        <v>0</v>
      </c>
      <c r="V48" s="547">
        <f>'[3]Mechanical data, limits'!V48</f>
        <v>316</v>
      </c>
      <c r="W48" s="543" t="str">
        <f>'[3]Mechanical data, limits'!W48</f>
        <v>N/mm2</v>
      </c>
      <c r="X48" s="543">
        <f>'[3]Mechanical data, limits'!X48</f>
        <v>290</v>
      </c>
      <c r="Y48" s="543">
        <f>'[3]Mechanical data, limits'!Y48</f>
        <v>245</v>
      </c>
    </row>
    <row r="49" spans="1:25" ht="14.25" thickBot="1">
      <c r="A49" s="951" t="str">
        <f>'[3]Mechanical data, limits'!A49</f>
        <v>Al57</v>
      </c>
      <c r="B49" s="952">
        <f>'[3]Mechanical data, limits'!B49</f>
        <v>2699</v>
      </c>
      <c r="C49" s="953">
        <f>'[3]Mechanical data, limits'!C49</f>
        <v>5.7490138375806119E-4</v>
      </c>
      <c r="D49" s="953">
        <f>'[3]Mechanical data, limits'!D49</f>
        <v>-0.48039999582576742</v>
      </c>
      <c r="E49" s="954">
        <f>'[3]Mechanical data, limits'!E49</f>
        <v>100</v>
      </c>
      <c r="F49" s="955">
        <f>'[3]Mechanical data, limits'!F49</f>
        <v>0.9</v>
      </c>
      <c r="G49" s="956">
        <f>'[3]Mechanical data, limits'!G49</f>
        <v>3</v>
      </c>
      <c r="H49" s="954">
        <f>'[3]Mechanical data, limits'!H49</f>
        <v>8</v>
      </c>
      <c r="I49" s="957">
        <f>'[3]Mechanical data, limits'!I49</f>
        <v>0</v>
      </c>
      <c r="J49" s="957">
        <f>'[3]Mechanical data, limits'!J49</f>
        <v>0</v>
      </c>
      <c r="K49" s="957">
        <f>'[3]Mechanical data, limits'!K49</f>
        <v>0</v>
      </c>
      <c r="L49" s="957">
        <f>'[3]Mechanical data, limits'!L49</f>
        <v>0</v>
      </c>
      <c r="M49" s="958">
        <f>'[3]Mechanical data, limits'!M49</f>
        <v>3</v>
      </c>
      <c r="N49" s="958">
        <f>'[3]Mechanical data, limits'!N49</f>
        <v>4</v>
      </c>
      <c r="O49" s="958">
        <f>'[3]Mechanical data, limits'!O49</f>
        <v>5</v>
      </c>
      <c r="P49" s="958">
        <f>'[3]Mechanical data, limits'!P49</f>
        <v>6</v>
      </c>
      <c r="Q49" s="959">
        <f>'[3]Mechanical data, limits'!Q49</f>
        <v>8</v>
      </c>
      <c r="R49" s="957">
        <f>'[3]Mechanical data, limits'!R49</f>
        <v>8</v>
      </c>
      <c r="S49" s="960">
        <f>'[3]Mechanical data, limits'!S49</f>
        <v>8</v>
      </c>
      <c r="T49" s="530">
        <f>'[3]Mechanical data, limits'!T49</f>
        <v>0</v>
      </c>
      <c r="U49" s="530">
        <f>'[3]Mechanical data, limits'!U49</f>
        <v>0</v>
      </c>
      <c r="V49" s="543">
        <f>'[3]Mechanical data, limits'!V49</f>
        <v>0</v>
      </c>
      <c r="W49" s="543">
        <f>'[3]Mechanical data, limits'!W49</f>
        <v>0</v>
      </c>
      <c r="X49" s="543">
        <f>'[3]Mechanical data, limits'!X49</f>
        <v>0</v>
      </c>
      <c r="Y49" s="543">
        <f>'[3]Mechanical data, limits'!Y49</f>
        <v>0</v>
      </c>
    </row>
    <row r="50" spans="1:25">
      <c r="A50" s="530">
        <f>'[3]Mechanical data, limits'!A50</f>
        <v>0</v>
      </c>
      <c r="B50" s="530">
        <f>'[3]Mechanical data, limits'!B50</f>
        <v>0</v>
      </c>
      <c r="C50" s="530">
        <f>'[3]Mechanical data, limits'!C50</f>
        <v>0</v>
      </c>
      <c r="D50" s="530">
        <f>'[3]Mechanical data, limits'!D50</f>
        <v>0</v>
      </c>
      <c r="E50" s="530">
        <f>'[3]Mechanical data, limits'!E50</f>
        <v>0</v>
      </c>
      <c r="F50" s="530">
        <f>'[3]Mechanical data, limits'!F50</f>
        <v>0</v>
      </c>
      <c r="G50" s="530">
        <f>'[3]Mechanical data, limits'!G50</f>
        <v>0</v>
      </c>
      <c r="H50" s="530">
        <f>'[3]Mechanical data, limits'!H50</f>
        <v>0</v>
      </c>
      <c r="I50" s="530">
        <f>'[3]Mechanical data, limits'!I50</f>
        <v>0</v>
      </c>
      <c r="J50" s="530">
        <f>'[3]Mechanical data, limits'!J50</f>
        <v>0</v>
      </c>
      <c r="K50" s="530">
        <f>'[3]Mechanical data, limits'!K50</f>
        <v>0</v>
      </c>
      <c r="L50" s="530">
        <f>'[3]Mechanical data, limits'!L50</f>
        <v>0</v>
      </c>
      <c r="M50" s="530">
        <f>'[3]Mechanical data, limits'!M50</f>
        <v>0</v>
      </c>
      <c r="N50" s="530">
        <f>'[3]Mechanical data, limits'!N50</f>
        <v>0</v>
      </c>
      <c r="O50" s="530">
        <f>'[3]Mechanical data, limits'!O50</f>
        <v>0</v>
      </c>
      <c r="P50" s="530">
        <f>'[3]Mechanical data, limits'!P50</f>
        <v>0</v>
      </c>
      <c r="Q50" s="530">
        <f>'[3]Mechanical data, limits'!Q50</f>
        <v>0</v>
      </c>
      <c r="R50" s="530">
        <f>'[3]Mechanical data, limits'!R50</f>
        <v>0</v>
      </c>
      <c r="S50" s="530">
        <f>'[3]Mechanical data, limits'!S50</f>
        <v>0</v>
      </c>
      <c r="T50" s="530">
        <f>'[3]Mechanical data, limits'!T50</f>
        <v>0</v>
      </c>
      <c r="U50" s="530">
        <f>'[3]Mechanical data, limits'!U50</f>
        <v>0</v>
      </c>
      <c r="V50" s="543" t="str">
        <f>'[3]Mechanical data, limits'!V50</f>
        <v>Average</v>
      </c>
      <c r="W50" s="543">
        <f>'[3]Mechanical data, limits'!W50</f>
        <v>0</v>
      </c>
      <c r="X50" s="543">
        <f>'[3]Mechanical data, limits'!X50</f>
        <v>0</v>
      </c>
      <c r="Y50" s="543">
        <f>'[3]Mechanical data, limits'!Y50</f>
        <v>0</v>
      </c>
    </row>
    <row r="51" spans="1:25">
      <c r="A51" s="530">
        <f>'[3]Mechanical data, limits'!A51</f>
        <v>0</v>
      </c>
      <c r="B51" s="530">
        <f>'[3]Mechanical data, limits'!B51</f>
        <v>0</v>
      </c>
      <c r="C51" s="530">
        <f>'[3]Mechanical data, limits'!C51</f>
        <v>0</v>
      </c>
      <c r="D51" s="530">
        <f>'[3]Mechanical data, limits'!D51</f>
        <v>0</v>
      </c>
      <c r="E51" s="530">
        <f>'[3]Mechanical data, limits'!E51</f>
        <v>0</v>
      </c>
      <c r="F51" s="530">
        <f>'[3]Mechanical data, limits'!F51</f>
        <v>0</v>
      </c>
      <c r="G51" s="530">
        <f>'[3]Mechanical data, limits'!G51</f>
        <v>0</v>
      </c>
      <c r="H51" s="530">
        <f>'[3]Mechanical data, limits'!H51</f>
        <v>0</v>
      </c>
      <c r="I51" s="530">
        <f>'[3]Mechanical data, limits'!I51</f>
        <v>0</v>
      </c>
      <c r="J51" s="530">
        <f>'[3]Mechanical data, limits'!J51</f>
        <v>0</v>
      </c>
      <c r="K51" s="530">
        <f>'[3]Mechanical data, limits'!K51</f>
        <v>0</v>
      </c>
      <c r="L51" s="530">
        <f>'[3]Mechanical data, limits'!L51</f>
        <v>0</v>
      </c>
      <c r="M51" s="530">
        <f>'[3]Mechanical data, limits'!M51</f>
        <v>0</v>
      </c>
      <c r="N51" s="530">
        <f>'[3]Mechanical data, limits'!N51</f>
        <v>0</v>
      </c>
      <c r="O51" s="530">
        <f>'[3]Mechanical data, limits'!O51</f>
        <v>0</v>
      </c>
      <c r="P51" s="530">
        <f>'[3]Mechanical data, limits'!P51</f>
        <v>0</v>
      </c>
      <c r="Q51" s="530">
        <f>'[3]Mechanical data, limits'!Q51</f>
        <v>0</v>
      </c>
      <c r="R51" s="530">
        <f>'[3]Mechanical data, limits'!R51</f>
        <v>0</v>
      </c>
      <c r="S51" s="530">
        <f>'[3]Mechanical data, limits'!S51</f>
        <v>0</v>
      </c>
      <c r="T51" s="530">
        <f>'[3]Mechanical data, limits'!T51</f>
        <v>0</v>
      </c>
      <c r="U51" s="530">
        <f>'[3]Mechanical data, limits'!U51</f>
        <v>0</v>
      </c>
      <c r="V51" s="543">
        <f>'[3]Mechanical data, limits'!V51</f>
        <v>0</v>
      </c>
      <c r="W51" s="543">
        <f>'[3]Mechanical data, limits'!W51</f>
        <v>0</v>
      </c>
      <c r="X51" s="543">
        <f>'[3]Mechanical data, limits'!X51</f>
        <v>0</v>
      </c>
      <c r="Y51" s="543">
        <f>'[3]Mechanical data, limits'!Y51</f>
        <v>0</v>
      </c>
    </row>
    <row r="52" spans="1:25">
      <c r="A52" s="530">
        <f>'[3]Mechanical data, limits'!A52</f>
        <v>0</v>
      </c>
      <c r="B52" s="530">
        <f>'[3]Mechanical data, limits'!B52</f>
        <v>0</v>
      </c>
      <c r="C52" s="530">
        <f>'[3]Mechanical data, limits'!C52</f>
        <v>0</v>
      </c>
      <c r="D52" s="530">
        <f>'[3]Mechanical data, limits'!D52</f>
        <v>0</v>
      </c>
      <c r="E52" s="530">
        <f>'[3]Mechanical data, limits'!E52</f>
        <v>0</v>
      </c>
      <c r="F52" s="530">
        <f>'[3]Mechanical data, limits'!F52</f>
        <v>0</v>
      </c>
      <c r="G52" s="530">
        <f>'[3]Mechanical data, limits'!G52</f>
        <v>0</v>
      </c>
      <c r="H52" s="530">
        <f>'[3]Mechanical data, limits'!H52</f>
        <v>0</v>
      </c>
      <c r="I52" s="530">
        <f>'[3]Mechanical data, limits'!I52</f>
        <v>0</v>
      </c>
      <c r="J52" s="530">
        <f>'[3]Mechanical data, limits'!J52</f>
        <v>0</v>
      </c>
      <c r="K52" s="530">
        <f>'[3]Mechanical data, limits'!K52</f>
        <v>0</v>
      </c>
      <c r="L52" s="530">
        <f>'[3]Mechanical data, limits'!L52</f>
        <v>0</v>
      </c>
      <c r="M52" s="530">
        <f>'[3]Mechanical data, limits'!M52</f>
        <v>0</v>
      </c>
      <c r="N52" s="530">
        <f>'[3]Mechanical data, limits'!N52</f>
        <v>0</v>
      </c>
      <c r="O52" s="530">
        <f>'[3]Mechanical data, limits'!O52</f>
        <v>0</v>
      </c>
      <c r="P52" s="530">
        <f>'[3]Mechanical data, limits'!P52</f>
        <v>0</v>
      </c>
      <c r="Q52" s="530">
        <f>'[3]Mechanical data, limits'!Q52</f>
        <v>0</v>
      </c>
      <c r="R52" s="530">
        <f>'[3]Mechanical data, limits'!R52</f>
        <v>0</v>
      </c>
      <c r="S52" s="530">
        <f>'[3]Mechanical data, limits'!S52</f>
        <v>0</v>
      </c>
      <c r="T52" s="530">
        <f>'[3]Mechanical data, limits'!T52</f>
        <v>0</v>
      </c>
      <c r="U52" s="530">
        <f>'[3]Mechanical data, limits'!U52</f>
        <v>0</v>
      </c>
      <c r="V52" s="543">
        <f>'[3]Mechanical data, limits'!V52</f>
        <v>0</v>
      </c>
      <c r="W52" s="543">
        <f>'[3]Mechanical data, limits'!W52</f>
        <v>0</v>
      </c>
      <c r="X52" s="543">
        <f>'[3]Mechanical data, limits'!X52</f>
        <v>0</v>
      </c>
      <c r="Y52" s="543">
        <f>'[3]Mechanical data, limits'!Y52</f>
        <v>0</v>
      </c>
    </row>
    <row r="53" spans="1:25">
      <c r="A53" s="530">
        <f>'[3]Mechanical data, limits'!A53</f>
        <v>0</v>
      </c>
      <c r="B53" s="548" t="str">
        <f>'[3]Mechanical data, limits'!B53</f>
        <v>House Reinforcement Dimensions</v>
      </c>
      <c r="C53" s="503">
        <f>'[3]Mechanical data, limits'!C53</f>
        <v>0</v>
      </c>
      <c r="D53" s="504">
        <f>'[3]Mechanical data, limits'!D53</f>
        <v>0</v>
      </c>
      <c r="E53" s="503">
        <f>'[3]Mechanical data, limits'!E53</f>
        <v>0</v>
      </c>
      <c r="F53" s="504">
        <f>'[3]Mechanical data, limits'!F53</f>
        <v>0</v>
      </c>
      <c r="G53" s="504">
        <f>'[3]Mechanical data, limits'!G53</f>
        <v>0</v>
      </c>
      <c r="H53" s="504">
        <f>'[3]Mechanical data, limits'!H53</f>
        <v>0</v>
      </c>
      <c r="I53" s="530">
        <f>'[3]Mechanical data, limits'!I53</f>
        <v>0</v>
      </c>
      <c r="J53" s="530">
        <f>'[3]Mechanical data, limits'!J53</f>
        <v>0</v>
      </c>
      <c r="K53" s="530">
        <f>'[3]Mechanical data, limits'!K53</f>
        <v>0</v>
      </c>
      <c r="L53" s="530">
        <f>'[3]Mechanical data, limits'!L53</f>
        <v>0</v>
      </c>
      <c r="M53" s="530">
        <f>'[3]Mechanical data, limits'!M53</f>
        <v>0</v>
      </c>
      <c r="N53" s="530">
        <f>'[3]Mechanical data, limits'!N53</f>
        <v>0</v>
      </c>
      <c r="O53" s="530">
        <f>'[3]Mechanical data, limits'!O53</f>
        <v>0</v>
      </c>
      <c r="P53" s="530">
        <f>'[3]Mechanical data, limits'!P53</f>
        <v>0</v>
      </c>
      <c r="Q53" s="530">
        <f>'[3]Mechanical data, limits'!Q53</f>
        <v>0</v>
      </c>
      <c r="R53" s="530">
        <f>'[3]Mechanical data, limits'!R53</f>
        <v>0</v>
      </c>
      <c r="S53" s="530">
        <f>'[3]Mechanical data, limits'!S53</f>
        <v>0</v>
      </c>
      <c r="T53" s="530">
        <f>'[3]Mechanical data, limits'!T53</f>
        <v>0</v>
      </c>
      <c r="U53" s="549">
        <f>'[3]Mechanical data, limits'!U53</f>
        <v>0</v>
      </c>
      <c r="V53" s="549">
        <f>'[3]Mechanical data, limits'!V53</f>
        <v>0</v>
      </c>
      <c r="W53" s="549">
        <f>'[3]Mechanical data, limits'!W53</f>
        <v>0</v>
      </c>
      <c r="X53" s="549">
        <f>'[3]Mechanical data, limits'!X53</f>
        <v>0</v>
      </c>
      <c r="Y53" s="549">
        <f>'[3]Mechanical data, limits'!Y53</f>
        <v>0</v>
      </c>
    </row>
    <row r="54" spans="1:25">
      <c r="A54" s="530">
        <f>'[3]Mechanical data, limits'!A54</f>
        <v>0</v>
      </c>
      <c r="B54" s="548" t="str">
        <f>'[3]Mechanical data, limits'!B54</f>
        <v>d_2</v>
      </c>
      <c r="C54" s="550">
        <f>'[3]Mechanical data, limits'!C54</f>
        <v>0</v>
      </c>
      <c r="D54" s="550">
        <f>'[3]Mechanical data, limits'!D54</f>
        <v>1000</v>
      </c>
      <c r="E54" s="550">
        <f>'[3]Mechanical data, limits'!E54</f>
        <v>1500</v>
      </c>
      <c r="F54" s="550">
        <f>'[3]Mechanical data, limits'!F54</f>
        <v>2000</v>
      </c>
      <c r="G54" s="550">
        <f>'[3]Mechanical data, limits'!G54</f>
        <v>2500</v>
      </c>
      <c r="H54" s="504" t="str">
        <f>'[3]Mechanical data, limits'!H54</f>
        <v>mm</v>
      </c>
      <c r="I54" s="530">
        <f>'[3]Mechanical data, limits'!I54</f>
        <v>0</v>
      </c>
      <c r="J54" s="530">
        <f>'[3]Mechanical data, limits'!J54</f>
        <v>0</v>
      </c>
      <c r="K54" s="530">
        <f>'[3]Mechanical data, limits'!K54</f>
        <v>0</v>
      </c>
      <c r="L54" s="530">
        <f>'[3]Mechanical data, limits'!L54</f>
        <v>0</v>
      </c>
      <c r="M54" s="530">
        <f>'[3]Mechanical data, limits'!M54</f>
        <v>0</v>
      </c>
      <c r="N54" s="530">
        <f>'[3]Mechanical data, limits'!N54</f>
        <v>0</v>
      </c>
      <c r="O54" s="530">
        <f>'[3]Mechanical data, limits'!O54</f>
        <v>0</v>
      </c>
      <c r="P54" s="530">
        <f>'[3]Mechanical data, limits'!P54</f>
        <v>0</v>
      </c>
      <c r="Q54" s="530">
        <f>'[3]Mechanical data, limits'!Q54</f>
        <v>0</v>
      </c>
      <c r="R54" s="530">
        <f>'[3]Mechanical data, limits'!R54</f>
        <v>0</v>
      </c>
      <c r="S54" s="530">
        <f>'[3]Mechanical data, limits'!S54</f>
        <v>0</v>
      </c>
      <c r="T54" s="530">
        <f>'[3]Mechanical data, limits'!T54</f>
        <v>0</v>
      </c>
      <c r="U54" s="530">
        <f>'[3]Mechanical data, limits'!U54</f>
        <v>0</v>
      </c>
      <c r="V54" s="530">
        <f>'[3]Mechanical data, limits'!V54</f>
        <v>0</v>
      </c>
      <c r="W54" s="530">
        <f>'[3]Mechanical data, limits'!W54</f>
        <v>0</v>
      </c>
      <c r="X54" s="530">
        <f>'[3]Mechanical data, limits'!X54</f>
        <v>0</v>
      </c>
      <c r="Y54" s="530">
        <f>'[3]Mechanical data, limits'!Y54</f>
        <v>0</v>
      </c>
    </row>
    <row r="55" spans="1:25">
      <c r="A55" s="530">
        <f>'[3]Mechanical data, limits'!A55</f>
        <v>0</v>
      </c>
      <c r="B55" s="551" t="str">
        <f>'[3]Mechanical data, limits'!B55</f>
        <v>Rein T</v>
      </c>
      <c r="C55" s="552">
        <f>'[3]Mechanical data, limits'!C55</f>
        <v>6.0000000000000001E-3</v>
      </c>
      <c r="D55" s="552">
        <f>'[3]Mechanical data, limits'!D55</f>
        <v>8.0000000000000002E-3</v>
      </c>
      <c r="E55" s="552">
        <f>'[3]Mechanical data, limits'!E55</f>
        <v>0.01</v>
      </c>
      <c r="F55" s="552">
        <f>'[3]Mechanical data, limits'!F55</f>
        <v>1.2E-2</v>
      </c>
      <c r="G55" s="552">
        <f>'[3]Mechanical data, limits'!G55</f>
        <v>1.4E-2</v>
      </c>
      <c r="H55" s="504" t="str">
        <f>'[3]Mechanical data, limits'!H55</f>
        <v>m</v>
      </c>
      <c r="I55" s="530">
        <f>'[3]Mechanical data, limits'!I55</f>
        <v>0</v>
      </c>
      <c r="J55" s="530">
        <f>'[3]Mechanical data, limits'!J55</f>
        <v>0</v>
      </c>
      <c r="K55" s="530">
        <f>'[3]Mechanical data, limits'!K55</f>
        <v>0</v>
      </c>
      <c r="L55" s="530">
        <f>'[3]Mechanical data, limits'!L55</f>
        <v>0</v>
      </c>
      <c r="M55" s="530">
        <f>'[3]Mechanical data, limits'!M55</f>
        <v>0</v>
      </c>
      <c r="N55" s="530">
        <f>'[3]Mechanical data, limits'!N55</f>
        <v>0</v>
      </c>
      <c r="O55" s="530">
        <f>'[3]Mechanical data, limits'!O55</f>
        <v>0</v>
      </c>
      <c r="P55" s="530">
        <f>'[3]Mechanical data, limits'!P55</f>
        <v>0</v>
      </c>
      <c r="Q55" s="530">
        <f>'[3]Mechanical data, limits'!Q55</f>
        <v>0</v>
      </c>
      <c r="R55" s="530">
        <f>'[3]Mechanical data, limits'!R55</f>
        <v>0</v>
      </c>
      <c r="S55" s="530">
        <f>'[3]Mechanical data, limits'!S55</f>
        <v>0</v>
      </c>
      <c r="T55" s="530">
        <f>'[3]Mechanical data, limits'!T55</f>
        <v>0</v>
      </c>
      <c r="U55" s="530">
        <f>'[3]Mechanical data, limits'!U55</f>
        <v>0</v>
      </c>
      <c r="V55" s="530">
        <f>'[3]Mechanical data, limits'!V55</f>
        <v>0</v>
      </c>
      <c r="W55" s="530">
        <f>'[3]Mechanical data, limits'!W55</f>
        <v>0</v>
      </c>
      <c r="X55" s="530">
        <f>'[3]Mechanical data, limits'!X55</f>
        <v>0</v>
      </c>
      <c r="Y55" s="530">
        <f>'[3]Mechanical data, limits'!Y55</f>
        <v>0</v>
      </c>
    </row>
    <row r="56" spans="1:25">
      <c r="A56" s="530">
        <f>'[3]Mechanical data, limits'!A56</f>
        <v>0</v>
      </c>
      <c r="B56" s="551" t="str">
        <f>'[3]Mechanical data, limits'!B56</f>
        <v>Rein W</v>
      </c>
      <c r="C56" s="552">
        <f>'[3]Mechanical data, limits'!C56</f>
        <v>0.06</v>
      </c>
      <c r="D56" s="552">
        <f>'[3]Mechanical data, limits'!D56</f>
        <v>0.08</v>
      </c>
      <c r="E56" s="552">
        <f>'[3]Mechanical data, limits'!E56</f>
        <v>0.1</v>
      </c>
      <c r="F56" s="552">
        <f>'[3]Mechanical data, limits'!F56</f>
        <v>0.12</v>
      </c>
      <c r="G56" s="552">
        <f>'[3]Mechanical data, limits'!G56</f>
        <v>0.15</v>
      </c>
      <c r="H56" s="504" t="str">
        <f>'[3]Mechanical data, limits'!H56</f>
        <v>m</v>
      </c>
      <c r="I56" s="530">
        <f>'[3]Mechanical data, limits'!I56</f>
        <v>0</v>
      </c>
      <c r="J56" s="530">
        <f>'[3]Mechanical data, limits'!J56</f>
        <v>0</v>
      </c>
      <c r="K56" s="530">
        <f>'[3]Mechanical data, limits'!K56</f>
        <v>0</v>
      </c>
      <c r="L56" s="530">
        <f>'[3]Mechanical data, limits'!L56</f>
        <v>0</v>
      </c>
      <c r="M56" s="530">
        <f>'[3]Mechanical data, limits'!M56</f>
        <v>0</v>
      </c>
      <c r="N56" s="530">
        <f>'[3]Mechanical data, limits'!N56</f>
        <v>0</v>
      </c>
      <c r="O56" s="530">
        <f>'[3]Mechanical data, limits'!O56</f>
        <v>0</v>
      </c>
      <c r="P56" s="530">
        <f>'[3]Mechanical data, limits'!P56</f>
        <v>0</v>
      </c>
      <c r="Q56" s="530">
        <f>'[3]Mechanical data, limits'!Q56</f>
        <v>0</v>
      </c>
      <c r="R56" s="530">
        <f>'[3]Mechanical data, limits'!R56</f>
        <v>0</v>
      </c>
      <c r="S56" s="530">
        <f>'[3]Mechanical data, limits'!S56</f>
        <v>0</v>
      </c>
      <c r="T56" s="530">
        <f>'[3]Mechanical data, limits'!T56</f>
        <v>0</v>
      </c>
      <c r="U56" s="530">
        <f>'[3]Mechanical data, limits'!U56</f>
        <v>0</v>
      </c>
      <c r="V56" s="530">
        <f>'[3]Mechanical data, limits'!V56</f>
        <v>0</v>
      </c>
      <c r="W56" s="530">
        <f>'[3]Mechanical data, limits'!W56</f>
        <v>0</v>
      </c>
      <c r="X56" s="530">
        <f>'[3]Mechanical data, limits'!X56</f>
        <v>0</v>
      </c>
      <c r="Y56" s="530">
        <f>'[3]Mechanical data, limits'!Y56</f>
        <v>0</v>
      </c>
    </row>
    <row r="57" spans="1:25">
      <c r="A57" s="530">
        <f>'[3]Mechanical data, limits'!A57</f>
        <v>0</v>
      </c>
      <c r="B57" s="530">
        <f>'[3]Mechanical data, limits'!B57</f>
        <v>0</v>
      </c>
      <c r="C57" s="530">
        <f>'[3]Mechanical data, limits'!C57</f>
        <v>0</v>
      </c>
      <c r="D57" s="530">
        <f>'[3]Mechanical data, limits'!D57</f>
        <v>0</v>
      </c>
      <c r="E57" s="530">
        <f>'[3]Mechanical data, limits'!E57</f>
        <v>0</v>
      </c>
      <c r="F57" s="530">
        <f>'[3]Mechanical data, limits'!F57</f>
        <v>0</v>
      </c>
      <c r="G57" s="530">
        <f>'[3]Mechanical data, limits'!G57</f>
        <v>0</v>
      </c>
      <c r="H57" s="530">
        <f>'[3]Mechanical data, limits'!H57</f>
        <v>0</v>
      </c>
      <c r="I57" s="530">
        <f>'[3]Mechanical data, limits'!I57</f>
        <v>0</v>
      </c>
      <c r="J57" s="530">
        <f>'[3]Mechanical data, limits'!J57</f>
        <v>0</v>
      </c>
      <c r="K57" s="530">
        <f>'[3]Mechanical data, limits'!K57</f>
        <v>0</v>
      </c>
      <c r="L57" s="530">
        <f>'[3]Mechanical data, limits'!L57</f>
        <v>0</v>
      </c>
      <c r="M57" s="530">
        <f>'[3]Mechanical data, limits'!M57</f>
        <v>0</v>
      </c>
      <c r="N57" s="530">
        <f>'[3]Mechanical data, limits'!N57</f>
        <v>0</v>
      </c>
      <c r="O57" s="530">
        <f>'[3]Mechanical data, limits'!O57</f>
        <v>0</v>
      </c>
      <c r="P57" s="530">
        <f>'[3]Mechanical data, limits'!P57</f>
        <v>0</v>
      </c>
      <c r="Q57" s="530">
        <f>'[3]Mechanical data, limits'!Q57</f>
        <v>0</v>
      </c>
      <c r="R57" s="530">
        <f>'[3]Mechanical data, limits'!R57</f>
        <v>0</v>
      </c>
      <c r="S57" s="530">
        <f>'[3]Mechanical data, limits'!S57</f>
        <v>0</v>
      </c>
      <c r="T57" s="530">
        <f>'[3]Mechanical data, limits'!T57</f>
        <v>0</v>
      </c>
      <c r="U57" s="530">
        <f>'[3]Mechanical data, limits'!U57</f>
        <v>0</v>
      </c>
      <c r="V57" s="530">
        <f>'[3]Mechanical data, limits'!V57</f>
        <v>0</v>
      </c>
      <c r="W57" s="530">
        <f>'[3]Mechanical data, limits'!W57</f>
        <v>0</v>
      </c>
      <c r="X57" s="530">
        <f>'[3]Mechanical data, limits'!X57</f>
        <v>0</v>
      </c>
      <c r="Y57" s="530">
        <f>'[3]Mechanical data, limits'!Y57</f>
        <v>0</v>
      </c>
    </row>
    <row r="58" spans="1:25">
      <c r="A58" s="530">
        <f>'[3]Mechanical data, limits'!A58</f>
        <v>0</v>
      </c>
      <c r="B58" s="530">
        <f>'[3]Mechanical data, limits'!B58</f>
        <v>0</v>
      </c>
      <c r="C58" s="530">
        <f>'[3]Mechanical data, limits'!C58</f>
        <v>0</v>
      </c>
      <c r="D58" s="530">
        <f>'[3]Mechanical data, limits'!D58</f>
        <v>0</v>
      </c>
      <c r="E58" s="530">
        <f>'[3]Mechanical data, limits'!E58</f>
        <v>0</v>
      </c>
      <c r="F58" s="530">
        <f>'[3]Mechanical data, limits'!F58</f>
        <v>0</v>
      </c>
      <c r="G58" s="530">
        <f>'[3]Mechanical data, limits'!G58</f>
        <v>0</v>
      </c>
      <c r="H58" s="530">
        <f>'[3]Mechanical data, limits'!H58</f>
        <v>0</v>
      </c>
      <c r="I58" s="530">
        <f>'[3]Mechanical data, limits'!I58</f>
        <v>0</v>
      </c>
      <c r="J58" s="530">
        <f>'[3]Mechanical data, limits'!J58</f>
        <v>0</v>
      </c>
      <c r="K58" s="530">
        <f>'[3]Mechanical data, limits'!K58</f>
        <v>0</v>
      </c>
      <c r="L58" s="530">
        <f>'[3]Mechanical data, limits'!L58</f>
        <v>0</v>
      </c>
      <c r="M58" s="530">
        <f>'[3]Mechanical data, limits'!M58</f>
        <v>0</v>
      </c>
      <c r="N58" s="530">
        <f>'[3]Mechanical data, limits'!N58</f>
        <v>0</v>
      </c>
      <c r="O58" s="530">
        <f>'[3]Mechanical data, limits'!O58</f>
        <v>0</v>
      </c>
      <c r="P58" s="530">
        <f>'[3]Mechanical data, limits'!P58</f>
        <v>0</v>
      </c>
      <c r="Q58" s="530">
        <f>'[3]Mechanical data, limits'!Q58</f>
        <v>0</v>
      </c>
      <c r="R58" s="530">
        <f>'[3]Mechanical data, limits'!R58</f>
        <v>0</v>
      </c>
      <c r="S58" s="530">
        <f>'[3]Mechanical data, limits'!S58</f>
        <v>0</v>
      </c>
      <c r="T58" s="530">
        <f>'[3]Mechanical data, limits'!T58</f>
        <v>0</v>
      </c>
      <c r="U58" s="530">
        <f>'[3]Mechanical data, limits'!U58</f>
        <v>0</v>
      </c>
      <c r="V58" s="530">
        <f>'[3]Mechanical data, limits'!V58</f>
        <v>0</v>
      </c>
      <c r="W58" s="530">
        <f>'[3]Mechanical data, limits'!W58</f>
        <v>0</v>
      </c>
      <c r="X58" s="530">
        <f>'[3]Mechanical data, limits'!X58</f>
        <v>0</v>
      </c>
      <c r="Y58" s="530">
        <f>'[3]Mechanical data, limits'!Y58</f>
        <v>0</v>
      </c>
    </row>
    <row r="59" spans="1:25">
      <c r="A59" s="530">
        <f>'[3]Mechanical data, limits'!A59</f>
        <v>0</v>
      </c>
      <c r="B59" s="530">
        <f>'[3]Mechanical data, limits'!B59</f>
        <v>0</v>
      </c>
      <c r="C59" s="530">
        <f>'[3]Mechanical data, limits'!C59</f>
        <v>0</v>
      </c>
      <c r="D59" s="530">
        <f>'[3]Mechanical data, limits'!D59</f>
        <v>0</v>
      </c>
      <c r="E59" s="530">
        <f>'[3]Mechanical data, limits'!E59</f>
        <v>0</v>
      </c>
      <c r="F59" s="530">
        <f>'[3]Mechanical data, limits'!F59</f>
        <v>0</v>
      </c>
      <c r="G59" s="530">
        <f>'[3]Mechanical data, limits'!G59</f>
        <v>0</v>
      </c>
      <c r="H59" s="530">
        <f>'[3]Mechanical data, limits'!H59</f>
        <v>0</v>
      </c>
      <c r="I59" s="530">
        <f>'[3]Mechanical data, limits'!I59</f>
        <v>0</v>
      </c>
      <c r="J59" s="530">
        <f>'[3]Mechanical data, limits'!J59</f>
        <v>0</v>
      </c>
      <c r="K59" s="530">
        <f>'[3]Mechanical data, limits'!K59</f>
        <v>0</v>
      </c>
      <c r="L59" s="530">
        <f>'[3]Mechanical data, limits'!L59</f>
        <v>0</v>
      </c>
      <c r="M59" s="530">
        <f>'[3]Mechanical data, limits'!M59</f>
        <v>0</v>
      </c>
      <c r="N59" s="530">
        <f>'[3]Mechanical data, limits'!N59</f>
        <v>0</v>
      </c>
      <c r="O59" s="530">
        <f>'[3]Mechanical data, limits'!O59</f>
        <v>0</v>
      </c>
      <c r="P59" s="530">
        <f>'[3]Mechanical data, limits'!P59</f>
        <v>0</v>
      </c>
      <c r="Q59" s="530">
        <f>'[3]Mechanical data, limits'!Q59</f>
        <v>0</v>
      </c>
      <c r="R59" s="530">
        <f>'[3]Mechanical data, limits'!R59</f>
        <v>0</v>
      </c>
      <c r="S59" s="530">
        <f>'[3]Mechanical data, limits'!S59</f>
        <v>0</v>
      </c>
      <c r="T59" s="530">
        <f>'[3]Mechanical data, limits'!T59</f>
        <v>0</v>
      </c>
      <c r="U59" s="530">
        <f>'[3]Mechanical data, limits'!U59</f>
        <v>0</v>
      </c>
      <c r="V59" s="530">
        <f>'[3]Mechanical data, limits'!V59</f>
        <v>0</v>
      </c>
      <c r="W59" s="530">
        <f>'[3]Mechanical data, limits'!W59</f>
        <v>0</v>
      </c>
      <c r="X59" s="530">
        <f>'[3]Mechanical data, limits'!X59</f>
        <v>0</v>
      </c>
      <c r="Y59" s="530">
        <f>'[3]Mechanical data, limits'!Y59</f>
        <v>0</v>
      </c>
    </row>
    <row r="60" spans="1:25">
      <c r="A60" s="530">
        <f>'[3]Mechanical data, limits'!A60</f>
        <v>0</v>
      </c>
      <c r="B60" s="530">
        <f>'[3]Mechanical data, limits'!B60</f>
        <v>0</v>
      </c>
      <c r="C60" s="1472" t="str">
        <f>'[3]Mechanical data, limits'!C60</f>
        <v>Frontplate tools</v>
      </c>
      <c r="D60" s="1472">
        <f>'[3]Mechanical data, limits'!D60</f>
        <v>0</v>
      </c>
      <c r="E60" s="530" t="str">
        <f>'[3]Mechanical data, limits'!E60</f>
        <v>possible</v>
      </c>
      <c r="F60" s="530" t="str">
        <f>'[3]Mechanical data, limits'!F60</f>
        <v>possible</v>
      </c>
      <c r="G60" s="530">
        <f>'[3]Mechanical data, limits'!G60</f>
        <v>0</v>
      </c>
      <c r="H60" s="1472" t="str">
        <f>'[3]Mechanical data, limits'!H60</f>
        <v>Max air Speed</v>
      </c>
      <c r="I60" s="1472">
        <f>'[3]Mechanical data, limits'!I60</f>
        <v>0</v>
      </c>
      <c r="J60" s="1472">
        <f>'[3]Mechanical data, limits'!J60</f>
        <v>0</v>
      </c>
      <c r="K60" s="1472">
        <f>'[3]Mechanical data, limits'!K60</f>
        <v>0</v>
      </c>
      <c r="L60" s="1472">
        <f>'[3]Mechanical data, limits'!L60</f>
        <v>0</v>
      </c>
      <c r="M60" s="559">
        <f>'[3]Mechanical data, limits'!M60</f>
        <v>0</v>
      </c>
      <c r="N60" s="560">
        <f>'[3]Mechanical data, limits'!N60</f>
        <v>0</v>
      </c>
      <c r="O60" s="559">
        <f>'[3]Mechanical data, limits'!O60</f>
        <v>0</v>
      </c>
      <c r="P60" s="530">
        <f>'[3]Mechanical data, limits'!P60</f>
        <v>0</v>
      </c>
      <c r="Q60" s="530">
        <f>'[3]Mechanical data, limits'!Q60</f>
        <v>0</v>
      </c>
      <c r="R60" s="530" t="str">
        <f>'[3]Mechanical data, limits'!R60</f>
        <v>Beta angle addtion</v>
      </c>
      <c r="S60" s="530">
        <f>'[3]Mechanical data, limits'!S60</f>
        <v>0</v>
      </c>
      <c r="T60" s="530">
        <f>'[3]Mechanical data, limits'!T60</f>
        <v>0</v>
      </c>
      <c r="U60" s="530">
        <f>'[3]Mechanical data, limits'!U60</f>
        <v>0</v>
      </c>
      <c r="V60" s="515" t="str">
        <f>'[3]Mechanical data, limits'!V60</f>
        <v>House exhaust dimensions</v>
      </c>
      <c r="W60" s="515">
        <f>'[3]Mechanical data, limits'!W60</f>
        <v>0</v>
      </c>
      <c r="X60" s="515">
        <f>'[3]Mechanical data, limits'!X60</f>
        <v>0</v>
      </c>
      <c r="Y60" s="515">
        <f>'[3]Mechanical data, limits'!Y60</f>
        <v>0</v>
      </c>
    </row>
    <row r="61" spans="1:25">
      <c r="A61" s="530" t="str">
        <f>'[3]Mechanical data, limits'!A61</f>
        <v>d-in</v>
      </c>
      <c r="B61" s="530">
        <f>'[3]Mechanical data, limits'!B61</f>
        <v>0</v>
      </c>
      <c r="C61" s="530" t="str">
        <f>'[3]Mechanical data, limits'!C61</f>
        <v>d_in</v>
      </c>
      <c r="D61" s="530" t="str">
        <f>'[3]Mechanical data, limits'!D61</f>
        <v>Tool</v>
      </c>
      <c r="E61" s="530" t="str">
        <f>'[3]Mechanical data, limits'!E61</f>
        <v>inlet D</v>
      </c>
      <c r="F61" s="530" t="str">
        <f>'[3]Mechanical data, limits'!F61</f>
        <v>valve D</v>
      </c>
      <c r="G61" s="530">
        <f>'[3]Mechanical data, limits'!G61</f>
        <v>0</v>
      </c>
      <c r="H61" s="531" t="str">
        <f>'[3]Mechanical data, limits'!H61</f>
        <v>Pt&lt;mmh2o&gt;</v>
      </c>
      <c r="I61" s="530" t="str">
        <f>'[3]Mechanical data, limits'!I61</f>
        <v>Des. airspeed @ inlet&lt;m/s&gt;</v>
      </c>
      <c r="J61" s="530">
        <f>'[3]Mechanical data, limits'!J61</f>
        <v>0</v>
      </c>
      <c r="K61" s="530">
        <f>'[3]Mechanical data, limits'!K61</f>
        <v>0</v>
      </c>
      <c r="L61" s="530" t="str">
        <f>'[3]Mechanical data, limits'!L61</f>
        <v>min</v>
      </c>
      <c r="M61" s="553" t="str">
        <f>'[3]Mechanical data, limits'!M61</f>
        <v>-delta</v>
      </c>
      <c r="N61" s="530" t="str">
        <f>'[3]Mechanical data, limits'!N61</f>
        <v>max</v>
      </c>
      <c r="O61" s="553" t="str">
        <f>'[3]Mechanical data, limits'!O61</f>
        <v>+delta</v>
      </c>
      <c r="P61" s="530">
        <f>'[3]Mechanical data, limits'!P61</f>
        <v>0</v>
      </c>
      <c r="Q61" s="530">
        <f>'[3]Mechanical data, limits'!Q61</f>
        <v>0</v>
      </c>
      <c r="R61" s="531" t="str">
        <f>'[3]Mechanical data, limits'!R61</f>
        <v>Pt&lt;mmh2o&gt;</v>
      </c>
      <c r="S61" s="530" t="str">
        <f>'[3]Mechanical data, limits'!S61</f>
        <v>Beta2 addition</v>
      </c>
      <c r="T61" s="530">
        <f>'[3]Mechanical data, limits'!T61</f>
        <v>0</v>
      </c>
      <c r="U61" s="530">
        <f>'[3]Mechanical data, limits'!U61</f>
        <v>0</v>
      </c>
      <c r="V61" s="530" t="str">
        <f>'[3]Mechanical data, limits'!V61</f>
        <v>B HN</v>
      </c>
      <c r="W61" s="530" t="str">
        <f>'[3]Mechanical data, limits'!W61</f>
        <v>C HN</v>
      </c>
      <c r="X61" s="530" t="str">
        <f>'[3]Mechanical data, limits'!X61</f>
        <v>B MT</v>
      </c>
      <c r="Y61" s="530" t="str">
        <f>'[3]Mechanical data, limits'!Y61</f>
        <v>C MT</v>
      </c>
    </row>
    <row r="62" spans="1:25">
      <c r="A62" s="554">
        <f>'[3]Mechanical data, limits'!A62</f>
        <v>0.03</v>
      </c>
      <c r="B62" s="530">
        <f>'[3]Mechanical data, limits'!B62</f>
        <v>0</v>
      </c>
      <c r="C62" s="554">
        <f>'[3]Mechanical data, limits'!C62</f>
        <v>0.1</v>
      </c>
      <c r="D62" s="530" t="str">
        <f>'[3]Mechanical data, limits'!D62</f>
        <v>blank</v>
      </c>
      <c r="E62" s="555">
        <f>'[3]Mechanical data, limits'!E62</f>
        <v>0.1</v>
      </c>
      <c r="F62" s="554">
        <f>'[3]Mechanical data, limits'!F62</f>
        <v>0.35</v>
      </c>
      <c r="G62" s="530">
        <f>'[3]Mechanical data, limits'!G62</f>
        <v>0</v>
      </c>
      <c r="H62" s="530">
        <f>'[3]Mechanical data, limits'!H62</f>
        <v>0</v>
      </c>
      <c r="I62" s="530">
        <f>'[3]Mechanical data, limits'!I62</f>
        <v>15</v>
      </c>
      <c r="J62" s="556">
        <f>'[3]Mechanical data, limits'!J62</f>
        <v>5</v>
      </c>
      <c r="K62" s="530">
        <f>'[3]Mechanical data, limits'!K62</f>
        <v>0</v>
      </c>
      <c r="L62" s="530">
        <f>'[3]Mechanical data, limits'!L62</f>
        <v>10</v>
      </c>
      <c r="M62" s="530">
        <f>'[3]Mechanical data, limits'!M62</f>
        <v>5</v>
      </c>
      <c r="N62" s="530">
        <f>'[3]Mechanical data, limits'!N62</f>
        <v>25</v>
      </c>
      <c r="O62" s="530">
        <f>'[3]Mechanical data, limits'!O62</f>
        <v>10</v>
      </c>
      <c r="P62" s="530">
        <f>'[3]Mechanical data, limits'!P62</f>
        <v>0</v>
      </c>
      <c r="Q62" s="530">
        <f>'[3]Mechanical data, limits'!Q62</f>
        <v>0</v>
      </c>
      <c r="R62" s="530">
        <f>'[3]Mechanical data, limits'!R62</f>
        <v>0</v>
      </c>
      <c r="S62" s="530">
        <f>'[3]Mechanical data, limits'!S62</f>
        <v>8</v>
      </c>
      <c r="T62" s="530">
        <f>'[3]Mechanical data, limits'!T62</f>
        <v>0</v>
      </c>
      <c r="U62" s="530">
        <f>'[3]Mechanical data, limits'!U62</f>
        <v>0</v>
      </c>
      <c r="V62" s="554">
        <f>'[3]Mechanical data, limits'!V62</f>
        <v>0</v>
      </c>
      <c r="W62" s="554">
        <f>'[3]Mechanical data, limits'!W62</f>
        <v>0</v>
      </c>
      <c r="X62" s="554">
        <f>'[3]Mechanical data, limits'!X62</f>
        <v>0</v>
      </c>
      <c r="Y62" s="554">
        <f>'[3]Mechanical data, limits'!Y62</f>
        <v>0</v>
      </c>
    </row>
    <row r="63" spans="1:25">
      <c r="A63" s="554">
        <f>'[3]Mechanical data, limits'!A63</f>
        <v>0.04</v>
      </c>
      <c r="B63" s="530">
        <f>'[3]Mechanical data, limits'!B63</f>
        <v>0</v>
      </c>
      <c r="C63" s="554">
        <f>'[3]Mechanical data, limits'!C63</f>
        <v>0.11</v>
      </c>
      <c r="D63" s="530" t="str">
        <f>'[3]Mechanical data, limits'!D63</f>
        <v>blank</v>
      </c>
      <c r="E63" s="555">
        <f>'[3]Mechanical data, limits'!E63</f>
        <v>0.11</v>
      </c>
      <c r="F63" s="554">
        <f>'[3]Mechanical data, limits'!F63</f>
        <v>0.4</v>
      </c>
      <c r="G63" s="530">
        <f>'[3]Mechanical data, limits'!G63</f>
        <v>0</v>
      </c>
      <c r="H63" s="530">
        <f>'[3]Mechanical data, limits'!H63</f>
        <v>250</v>
      </c>
      <c r="I63" s="530">
        <f>'[3]Mechanical data, limits'!I63</f>
        <v>20</v>
      </c>
      <c r="J63" s="556">
        <f>'[3]Mechanical data, limits'!J63</f>
        <v>0</v>
      </c>
      <c r="K63" s="530">
        <f>'[3]Mechanical data, limits'!K63</f>
        <v>0</v>
      </c>
      <c r="L63" s="530">
        <f>'[3]Mechanical data, limits'!L63</f>
        <v>10</v>
      </c>
      <c r="M63" s="530">
        <f>'[3]Mechanical data, limits'!M63</f>
        <v>10</v>
      </c>
      <c r="N63" s="530">
        <f>'[3]Mechanical data, limits'!N63</f>
        <v>30</v>
      </c>
      <c r="O63" s="530">
        <f>'[3]Mechanical data, limits'!O63</f>
        <v>10</v>
      </c>
      <c r="P63" s="530">
        <f>'[3]Mechanical data, limits'!P63</f>
        <v>0</v>
      </c>
      <c r="Q63" s="530">
        <f>'[3]Mechanical data, limits'!Q63</f>
        <v>0</v>
      </c>
      <c r="R63" s="530">
        <f>'[3]Mechanical data, limits'!R63</f>
        <v>250</v>
      </c>
      <c r="S63" s="530">
        <f>'[3]Mechanical data, limits'!S63</f>
        <v>9</v>
      </c>
      <c r="T63" s="530">
        <f>'[3]Mechanical data, limits'!T63</f>
        <v>0</v>
      </c>
      <c r="U63" s="530">
        <f>'[3]Mechanical data, limits'!U63</f>
        <v>0</v>
      </c>
      <c r="V63" s="554">
        <f>'[3]Mechanical data, limits'!V63</f>
        <v>2.5000000000000001E-2</v>
      </c>
      <c r="W63" s="554">
        <f>'[3]Mechanical data, limits'!W63</f>
        <v>2.5000000000000001E-2</v>
      </c>
      <c r="X63" s="554">
        <f>'[3]Mechanical data, limits'!X63</f>
        <v>2.5000000000000001E-2</v>
      </c>
      <c r="Y63" s="554">
        <f>'[3]Mechanical data, limits'!Y63</f>
        <v>2.5000000000000001E-2</v>
      </c>
    </row>
    <row r="64" spans="1:25">
      <c r="A64" s="554">
        <f>'[3]Mechanical data, limits'!A64</f>
        <v>0.05</v>
      </c>
      <c r="B64" s="530">
        <f>'[3]Mechanical data, limits'!B64</f>
        <v>0</v>
      </c>
      <c r="C64" s="554">
        <f>'[3]Mechanical data, limits'!C64</f>
        <v>0.12</v>
      </c>
      <c r="D64" s="530" t="str">
        <f>'[3]Mechanical data, limits'!D64</f>
        <v>blank</v>
      </c>
      <c r="E64" s="555">
        <f>'[3]Mechanical data, limits'!E64</f>
        <v>0.12</v>
      </c>
      <c r="F64" s="554">
        <f>'[3]Mechanical data, limits'!F64</f>
        <v>0.45</v>
      </c>
      <c r="G64" s="530">
        <f>'[3]Mechanical data, limits'!G64</f>
        <v>0</v>
      </c>
      <c r="H64" s="530">
        <f>'[3]Mechanical data, limits'!H64</f>
        <v>500</v>
      </c>
      <c r="I64" s="530">
        <f>'[3]Mechanical data, limits'!I64</f>
        <v>25</v>
      </c>
      <c r="J64" s="556">
        <f>'[3]Mechanical data, limits'!J64</f>
        <v>0</v>
      </c>
      <c r="K64" s="530">
        <f>'[3]Mechanical data, limits'!K64</f>
        <v>0</v>
      </c>
      <c r="L64" s="530">
        <f>'[3]Mechanical data, limits'!L64</f>
        <v>15</v>
      </c>
      <c r="M64" s="530">
        <f>'[3]Mechanical data, limits'!M64</f>
        <v>10</v>
      </c>
      <c r="N64" s="530">
        <f>'[3]Mechanical data, limits'!N64</f>
        <v>35</v>
      </c>
      <c r="O64" s="530">
        <f>'[3]Mechanical data, limits'!O64</f>
        <v>10</v>
      </c>
      <c r="P64" s="530">
        <f>'[3]Mechanical data, limits'!P64</f>
        <v>0</v>
      </c>
      <c r="Q64" s="530">
        <f>'[3]Mechanical data, limits'!Q64</f>
        <v>0</v>
      </c>
      <c r="R64" s="530">
        <f>'[3]Mechanical data, limits'!R64</f>
        <v>500</v>
      </c>
      <c r="S64" s="530">
        <f>'[3]Mechanical data, limits'!S64</f>
        <v>10</v>
      </c>
      <c r="T64" s="530">
        <f>'[3]Mechanical data, limits'!T64</f>
        <v>0</v>
      </c>
      <c r="U64" s="530">
        <f>'[3]Mechanical data, limits'!U64</f>
        <v>0</v>
      </c>
      <c r="V64" s="554">
        <f>'[3]Mechanical data, limits'!V64</f>
        <v>0.05</v>
      </c>
      <c r="W64" s="554">
        <f>'[3]Mechanical data, limits'!W64</f>
        <v>0.05</v>
      </c>
      <c r="X64" s="554">
        <f>'[3]Mechanical data, limits'!X64</f>
        <v>0.05</v>
      </c>
      <c r="Y64" s="554">
        <f>'[3]Mechanical data, limits'!Y64</f>
        <v>0.05</v>
      </c>
    </row>
    <row r="65" spans="1:25">
      <c r="A65" s="554">
        <f>'[3]Mechanical data, limits'!A65</f>
        <v>0.06</v>
      </c>
      <c r="B65" s="530">
        <f>'[3]Mechanical data, limits'!B65</f>
        <v>0</v>
      </c>
      <c r="C65" s="554">
        <f>'[3]Mechanical data, limits'!C65</f>
        <v>0.13</v>
      </c>
      <c r="D65" s="530" t="str">
        <f>'[3]Mechanical data, limits'!D65</f>
        <v>blank</v>
      </c>
      <c r="E65" s="555">
        <f>'[3]Mechanical data, limits'!E65</f>
        <v>0.13</v>
      </c>
      <c r="F65" s="554">
        <f>'[3]Mechanical data, limits'!F65</f>
        <v>0.5</v>
      </c>
      <c r="G65" s="530">
        <f>'[3]Mechanical data, limits'!G65</f>
        <v>0</v>
      </c>
      <c r="H65" s="530">
        <f>'[3]Mechanical data, limits'!H65</f>
        <v>750</v>
      </c>
      <c r="I65" s="530">
        <f>'[3]Mechanical data, limits'!I65</f>
        <v>26</v>
      </c>
      <c r="J65" s="515">
        <f>'[3]Mechanical data, limits'!J65</f>
        <v>1</v>
      </c>
      <c r="K65" s="530">
        <f>'[3]Mechanical data, limits'!K65</f>
        <v>0</v>
      </c>
      <c r="L65" s="530">
        <f>'[3]Mechanical data, limits'!L65</f>
        <v>16</v>
      </c>
      <c r="M65" s="530">
        <f>'[3]Mechanical data, limits'!M65</f>
        <v>10</v>
      </c>
      <c r="N65" s="530">
        <f>'[3]Mechanical data, limits'!N65</f>
        <v>36</v>
      </c>
      <c r="O65" s="530">
        <f>'[3]Mechanical data, limits'!O65</f>
        <v>10</v>
      </c>
      <c r="P65" s="530">
        <f>'[3]Mechanical data, limits'!P65</f>
        <v>0</v>
      </c>
      <c r="Q65" s="530">
        <f>'[3]Mechanical data, limits'!Q65</f>
        <v>0</v>
      </c>
      <c r="R65" s="530">
        <f>'[3]Mechanical data, limits'!R65</f>
        <v>750</v>
      </c>
      <c r="S65" s="530">
        <f>'[3]Mechanical data, limits'!S65</f>
        <v>11</v>
      </c>
      <c r="T65" s="530">
        <f>'[3]Mechanical data, limits'!T65</f>
        <v>0</v>
      </c>
      <c r="U65" s="530">
        <f>'[3]Mechanical data, limits'!U65</f>
        <v>0</v>
      </c>
      <c r="V65" s="554">
        <f>'[3]Mechanical data, limits'!V65</f>
        <v>7.4999999999999997E-2</v>
      </c>
      <c r="W65" s="554">
        <f>'[3]Mechanical data, limits'!W65</f>
        <v>7.4999999999999997E-2</v>
      </c>
      <c r="X65" s="554">
        <f>'[3]Mechanical data, limits'!X65</f>
        <v>0.08</v>
      </c>
      <c r="Y65" s="554">
        <f>'[3]Mechanical data, limits'!Y65</f>
        <v>0.08</v>
      </c>
    </row>
    <row r="66" spans="1:25">
      <c r="A66" s="554">
        <f>'[3]Mechanical data, limits'!A66</f>
        <v>7.0000000000000007E-2</v>
      </c>
      <c r="B66" s="530">
        <f>'[3]Mechanical data, limits'!B66</f>
        <v>0</v>
      </c>
      <c r="C66" s="554">
        <f>'[3]Mechanical data, limits'!C66</f>
        <v>0.14000000000000001</v>
      </c>
      <c r="D66" s="530" t="str">
        <f>'[3]Mechanical data, limits'!D66</f>
        <v>blank</v>
      </c>
      <c r="E66" s="555">
        <f>'[3]Mechanical data, limits'!E66</f>
        <v>0.14000000000000001</v>
      </c>
      <c r="F66" s="554">
        <f>'[3]Mechanical data, limits'!F66</f>
        <v>0.63</v>
      </c>
      <c r="G66" s="530">
        <f>'[3]Mechanical data, limits'!G66</f>
        <v>0</v>
      </c>
      <c r="H66" s="530">
        <f>'[3]Mechanical data, limits'!H66</f>
        <v>1000</v>
      </c>
      <c r="I66" s="530">
        <f>'[3]Mechanical data, limits'!I66</f>
        <v>27</v>
      </c>
      <c r="J66" s="515">
        <f>'[3]Mechanical data, limits'!J66</f>
        <v>0</v>
      </c>
      <c r="K66" s="530">
        <f>'[3]Mechanical data, limits'!K66</f>
        <v>0</v>
      </c>
      <c r="L66" s="530">
        <f>'[3]Mechanical data, limits'!L66</f>
        <v>17</v>
      </c>
      <c r="M66" s="530">
        <f>'[3]Mechanical data, limits'!M66</f>
        <v>10</v>
      </c>
      <c r="N66" s="530">
        <f>'[3]Mechanical data, limits'!N66</f>
        <v>37</v>
      </c>
      <c r="O66" s="530">
        <f>'[3]Mechanical data, limits'!O66</f>
        <v>10</v>
      </c>
      <c r="P66" s="530">
        <f>'[3]Mechanical data, limits'!P66</f>
        <v>0</v>
      </c>
      <c r="Q66" s="530">
        <f>'[3]Mechanical data, limits'!Q66</f>
        <v>0</v>
      </c>
      <c r="R66" s="530">
        <f>'[3]Mechanical data, limits'!R66</f>
        <v>1000</v>
      </c>
      <c r="S66" s="530">
        <f>'[3]Mechanical data, limits'!S66</f>
        <v>12</v>
      </c>
      <c r="T66" s="530">
        <f>'[3]Mechanical data, limits'!T66</f>
        <v>0</v>
      </c>
      <c r="U66" s="530">
        <f>'[3]Mechanical data, limits'!U66</f>
        <v>0</v>
      </c>
      <c r="V66" s="554">
        <f>'[3]Mechanical data, limits'!V66</f>
        <v>0.1</v>
      </c>
      <c r="W66" s="554">
        <f>'[3]Mechanical data, limits'!W66</f>
        <v>0.1</v>
      </c>
      <c r="X66" s="554">
        <f>'[3]Mechanical data, limits'!X66</f>
        <v>9.4E-2</v>
      </c>
      <c r="Y66" s="554">
        <f>'[3]Mechanical data, limits'!Y66</f>
        <v>9.4E-2</v>
      </c>
    </row>
    <row r="67" spans="1:25">
      <c r="A67" s="554">
        <f>'[3]Mechanical data, limits'!A67</f>
        <v>0.08</v>
      </c>
      <c r="B67" s="530">
        <f>'[3]Mechanical data, limits'!B67</f>
        <v>0</v>
      </c>
      <c r="C67" s="554">
        <f>'[3]Mechanical data, limits'!C67</f>
        <v>0.15</v>
      </c>
      <c r="D67" s="530" t="str">
        <f>'[3]Mechanical data, limits'!D67</f>
        <v>blank</v>
      </c>
      <c r="E67" s="555">
        <f>'[3]Mechanical data, limits'!E67</f>
        <v>0.15</v>
      </c>
      <c r="F67" s="554">
        <f>'[3]Mechanical data, limits'!F67</f>
        <v>0.71</v>
      </c>
      <c r="G67" s="530">
        <f>'[3]Mechanical data, limits'!G67</f>
        <v>0</v>
      </c>
      <c r="H67" s="530">
        <f>'[3]Mechanical data, limits'!H67</f>
        <v>1250</v>
      </c>
      <c r="I67" s="530">
        <f>'[3]Mechanical data, limits'!I67</f>
        <v>28</v>
      </c>
      <c r="J67" s="515">
        <f>'[3]Mechanical data, limits'!J67</f>
        <v>0</v>
      </c>
      <c r="K67" s="530">
        <f>'[3]Mechanical data, limits'!K67</f>
        <v>0</v>
      </c>
      <c r="L67" s="530">
        <f>'[3]Mechanical data, limits'!L67</f>
        <v>18</v>
      </c>
      <c r="M67" s="530">
        <f>'[3]Mechanical data, limits'!M67</f>
        <v>10</v>
      </c>
      <c r="N67" s="530">
        <f>'[3]Mechanical data, limits'!N67</f>
        <v>38</v>
      </c>
      <c r="O67" s="530">
        <f>'[3]Mechanical data, limits'!O67</f>
        <v>10</v>
      </c>
      <c r="P67" s="530">
        <f>'[3]Mechanical data, limits'!P67</f>
        <v>0</v>
      </c>
      <c r="Q67" s="530">
        <f>'[3]Mechanical data, limits'!Q67</f>
        <v>0</v>
      </c>
      <c r="R67" s="530">
        <f>'[3]Mechanical data, limits'!R67</f>
        <v>1250</v>
      </c>
      <c r="S67" s="530">
        <f>'[3]Mechanical data, limits'!S67</f>
        <v>13</v>
      </c>
      <c r="T67" s="530">
        <f>'[3]Mechanical data, limits'!T67</f>
        <v>0</v>
      </c>
      <c r="U67" s="530">
        <f>'[3]Mechanical data, limits'!U67</f>
        <v>0</v>
      </c>
      <c r="V67" s="554">
        <f>'[3]Mechanical data, limits'!V67</f>
        <v>0.125</v>
      </c>
      <c r="W67" s="554">
        <f>'[3]Mechanical data, limits'!W67</f>
        <v>0.125</v>
      </c>
      <c r="X67" s="554">
        <f>'[3]Mechanical data, limits'!X67</f>
        <v>0.154</v>
      </c>
      <c r="Y67" s="554">
        <f>'[3]Mechanical data, limits'!Y67</f>
        <v>0.1</v>
      </c>
    </row>
    <row r="68" spans="1:25">
      <c r="A68" s="554">
        <f>'[3]Mechanical data, limits'!A68</f>
        <v>0.09</v>
      </c>
      <c r="B68" s="530">
        <f>'[3]Mechanical data, limits'!B68</f>
        <v>0</v>
      </c>
      <c r="C68" s="554">
        <f>'[3]Mechanical data, limits'!C68</f>
        <v>0.16</v>
      </c>
      <c r="D68" s="530" t="str">
        <f>'[3]Mechanical data, limits'!D68</f>
        <v>blank</v>
      </c>
      <c r="E68" s="555">
        <f>'[3]Mechanical data, limits'!E68</f>
        <v>0.16</v>
      </c>
      <c r="F68" s="554">
        <f>'[3]Mechanical data, limits'!F68</f>
        <v>0.8</v>
      </c>
      <c r="G68" s="530">
        <f>'[3]Mechanical data, limits'!G68</f>
        <v>0</v>
      </c>
      <c r="H68" s="530">
        <f>'[3]Mechanical data, limits'!H68</f>
        <v>1500</v>
      </c>
      <c r="I68" s="530">
        <f>'[3]Mechanical data, limits'!I68</f>
        <v>30</v>
      </c>
      <c r="J68" s="515">
        <f>'[3]Mechanical data, limits'!J68</f>
        <v>2</v>
      </c>
      <c r="K68" s="530">
        <f>'[3]Mechanical data, limits'!K68</f>
        <v>0</v>
      </c>
      <c r="L68" s="530">
        <f>'[3]Mechanical data, limits'!L68</f>
        <v>20</v>
      </c>
      <c r="M68" s="530">
        <f>'[3]Mechanical data, limits'!M68</f>
        <v>10</v>
      </c>
      <c r="N68" s="530">
        <f>'[3]Mechanical data, limits'!N68</f>
        <v>40</v>
      </c>
      <c r="O68" s="530">
        <f>'[3]Mechanical data, limits'!O68</f>
        <v>10</v>
      </c>
      <c r="P68" s="530">
        <f>'[3]Mechanical data, limits'!P68</f>
        <v>0</v>
      </c>
      <c r="Q68" s="530">
        <f>'[3]Mechanical data, limits'!Q68</f>
        <v>0</v>
      </c>
      <c r="R68" s="530">
        <f>'[3]Mechanical data, limits'!R68</f>
        <v>1500</v>
      </c>
      <c r="S68" s="530">
        <f>'[3]Mechanical data, limits'!S68</f>
        <v>14</v>
      </c>
      <c r="T68" s="530">
        <f>'[3]Mechanical data, limits'!T68</f>
        <v>0</v>
      </c>
      <c r="U68" s="530">
        <f>'[3]Mechanical data, limits'!U68</f>
        <v>0</v>
      </c>
      <c r="V68" s="554">
        <f>'[3]Mechanical data, limits'!V68</f>
        <v>0.15</v>
      </c>
      <c r="W68" s="554">
        <f>'[3]Mechanical data, limits'!W68</f>
        <v>0.15</v>
      </c>
      <c r="X68" s="554">
        <f>'[3]Mechanical data, limits'!X68</f>
        <v>0.17</v>
      </c>
      <c r="Y68" s="554">
        <f>'[3]Mechanical data, limits'!Y68</f>
        <v>0.11899999999999999</v>
      </c>
    </row>
    <row r="69" spans="1:25">
      <c r="A69" s="554">
        <f>'[3]Mechanical data, limits'!A69</f>
        <v>0.1</v>
      </c>
      <c r="B69" s="530">
        <f>'[3]Mechanical data, limits'!B69</f>
        <v>0</v>
      </c>
      <c r="C69" s="554">
        <f>'[3]Mechanical data, limits'!C69</f>
        <v>0.17</v>
      </c>
      <c r="D69" s="530" t="str">
        <f>'[3]Mechanical data, limits'!D69</f>
        <v>blank</v>
      </c>
      <c r="E69" s="555">
        <f>'[3]Mechanical data, limits'!E69</f>
        <v>0.17</v>
      </c>
      <c r="F69" s="554">
        <f>'[3]Mechanical data, limits'!F69</f>
        <v>0.9</v>
      </c>
      <c r="G69" s="530">
        <f>'[3]Mechanical data, limits'!G69</f>
        <v>0</v>
      </c>
      <c r="H69" s="530">
        <f>'[3]Mechanical data, limits'!H69</f>
        <v>1750</v>
      </c>
      <c r="I69" s="530">
        <f>'[3]Mechanical data, limits'!I69</f>
        <v>32</v>
      </c>
      <c r="J69" s="515">
        <f>'[3]Mechanical data, limits'!J69</f>
        <v>0</v>
      </c>
      <c r="K69" s="530">
        <f>'[3]Mechanical data, limits'!K69</f>
        <v>0</v>
      </c>
      <c r="L69" s="530">
        <f>'[3]Mechanical data, limits'!L69</f>
        <v>22</v>
      </c>
      <c r="M69" s="530">
        <f>'[3]Mechanical data, limits'!M69</f>
        <v>10</v>
      </c>
      <c r="N69" s="530">
        <f>'[3]Mechanical data, limits'!N69</f>
        <v>42</v>
      </c>
      <c r="O69" s="530">
        <f>'[3]Mechanical data, limits'!O69</f>
        <v>10</v>
      </c>
      <c r="P69" s="530">
        <f>'[3]Mechanical data, limits'!P69</f>
        <v>0</v>
      </c>
      <c r="Q69" s="530">
        <f>'[3]Mechanical data, limits'!Q69</f>
        <v>0</v>
      </c>
      <c r="R69" s="530">
        <f>'[3]Mechanical data, limits'!R69</f>
        <v>1750</v>
      </c>
      <c r="S69" s="530">
        <f>'[3]Mechanical data, limits'!S69</f>
        <v>15</v>
      </c>
      <c r="T69" s="530">
        <f>'[3]Mechanical data, limits'!T69</f>
        <v>0</v>
      </c>
      <c r="U69" s="530">
        <f>'[3]Mechanical data, limits'!U69</f>
        <v>0</v>
      </c>
      <c r="V69" s="554">
        <f>'[3]Mechanical data, limits'!V69</f>
        <v>0.17499999999999999</v>
      </c>
      <c r="W69" s="554">
        <f>'[3]Mechanical data, limits'!W69</f>
        <v>0.17499999999999999</v>
      </c>
      <c r="X69" s="554">
        <f>'[3]Mechanical data, limits'!X69</f>
        <v>0.24</v>
      </c>
      <c r="Y69" s="554">
        <f>'[3]Mechanical data, limits'!Y69</f>
        <v>0.19400000000000001</v>
      </c>
    </row>
    <row r="70" spans="1:25">
      <c r="A70" s="554">
        <f>'[3]Mechanical data, limits'!A70</f>
        <v>0.11</v>
      </c>
      <c r="B70" s="530">
        <f>'[3]Mechanical data, limits'!B70</f>
        <v>0</v>
      </c>
      <c r="C70" s="554">
        <f>'[3]Mechanical data, limits'!C70</f>
        <v>0.18</v>
      </c>
      <c r="D70" s="530" t="str">
        <f>'[3]Mechanical data, limits'!D70</f>
        <v>blank</v>
      </c>
      <c r="E70" s="555">
        <f>'[3]Mechanical data, limits'!E70</f>
        <v>0.18</v>
      </c>
      <c r="F70" s="554">
        <f>'[3]Mechanical data, limits'!F70</f>
        <v>1</v>
      </c>
      <c r="G70" s="530">
        <f>'[3]Mechanical data, limits'!G70</f>
        <v>0</v>
      </c>
      <c r="H70" s="530">
        <f>'[3]Mechanical data, limits'!H70</f>
        <v>2000</v>
      </c>
      <c r="I70" s="530">
        <f>'[3]Mechanical data, limits'!I70</f>
        <v>34</v>
      </c>
      <c r="J70" s="515">
        <f>'[3]Mechanical data, limits'!J70</f>
        <v>0</v>
      </c>
      <c r="K70" s="530">
        <f>'[3]Mechanical data, limits'!K70</f>
        <v>0</v>
      </c>
      <c r="L70" s="530">
        <f>'[3]Mechanical data, limits'!L70</f>
        <v>24</v>
      </c>
      <c r="M70" s="530">
        <f>'[3]Mechanical data, limits'!M70</f>
        <v>10</v>
      </c>
      <c r="N70" s="530">
        <f>'[3]Mechanical data, limits'!N70</f>
        <v>44</v>
      </c>
      <c r="O70" s="530">
        <f>'[3]Mechanical data, limits'!O70</f>
        <v>10</v>
      </c>
      <c r="P70" s="530">
        <f>'[3]Mechanical data, limits'!P70</f>
        <v>0</v>
      </c>
      <c r="Q70" s="530">
        <f>'[3]Mechanical data, limits'!Q70</f>
        <v>0</v>
      </c>
      <c r="R70" s="530">
        <f>'[3]Mechanical data, limits'!R70</f>
        <v>2000</v>
      </c>
      <c r="S70" s="530">
        <f>'[3]Mechanical data, limits'!S70</f>
        <v>16</v>
      </c>
      <c r="T70" s="530">
        <f>'[3]Mechanical data, limits'!T70</f>
        <v>0</v>
      </c>
      <c r="U70" s="530">
        <f>'[3]Mechanical data, limits'!U70</f>
        <v>0</v>
      </c>
      <c r="V70" s="554">
        <f>'[3]Mechanical data, limits'!V70</f>
        <v>0.2</v>
      </c>
      <c r="W70" s="554">
        <f>'[3]Mechanical data, limits'!W70</f>
        <v>0.2</v>
      </c>
      <c r="X70" s="554">
        <f>'[3]Mechanical data, limits'!X70</f>
        <v>0.25</v>
      </c>
      <c r="Y70" s="554">
        <f>'[3]Mechanical data, limits'!Y70</f>
        <v>0.3</v>
      </c>
    </row>
    <row r="71" spans="1:25">
      <c r="A71" s="554">
        <f>'[3]Mechanical data, limits'!A71</f>
        <v>0.12</v>
      </c>
      <c r="B71" s="530">
        <f>'[3]Mechanical data, limits'!B71</f>
        <v>0</v>
      </c>
      <c r="C71" s="554">
        <f>'[3]Mechanical data, limits'!C71</f>
        <v>0.19</v>
      </c>
      <c r="D71" s="530" t="str">
        <f>'[3]Mechanical data, limits'!D71</f>
        <v>blank</v>
      </c>
      <c r="E71" s="555">
        <f>'[3]Mechanical data, limits'!E71</f>
        <v>0.19</v>
      </c>
      <c r="F71" s="554">
        <f>'[3]Mechanical data, limits'!F71</f>
        <v>1.1200000000000001</v>
      </c>
      <c r="G71" s="530">
        <f>'[3]Mechanical data, limits'!G71</f>
        <v>0</v>
      </c>
      <c r="H71" s="530">
        <f>'[3]Mechanical data, limits'!H71</f>
        <v>2250</v>
      </c>
      <c r="I71" s="530">
        <f>'[3]Mechanical data, limits'!I71</f>
        <v>36</v>
      </c>
      <c r="J71" s="515">
        <f>'[3]Mechanical data, limits'!J71</f>
        <v>2</v>
      </c>
      <c r="K71" s="530">
        <f>'[3]Mechanical data, limits'!K71</f>
        <v>0</v>
      </c>
      <c r="L71" s="530">
        <f>'[3]Mechanical data, limits'!L71</f>
        <v>26</v>
      </c>
      <c r="M71" s="530">
        <f>'[3]Mechanical data, limits'!M71</f>
        <v>10</v>
      </c>
      <c r="N71" s="530">
        <f>'[3]Mechanical data, limits'!N71</f>
        <v>46</v>
      </c>
      <c r="O71" s="530">
        <f>'[3]Mechanical data, limits'!O71</f>
        <v>10</v>
      </c>
      <c r="P71" s="530">
        <f>'[3]Mechanical data, limits'!P71</f>
        <v>0</v>
      </c>
      <c r="Q71" s="530">
        <f>'[3]Mechanical data, limits'!Q71</f>
        <v>0</v>
      </c>
      <c r="R71" s="530">
        <f>'[3]Mechanical data, limits'!R71</f>
        <v>2250</v>
      </c>
      <c r="S71" s="530">
        <f>'[3]Mechanical data, limits'!S71</f>
        <v>17</v>
      </c>
      <c r="T71" s="530">
        <f>'[3]Mechanical data, limits'!T71</f>
        <v>0</v>
      </c>
      <c r="U71" s="530">
        <f>'[3]Mechanical data, limits'!U71</f>
        <v>0</v>
      </c>
      <c r="V71" s="554">
        <f>'[3]Mechanical data, limits'!V71</f>
        <v>0.22500000000000001</v>
      </c>
      <c r="W71" s="554">
        <f>'[3]Mechanical data, limits'!W71</f>
        <v>0.22500000000000001</v>
      </c>
      <c r="X71" s="554">
        <f>'[3]Mechanical data, limits'!X71</f>
        <v>0.315</v>
      </c>
      <c r="Y71" s="554">
        <f>'[3]Mechanical data, limits'!Y71</f>
        <v>0.4</v>
      </c>
    </row>
    <row r="72" spans="1:25">
      <c r="A72" s="554">
        <f>'[3]Mechanical data, limits'!A72</f>
        <v>0.13</v>
      </c>
      <c r="B72" s="530">
        <f>'[3]Mechanical data, limits'!B72</f>
        <v>0</v>
      </c>
      <c r="C72" s="554">
        <f>'[3]Mechanical data, limits'!C72</f>
        <v>0.20499999999999999</v>
      </c>
      <c r="D72" s="530" t="str">
        <f>'[3]Mechanical data, limits'!D72</f>
        <v>blank</v>
      </c>
      <c r="E72" s="555">
        <f>'[3]Mechanical data, limits'!E72</f>
        <v>0.20499999999999999</v>
      </c>
      <c r="F72" s="554">
        <f>'[3]Mechanical data, limits'!F72</f>
        <v>1.25</v>
      </c>
      <c r="G72" s="530">
        <f>'[3]Mechanical data, limits'!G72</f>
        <v>0</v>
      </c>
      <c r="H72" s="530">
        <f>'[3]Mechanical data, limits'!H72</f>
        <v>2500</v>
      </c>
      <c r="I72" s="530">
        <f>'[3]Mechanical data, limits'!I72</f>
        <v>38</v>
      </c>
      <c r="J72" s="515">
        <f>'[3]Mechanical data, limits'!J72</f>
        <v>0</v>
      </c>
      <c r="K72" s="530">
        <f>'[3]Mechanical data, limits'!K72</f>
        <v>0</v>
      </c>
      <c r="L72" s="530">
        <f>'[3]Mechanical data, limits'!L72</f>
        <v>28</v>
      </c>
      <c r="M72" s="530">
        <f>'[3]Mechanical data, limits'!M72</f>
        <v>10</v>
      </c>
      <c r="N72" s="530">
        <f>'[3]Mechanical data, limits'!N72</f>
        <v>48</v>
      </c>
      <c r="O72" s="530">
        <f>'[3]Mechanical data, limits'!O72</f>
        <v>10</v>
      </c>
      <c r="P72" s="530">
        <f>'[3]Mechanical data, limits'!P72</f>
        <v>0</v>
      </c>
      <c r="Q72" s="530">
        <f>'[3]Mechanical data, limits'!Q72</f>
        <v>0</v>
      </c>
      <c r="R72" s="530">
        <f>'[3]Mechanical data, limits'!R72</f>
        <v>2500</v>
      </c>
      <c r="S72" s="530">
        <f>'[3]Mechanical data, limits'!S72</f>
        <v>18</v>
      </c>
      <c r="T72" s="530">
        <f>'[3]Mechanical data, limits'!T72</f>
        <v>0</v>
      </c>
      <c r="U72" s="530">
        <f>'[3]Mechanical data, limits'!U72</f>
        <v>0</v>
      </c>
      <c r="V72" s="554">
        <f>'[3]Mechanical data, limits'!V72</f>
        <v>0.25</v>
      </c>
      <c r="W72" s="554">
        <f>'[3]Mechanical data, limits'!W72</f>
        <v>0.25</v>
      </c>
      <c r="X72" s="554">
        <f>'[3]Mechanical data, limits'!X72</f>
        <v>0.35</v>
      </c>
      <c r="Y72" s="554">
        <f>'[3]Mechanical data, limits'!Y72</f>
        <v>0.45</v>
      </c>
    </row>
    <row r="73" spans="1:25">
      <c r="A73" s="554">
        <f>'[3]Mechanical data, limits'!A73</f>
        <v>0.14499999999999999</v>
      </c>
      <c r="B73" s="530">
        <f>'[3]Mechanical data, limits'!B73</f>
        <v>0</v>
      </c>
      <c r="C73" s="554">
        <f>'[3]Mechanical data, limits'!C73</f>
        <v>0.22500000000000001</v>
      </c>
      <c r="D73" s="530" t="str">
        <f>'[3]Mechanical data, limits'!D73</f>
        <v>blank</v>
      </c>
      <c r="E73" s="555">
        <f>'[3]Mechanical data, limits'!E73</f>
        <v>0.22500000000000001</v>
      </c>
      <c r="F73" s="554">
        <f>'[3]Mechanical data, limits'!F73</f>
        <v>1.4</v>
      </c>
      <c r="G73" s="530">
        <f>'[3]Mechanical data, limits'!G73</f>
        <v>0</v>
      </c>
      <c r="H73" s="530">
        <f>'[3]Mechanical data, limits'!H73</f>
        <v>2750</v>
      </c>
      <c r="I73" s="530">
        <f>'[3]Mechanical data, limits'!I73</f>
        <v>40</v>
      </c>
      <c r="J73" s="515">
        <f>'[3]Mechanical data, limits'!J73</f>
        <v>0</v>
      </c>
      <c r="K73" s="530">
        <f>'[3]Mechanical data, limits'!K73</f>
        <v>0</v>
      </c>
      <c r="L73" s="530">
        <f>'[3]Mechanical data, limits'!L73</f>
        <v>30</v>
      </c>
      <c r="M73" s="530">
        <f>'[3]Mechanical data, limits'!M73</f>
        <v>10</v>
      </c>
      <c r="N73" s="530">
        <f>'[3]Mechanical data, limits'!N73</f>
        <v>50</v>
      </c>
      <c r="O73" s="530">
        <f>'[3]Mechanical data, limits'!O73</f>
        <v>10</v>
      </c>
      <c r="P73" s="530">
        <f>'[3]Mechanical data, limits'!P73</f>
        <v>0</v>
      </c>
      <c r="Q73" s="530">
        <f>'[3]Mechanical data, limits'!Q73</f>
        <v>0</v>
      </c>
      <c r="R73" s="530">
        <f>'[3]Mechanical data, limits'!R73</f>
        <v>2750</v>
      </c>
      <c r="S73" s="530">
        <f>'[3]Mechanical data, limits'!S73</f>
        <v>19</v>
      </c>
      <c r="T73" s="530">
        <f>'[3]Mechanical data, limits'!T73</f>
        <v>0</v>
      </c>
      <c r="U73" s="530">
        <f>'[3]Mechanical data, limits'!U73</f>
        <v>0</v>
      </c>
      <c r="V73" s="554">
        <f>'[3]Mechanical data, limits'!V73</f>
        <v>0.27500000000000002</v>
      </c>
      <c r="W73" s="554">
        <f>'[3]Mechanical data, limits'!W73</f>
        <v>0.27500000000000002</v>
      </c>
      <c r="X73" s="554">
        <f>'[3]Mechanical data, limits'!X73</f>
        <v>0.4</v>
      </c>
      <c r="Y73" s="554">
        <f>'[3]Mechanical data, limits'!Y73</f>
        <v>0.5</v>
      </c>
    </row>
    <row r="74" spans="1:25">
      <c r="A74" s="554">
        <f>'[3]Mechanical data, limits'!A74</f>
        <v>0.16</v>
      </c>
      <c r="B74" s="530">
        <f>'[3]Mechanical data, limits'!B74</f>
        <v>0</v>
      </c>
      <c r="C74" s="554">
        <f>'[3]Mechanical data, limits'!C74</f>
        <v>0.25</v>
      </c>
      <c r="D74" s="530" t="str">
        <f>'[3]Mechanical data, limits'!D74</f>
        <v>blank</v>
      </c>
      <c r="E74" s="555">
        <f>'[3]Mechanical data, limits'!E74</f>
        <v>0.25</v>
      </c>
      <c r="F74" s="554">
        <f>'[3]Mechanical data, limits'!F74</f>
        <v>1.6</v>
      </c>
      <c r="G74" s="530">
        <f>'[3]Mechanical data, limits'!G74</f>
        <v>0</v>
      </c>
      <c r="H74" s="530">
        <f>'[3]Mechanical data, limits'!H74</f>
        <v>3000</v>
      </c>
      <c r="I74" s="530">
        <f>'[3]Mechanical data, limits'!I74</f>
        <v>41</v>
      </c>
      <c r="J74" s="515">
        <f>'[3]Mechanical data, limits'!J74</f>
        <v>1</v>
      </c>
      <c r="K74" s="530">
        <f>'[3]Mechanical data, limits'!K74</f>
        <v>0</v>
      </c>
      <c r="L74" s="530">
        <f>'[3]Mechanical data, limits'!L74</f>
        <v>31</v>
      </c>
      <c r="M74" s="530">
        <f>'[3]Mechanical data, limits'!M74</f>
        <v>10</v>
      </c>
      <c r="N74" s="530">
        <f>'[3]Mechanical data, limits'!N74</f>
        <v>51</v>
      </c>
      <c r="O74" s="530">
        <f>'[3]Mechanical data, limits'!O74</f>
        <v>10</v>
      </c>
      <c r="P74" s="530">
        <f>'[3]Mechanical data, limits'!P74</f>
        <v>0</v>
      </c>
      <c r="Q74" s="530">
        <f>'[3]Mechanical data, limits'!Q74</f>
        <v>0</v>
      </c>
      <c r="R74" s="530">
        <f>'[3]Mechanical data, limits'!R74</f>
        <v>3000</v>
      </c>
      <c r="S74" s="530">
        <f>'[3]Mechanical data, limits'!S74</f>
        <v>20</v>
      </c>
      <c r="T74" s="530">
        <f>'[3]Mechanical data, limits'!T74</f>
        <v>0</v>
      </c>
      <c r="U74" s="530">
        <f>'[3]Mechanical data, limits'!U74</f>
        <v>0</v>
      </c>
      <c r="V74" s="554">
        <f>'[3]Mechanical data, limits'!V74</f>
        <v>0.3</v>
      </c>
      <c r="W74" s="554">
        <f>'[3]Mechanical data, limits'!W74</f>
        <v>0.3</v>
      </c>
      <c r="X74" s="554">
        <f>'[3]Mechanical data, limits'!X74</f>
        <v>0.42499999999999999</v>
      </c>
      <c r="Y74" s="554">
        <f>'[3]Mechanical data, limits'!Y74</f>
        <v>0.55000000000000004</v>
      </c>
    </row>
    <row r="75" spans="1:25">
      <c r="A75" s="554">
        <f>'[3]Mechanical data, limits'!A75</f>
        <v>0.17500000000000002</v>
      </c>
      <c r="B75" s="530">
        <f>'[3]Mechanical data, limits'!B75</f>
        <v>0</v>
      </c>
      <c r="C75" s="554">
        <f>'[3]Mechanical data, limits'!C75</f>
        <v>0.28000000000000003</v>
      </c>
      <c r="D75" s="530" t="str">
        <f>'[3]Mechanical data, limits'!D75</f>
        <v>blank</v>
      </c>
      <c r="E75" s="555">
        <f>'[3]Mechanical data, limits'!E75</f>
        <v>0.27500000000000002</v>
      </c>
      <c r="F75" s="557">
        <f>'[3]Mechanical data, limits'!F75</f>
        <v>1.8</v>
      </c>
      <c r="G75" s="530">
        <f>'[3]Mechanical data, limits'!G75</f>
        <v>0</v>
      </c>
      <c r="H75" s="530">
        <f>'[3]Mechanical data, limits'!H75</f>
        <v>3250</v>
      </c>
      <c r="I75" s="530">
        <f>'[3]Mechanical data, limits'!I75</f>
        <v>42</v>
      </c>
      <c r="J75" s="515">
        <f>'[3]Mechanical data, limits'!J75</f>
        <v>0</v>
      </c>
      <c r="K75" s="530">
        <f>'[3]Mechanical data, limits'!K75</f>
        <v>0</v>
      </c>
      <c r="L75" s="530">
        <f>'[3]Mechanical data, limits'!L75</f>
        <v>32</v>
      </c>
      <c r="M75" s="530">
        <f>'[3]Mechanical data, limits'!M75</f>
        <v>10</v>
      </c>
      <c r="N75" s="530">
        <f>'[3]Mechanical data, limits'!N75</f>
        <v>52</v>
      </c>
      <c r="O75" s="530">
        <f>'[3]Mechanical data, limits'!O75</f>
        <v>10</v>
      </c>
      <c r="P75" s="530">
        <f>'[3]Mechanical data, limits'!P75</f>
        <v>0</v>
      </c>
      <c r="Q75" s="530">
        <f>'[3]Mechanical data, limits'!Q75</f>
        <v>0</v>
      </c>
      <c r="R75" s="530">
        <f>'[3]Mechanical data, limits'!R75</f>
        <v>3250</v>
      </c>
      <c r="S75" s="530">
        <f>'[3]Mechanical data, limits'!S75</f>
        <v>21</v>
      </c>
      <c r="T75" s="530">
        <f>'[3]Mechanical data, limits'!T75</f>
        <v>0</v>
      </c>
      <c r="U75" s="530">
        <f>'[3]Mechanical data, limits'!U75</f>
        <v>0</v>
      </c>
      <c r="V75" s="554">
        <f>'[3]Mechanical data, limits'!V75</f>
        <v>0.32500000000000001</v>
      </c>
      <c r="W75" s="554">
        <f>'[3]Mechanical data, limits'!W75</f>
        <v>0.32500000000000001</v>
      </c>
      <c r="X75" s="554">
        <f>'[3]Mechanical data, limits'!X75</f>
        <v>0.45</v>
      </c>
      <c r="Y75" s="554">
        <f>'[3]Mechanical data, limits'!Y75</f>
        <v>0.6</v>
      </c>
    </row>
    <row r="76" spans="1:25">
      <c r="A76" s="554">
        <f>'[3]Mechanical data, limits'!A76</f>
        <v>0.19500000000000001</v>
      </c>
      <c r="B76" s="530">
        <f>'[3]Mechanical data, limits'!B76</f>
        <v>0</v>
      </c>
      <c r="C76" s="554">
        <f>'[3]Mechanical data, limits'!C76</f>
        <v>0.315</v>
      </c>
      <c r="D76" s="530" t="str">
        <f>'[3]Mechanical data, limits'!D76</f>
        <v>b154</v>
      </c>
      <c r="E76" s="555">
        <f>'[3]Mechanical data, limits'!E76</f>
        <v>0.3</v>
      </c>
      <c r="F76" s="554">
        <f>'[3]Mechanical data, limits'!F76</f>
        <v>0</v>
      </c>
      <c r="G76" s="530">
        <f>'[3]Mechanical data, limits'!G76</f>
        <v>0</v>
      </c>
      <c r="H76" s="530">
        <f>'[3]Mechanical data, limits'!H76</f>
        <v>3500</v>
      </c>
      <c r="I76" s="530">
        <f>'[3]Mechanical data, limits'!I76</f>
        <v>43</v>
      </c>
      <c r="J76" s="515">
        <f>'[3]Mechanical data, limits'!J76</f>
        <v>0</v>
      </c>
      <c r="K76" s="530">
        <f>'[3]Mechanical data, limits'!K76</f>
        <v>0</v>
      </c>
      <c r="L76" s="530">
        <f>'[3]Mechanical data, limits'!L76</f>
        <v>33</v>
      </c>
      <c r="M76" s="530">
        <f>'[3]Mechanical data, limits'!M76</f>
        <v>10</v>
      </c>
      <c r="N76" s="530">
        <f>'[3]Mechanical data, limits'!N76</f>
        <v>53</v>
      </c>
      <c r="O76" s="530">
        <f>'[3]Mechanical data, limits'!O76</f>
        <v>10</v>
      </c>
      <c r="P76" s="530">
        <f>'[3]Mechanical data, limits'!P76</f>
        <v>0</v>
      </c>
      <c r="Q76" s="530">
        <f>'[3]Mechanical data, limits'!Q76</f>
        <v>0</v>
      </c>
      <c r="R76" s="530">
        <f>'[3]Mechanical data, limits'!R76</f>
        <v>3500</v>
      </c>
      <c r="S76" s="530">
        <f>'[3]Mechanical data, limits'!S76</f>
        <v>22</v>
      </c>
      <c r="T76" s="530">
        <f>'[3]Mechanical data, limits'!T76</f>
        <v>0</v>
      </c>
      <c r="U76" s="530">
        <f>'[3]Mechanical data, limits'!U76</f>
        <v>0</v>
      </c>
      <c r="V76" s="554">
        <f>'[3]Mechanical data, limits'!V76</f>
        <v>0.35</v>
      </c>
      <c r="W76" s="554">
        <f>'[3]Mechanical data, limits'!W76</f>
        <v>0.35</v>
      </c>
      <c r="X76" s="554">
        <f>'[3]Mechanical data, limits'!X76</f>
        <v>0.47499999999999998</v>
      </c>
      <c r="Y76" s="554">
        <f>'[3]Mechanical data, limits'!Y76</f>
        <v>0.74</v>
      </c>
    </row>
    <row r="77" spans="1:25">
      <c r="A77" s="554">
        <f>'[3]Mechanical data, limits'!A77</f>
        <v>0.215</v>
      </c>
      <c r="B77" s="530">
        <f>'[3]Mechanical data, limits'!B77</f>
        <v>0</v>
      </c>
      <c r="C77" s="554">
        <f>'[3]Mechanical data, limits'!C77</f>
        <v>0.35499999999999998</v>
      </c>
      <c r="D77" s="530" t="str">
        <f>'[3]Mechanical data, limits'!D77</f>
        <v>b155</v>
      </c>
      <c r="E77" s="554">
        <f>'[3]Mechanical data, limits'!E77</f>
        <v>0.35</v>
      </c>
      <c r="F77" s="554">
        <f>'[3]Mechanical data, limits'!F77</f>
        <v>0</v>
      </c>
      <c r="G77" s="530">
        <f>'[3]Mechanical data, limits'!G77</f>
        <v>0</v>
      </c>
      <c r="H77" s="530">
        <f>'[3]Mechanical data, limits'!H77</f>
        <v>3750</v>
      </c>
      <c r="I77" s="530">
        <f>'[3]Mechanical data, limits'!I77</f>
        <v>44</v>
      </c>
      <c r="J77" s="515">
        <f>'[3]Mechanical data, limits'!J77</f>
        <v>1</v>
      </c>
      <c r="K77" s="530">
        <f>'[3]Mechanical data, limits'!K77</f>
        <v>0</v>
      </c>
      <c r="L77" s="530">
        <f>'[3]Mechanical data, limits'!L77</f>
        <v>34</v>
      </c>
      <c r="M77" s="530">
        <f>'[3]Mechanical data, limits'!M77</f>
        <v>10</v>
      </c>
      <c r="N77" s="530">
        <f>'[3]Mechanical data, limits'!N77</f>
        <v>54</v>
      </c>
      <c r="O77" s="530">
        <f>'[3]Mechanical data, limits'!O77</f>
        <v>10</v>
      </c>
      <c r="P77" s="530">
        <f>'[3]Mechanical data, limits'!P77</f>
        <v>0</v>
      </c>
      <c r="Q77" s="530">
        <f>'[3]Mechanical data, limits'!Q77</f>
        <v>0</v>
      </c>
      <c r="R77" s="530">
        <f>'[3]Mechanical data, limits'!R77</f>
        <v>3750</v>
      </c>
      <c r="S77" s="530">
        <f>'[3]Mechanical data, limits'!S77</f>
        <v>23</v>
      </c>
      <c r="T77" s="530">
        <f>'[3]Mechanical data, limits'!T77</f>
        <v>0</v>
      </c>
      <c r="U77" s="530">
        <f>'[3]Mechanical data, limits'!U77</f>
        <v>0</v>
      </c>
      <c r="V77" s="554">
        <f>'[3]Mechanical data, limits'!V77</f>
        <v>0.375</v>
      </c>
      <c r="W77" s="554">
        <f>'[3]Mechanical data, limits'!W77</f>
        <v>0.375</v>
      </c>
      <c r="X77" s="554">
        <f>'[3]Mechanical data, limits'!X77</f>
        <v>0.5</v>
      </c>
      <c r="Y77" s="554">
        <f>'[3]Mechanical data, limits'!Y77</f>
        <v>0.85</v>
      </c>
    </row>
    <row r="78" spans="1:25">
      <c r="A78" s="554">
        <f>'[3]Mechanical data, limits'!A78</f>
        <v>0.23500000000000001</v>
      </c>
      <c r="B78" s="530">
        <f>'[3]Mechanical data, limits'!B78</f>
        <v>0</v>
      </c>
      <c r="C78" s="554">
        <f>'[3]Mechanical data, limits'!C78</f>
        <v>0.4</v>
      </c>
      <c r="D78" s="530" t="str">
        <f>'[3]Mechanical data, limits'!D78</f>
        <v>b122</v>
      </c>
      <c r="E78" s="554">
        <f>'[3]Mechanical data, limits'!E78</f>
        <v>0.4</v>
      </c>
      <c r="F78" s="555">
        <f>'[3]Mechanical data, limits'!F78</f>
        <v>0</v>
      </c>
      <c r="G78" s="530">
        <f>'[3]Mechanical data, limits'!G78</f>
        <v>0</v>
      </c>
      <c r="H78" s="530">
        <f>'[3]Mechanical data, limits'!H78</f>
        <v>4000</v>
      </c>
      <c r="I78" s="530">
        <f>'[3]Mechanical data, limits'!I78</f>
        <v>45</v>
      </c>
      <c r="J78" s="515">
        <f>'[3]Mechanical data, limits'!J78</f>
        <v>0</v>
      </c>
      <c r="K78" s="530">
        <f>'[3]Mechanical data, limits'!K78</f>
        <v>0</v>
      </c>
      <c r="L78" s="530">
        <f>'[3]Mechanical data, limits'!L78</f>
        <v>35</v>
      </c>
      <c r="M78" s="530">
        <f>'[3]Mechanical data, limits'!M78</f>
        <v>10</v>
      </c>
      <c r="N78" s="530">
        <f>'[3]Mechanical data, limits'!N78</f>
        <v>55</v>
      </c>
      <c r="O78" s="530">
        <f>'[3]Mechanical data, limits'!O78</f>
        <v>10</v>
      </c>
      <c r="P78" s="530">
        <f>'[3]Mechanical data, limits'!P78</f>
        <v>0</v>
      </c>
      <c r="Q78" s="530">
        <f>'[3]Mechanical data, limits'!Q78</f>
        <v>0</v>
      </c>
      <c r="R78" s="530">
        <f>'[3]Mechanical data, limits'!R78</f>
        <v>4000</v>
      </c>
      <c r="S78" s="530">
        <f>'[3]Mechanical data, limits'!S78</f>
        <v>24</v>
      </c>
      <c r="T78" s="530">
        <f>'[3]Mechanical data, limits'!T78</f>
        <v>0</v>
      </c>
      <c r="U78" s="530">
        <f>'[3]Mechanical data, limits'!U78</f>
        <v>0</v>
      </c>
      <c r="V78" s="554">
        <f>'[3]Mechanical data, limits'!V78</f>
        <v>0.4</v>
      </c>
      <c r="W78" s="554">
        <f>'[3]Mechanical data, limits'!W78</f>
        <v>0.4</v>
      </c>
      <c r="X78" s="554">
        <f>'[3]Mechanical data, limits'!X78</f>
        <v>0.52500000000000002</v>
      </c>
      <c r="Y78" s="554">
        <f>'[3]Mechanical data, limits'!Y78</f>
        <v>1</v>
      </c>
    </row>
    <row r="79" spans="1:25">
      <c r="A79" s="554">
        <f>'[3]Mechanical data, limits'!A79</f>
        <v>0.26</v>
      </c>
      <c r="B79" s="530">
        <f>'[3]Mechanical data, limits'!B79</f>
        <v>0</v>
      </c>
      <c r="C79" s="554">
        <f>'[3]Mechanical data, limits'!C79</f>
        <v>0.45</v>
      </c>
      <c r="D79" s="530" t="str">
        <f>'[3]Mechanical data, limits'!D79</f>
        <v>b121</v>
      </c>
      <c r="E79" s="554">
        <f>'[3]Mechanical data, limits'!E79</f>
        <v>0.45</v>
      </c>
      <c r="F79" s="554">
        <f>'[3]Mechanical data, limits'!F79</f>
        <v>0</v>
      </c>
      <c r="G79" s="530">
        <f>'[3]Mechanical data, limits'!G79</f>
        <v>0</v>
      </c>
      <c r="H79" s="530">
        <f>'[3]Mechanical data, limits'!H79</f>
        <v>4250</v>
      </c>
      <c r="I79" s="530">
        <f>'[3]Mechanical data, limits'!I79</f>
        <v>46</v>
      </c>
      <c r="J79" s="515">
        <f>'[3]Mechanical data, limits'!J79</f>
        <v>0</v>
      </c>
      <c r="K79" s="530">
        <f>'[3]Mechanical data, limits'!K79</f>
        <v>0</v>
      </c>
      <c r="L79" s="530">
        <f>'[3]Mechanical data, limits'!L79</f>
        <v>36</v>
      </c>
      <c r="M79" s="530">
        <f>'[3]Mechanical data, limits'!M79</f>
        <v>10</v>
      </c>
      <c r="N79" s="530">
        <f>'[3]Mechanical data, limits'!N79</f>
        <v>56</v>
      </c>
      <c r="O79" s="530">
        <f>'[3]Mechanical data, limits'!O79</f>
        <v>10</v>
      </c>
      <c r="P79" s="530">
        <f>'[3]Mechanical data, limits'!P79</f>
        <v>0</v>
      </c>
      <c r="Q79" s="530">
        <f>'[3]Mechanical data, limits'!Q79</f>
        <v>0</v>
      </c>
      <c r="R79" s="530">
        <f>'[3]Mechanical data, limits'!R79</f>
        <v>4250</v>
      </c>
      <c r="S79" s="530">
        <f>'[3]Mechanical data, limits'!S79</f>
        <v>25</v>
      </c>
      <c r="T79" s="530">
        <f>'[3]Mechanical data, limits'!T79</f>
        <v>0</v>
      </c>
      <c r="U79" s="530">
        <f>'[3]Mechanical data, limits'!U79</f>
        <v>0</v>
      </c>
      <c r="V79" s="554">
        <f>'[3]Mechanical data, limits'!V79</f>
        <v>0.42499999999999999</v>
      </c>
      <c r="W79" s="554">
        <f>'[3]Mechanical data, limits'!W79</f>
        <v>0.42499999999999999</v>
      </c>
      <c r="X79" s="554">
        <f>'[3]Mechanical data, limits'!X79</f>
        <v>0.55000000000000004</v>
      </c>
      <c r="Y79" s="554">
        <f>'[3]Mechanical data, limits'!Y79</f>
        <v>0</v>
      </c>
    </row>
    <row r="80" spans="1:25">
      <c r="A80" s="554">
        <f>'[3]Mechanical data, limits'!A80</f>
        <v>0.28500000000000003</v>
      </c>
      <c r="B80" s="530">
        <f>'[3]Mechanical data, limits'!B80</f>
        <v>0</v>
      </c>
      <c r="C80" s="554">
        <f>'[3]Mechanical data, limits'!C80</f>
        <v>0.5</v>
      </c>
      <c r="D80" s="530" t="str">
        <f>'[3]Mechanical data, limits'!D80</f>
        <v>blank</v>
      </c>
      <c r="E80" s="554">
        <f>'[3]Mechanical data, limits'!E80</f>
        <v>0.5</v>
      </c>
      <c r="F80" s="555">
        <f>'[3]Mechanical data, limits'!F80</f>
        <v>0</v>
      </c>
      <c r="G80" s="530">
        <f>'[3]Mechanical data, limits'!G80</f>
        <v>0</v>
      </c>
      <c r="H80" s="530">
        <f>'[3]Mechanical data, limits'!H80</f>
        <v>4500</v>
      </c>
      <c r="I80" s="530">
        <f>'[3]Mechanical data, limits'!I80</f>
        <v>47</v>
      </c>
      <c r="J80" s="515">
        <f>'[3]Mechanical data, limits'!J80</f>
        <v>0</v>
      </c>
      <c r="K80" s="530">
        <f>'[3]Mechanical data, limits'!K80</f>
        <v>0</v>
      </c>
      <c r="L80" s="530">
        <f>'[3]Mechanical data, limits'!L80</f>
        <v>37</v>
      </c>
      <c r="M80" s="530">
        <f>'[3]Mechanical data, limits'!M80</f>
        <v>10</v>
      </c>
      <c r="N80" s="530">
        <f>'[3]Mechanical data, limits'!N80</f>
        <v>57</v>
      </c>
      <c r="O80" s="530">
        <f>'[3]Mechanical data, limits'!O80</f>
        <v>10</v>
      </c>
      <c r="P80" s="530">
        <f>'[3]Mechanical data, limits'!P80</f>
        <v>0</v>
      </c>
      <c r="Q80" s="530">
        <f>'[3]Mechanical data, limits'!Q80</f>
        <v>0</v>
      </c>
      <c r="R80" s="530">
        <f>'[3]Mechanical data, limits'!R80</f>
        <v>4500</v>
      </c>
      <c r="S80" s="530">
        <f>'[3]Mechanical data, limits'!S80</f>
        <v>26</v>
      </c>
      <c r="T80" s="530">
        <f>'[3]Mechanical data, limits'!T80</f>
        <v>0</v>
      </c>
      <c r="U80" s="530">
        <f>'[3]Mechanical data, limits'!U80</f>
        <v>0</v>
      </c>
      <c r="V80" s="554">
        <f>'[3]Mechanical data, limits'!V80</f>
        <v>0.45</v>
      </c>
      <c r="W80" s="554">
        <f>'[3]Mechanical data, limits'!W80</f>
        <v>0.45</v>
      </c>
      <c r="X80" s="554">
        <f>'[3]Mechanical data, limits'!X80</f>
        <v>0.57499999999999996</v>
      </c>
      <c r="Y80" s="554">
        <f>'[3]Mechanical data, limits'!Y80</f>
        <v>0</v>
      </c>
    </row>
    <row r="81" spans="1:25">
      <c r="A81" s="554">
        <f>'[3]Mechanical data, limits'!A81</f>
        <v>0.315</v>
      </c>
      <c r="B81" s="530">
        <f>'[3]Mechanical data, limits'!B81</f>
        <v>0</v>
      </c>
      <c r="C81" s="554">
        <f>'[3]Mechanical data, limits'!C81</f>
        <v>0.56000000000000005</v>
      </c>
      <c r="D81" s="530" t="str">
        <f>'[3]Mechanical data, limits'!D81</f>
        <v>b96</v>
      </c>
      <c r="E81" s="555">
        <f>'[3]Mechanical data, limits'!E81</f>
        <v>0.55000000000000004</v>
      </c>
      <c r="F81" s="554">
        <f>'[3]Mechanical data, limits'!F81</f>
        <v>0</v>
      </c>
      <c r="G81" s="530">
        <f>'[3]Mechanical data, limits'!G81</f>
        <v>0</v>
      </c>
      <c r="H81" s="530">
        <f>'[3]Mechanical data, limits'!H81</f>
        <v>0</v>
      </c>
      <c r="I81" s="530">
        <f>'[3]Mechanical data, limits'!I81</f>
        <v>0</v>
      </c>
      <c r="J81" s="530">
        <f>'[3]Mechanical data, limits'!J81</f>
        <v>0</v>
      </c>
      <c r="K81" s="530">
        <f>'[3]Mechanical data, limits'!K81</f>
        <v>0</v>
      </c>
      <c r="L81" s="530">
        <f>'[3]Mechanical data, limits'!L81</f>
        <v>0</v>
      </c>
      <c r="M81" s="530">
        <f>'[3]Mechanical data, limits'!M81</f>
        <v>0</v>
      </c>
      <c r="N81" s="530">
        <f>'[3]Mechanical data, limits'!N81</f>
        <v>0</v>
      </c>
      <c r="O81" s="530">
        <f>'[3]Mechanical data, limits'!O81</f>
        <v>0</v>
      </c>
      <c r="P81" s="530">
        <f>'[3]Mechanical data, limits'!P81</f>
        <v>0</v>
      </c>
      <c r="Q81" s="530">
        <f>'[3]Mechanical data, limits'!Q81</f>
        <v>0</v>
      </c>
      <c r="R81" s="530">
        <f>'[3]Mechanical data, limits'!R81</f>
        <v>0</v>
      </c>
      <c r="S81" s="530">
        <f>'[3]Mechanical data, limits'!S81</f>
        <v>0</v>
      </c>
      <c r="T81" s="530">
        <f>'[3]Mechanical data, limits'!T81</f>
        <v>0</v>
      </c>
      <c r="U81" s="530">
        <f>'[3]Mechanical data, limits'!U81</f>
        <v>0</v>
      </c>
      <c r="V81" s="554">
        <f>'[3]Mechanical data, limits'!V81</f>
        <v>0.47499999999999998</v>
      </c>
      <c r="W81" s="554">
        <f>'[3]Mechanical data, limits'!W81</f>
        <v>0.47499999999999998</v>
      </c>
      <c r="X81" s="554">
        <f>'[3]Mechanical data, limits'!X81</f>
        <v>0.6</v>
      </c>
      <c r="Y81" s="554">
        <f>'[3]Mechanical data, limits'!Y81</f>
        <v>0</v>
      </c>
    </row>
    <row r="82" spans="1:25">
      <c r="A82" s="554">
        <f>'[3]Mechanical data, limits'!A82</f>
        <v>0.34500000000000003</v>
      </c>
      <c r="B82" s="530">
        <f>'[3]Mechanical data, limits'!B82</f>
        <v>0</v>
      </c>
      <c r="C82" s="554">
        <f>'[3]Mechanical data, limits'!C82</f>
        <v>0.63</v>
      </c>
      <c r="D82" s="530" t="str">
        <f>'[3]Mechanical data, limits'!D82</f>
        <v>b76</v>
      </c>
      <c r="E82" s="555">
        <f>'[3]Mechanical data, limits'!E82</f>
        <v>0.6</v>
      </c>
      <c r="F82" s="555">
        <f>'[3]Mechanical data, limits'!F82</f>
        <v>0</v>
      </c>
      <c r="G82" s="530">
        <f>'[3]Mechanical data, limits'!G82</f>
        <v>0</v>
      </c>
      <c r="H82" s="530">
        <f>'[3]Mechanical data, limits'!H82</f>
        <v>0</v>
      </c>
      <c r="I82" s="530">
        <f>'[3]Mechanical data, limits'!I82</f>
        <v>0</v>
      </c>
      <c r="J82" s="530">
        <f>'[3]Mechanical data, limits'!J82</f>
        <v>0</v>
      </c>
      <c r="K82" s="530">
        <f>'[3]Mechanical data, limits'!K82</f>
        <v>0</v>
      </c>
      <c r="L82" s="530">
        <f>'[3]Mechanical data, limits'!L82</f>
        <v>0</v>
      </c>
      <c r="M82" s="530">
        <f>'[3]Mechanical data, limits'!M82</f>
        <v>0</v>
      </c>
      <c r="N82" s="530">
        <f>'[3]Mechanical data, limits'!N82</f>
        <v>0</v>
      </c>
      <c r="O82" s="530">
        <f>'[3]Mechanical data, limits'!O82</f>
        <v>0</v>
      </c>
      <c r="P82" s="530">
        <f>'[3]Mechanical data, limits'!P82</f>
        <v>0</v>
      </c>
      <c r="Q82" s="530">
        <f>'[3]Mechanical data, limits'!Q82</f>
        <v>0</v>
      </c>
      <c r="R82" s="530">
        <f>'[3]Mechanical data, limits'!R82</f>
        <v>0</v>
      </c>
      <c r="S82" s="530">
        <f>'[3]Mechanical data, limits'!S82</f>
        <v>0</v>
      </c>
      <c r="T82" s="530">
        <f>'[3]Mechanical data, limits'!T82</f>
        <v>0</v>
      </c>
      <c r="U82" s="530">
        <f>'[3]Mechanical data, limits'!U82</f>
        <v>0</v>
      </c>
      <c r="V82" s="554">
        <f>'[3]Mechanical data, limits'!V82</f>
        <v>0.5</v>
      </c>
      <c r="W82" s="554">
        <f>'[3]Mechanical data, limits'!W82</f>
        <v>0.5</v>
      </c>
      <c r="X82" s="554">
        <f>'[3]Mechanical data, limits'!X82</f>
        <v>0.625</v>
      </c>
      <c r="Y82" s="554">
        <f>'[3]Mechanical data, limits'!Y82</f>
        <v>0</v>
      </c>
    </row>
    <row r="83" spans="1:25">
      <c r="A83" s="554">
        <f>'[3]Mechanical data, limits'!A83</f>
        <v>0.38</v>
      </c>
      <c r="B83" s="530">
        <f>'[3]Mechanical data, limits'!B83</f>
        <v>0</v>
      </c>
      <c r="C83" s="554">
        <f>'[3]Mechanical data, limits'!C83</f>
        <v>0.7</v>
      </c>
      <c r="D83" s="530" t="str">
        <f>'[3]Mechanical data, limits'!D83</f>
        <v>b72</v>
      </c>
      <c r="E83" s="554">
        <f>'[3]Mechanical data, limits'!E83</f>
        <v>0.63</v>
      </c>
      <c r="F83" s="554">
        <f>'[3]Mechanical data, limits'!F83</f>
        <v>0</v>
      </c>
      <c r="G83" s="530">
        <f>'[3]Mechanical data, limits'!G83</f>
        <v>0</v>
      </c>
      <c r="H83" s="530">
        <f>'[3]Mechanical data, limits'!H83</f>
        <v>0</v>
      </c>
      <c r="I83" s="530">
        <f>'[3]Mechanical data, limits'!I83</f>
        <v>0</v>
      </c>
      <c r="J83" s="530">
        <f>'[3]Mechanical data, limits'!J83</f>
        <v>0</v>
      </c>
      <c r="K83" s="530">
        <f>'[3]Mechanical data, limits'!K83</f>
        <v>0</v>
      </c>
      <c r="L83" s="530">
        <f>'[3]Mechanical data, limits'!L83</f>
        <v>0</v>
      </c>
      <c r="M83" s="530">
        <f>'[3]Mechanical data, limits'!M83</f>
        <v>0</v>
      </c>
      <c r="N83" s="530">
        <f>'[3]Mechanical data, limits'!N83</f>
        <v>0</v>
      </c>
      <c r="O83" s="530">
        <f>'[3]Mechanical data, limits'!O83</f>
        <v>0</v>
      </c>
      <c r="P83" s="530">
        <f>'[3]Mechanical data, limits'!P83</f>
        <v>0</v>
      </c>
      <c r="Q83" s="530">
        <f>'[3]Mechanical data, limits'!Q83</f>
        <v>0</v>
      </c>
      <c r="R83" s="530">
        <f>'[3]Mechanical data, limits'!R83</f>
        <v>0</v>
      </c>
      <c r="S83" s="530">
        <f>'[3]Mechanical data, limits'!S83</f>
        <v>0</v>
      </c>
      <c r="T83" s="530">
        <f>'[3]Mechanical data, limits'!T83</f>
        <v>0</v>
      </c>
      <c r="U83" s="530">
        <f>'[3]Mechanical data, limits'!U83</f>
        <v>0</v>
      </c>
      <c r="V83" s="554">
        <f>'[3]Mechanical data, limits'!V83</f>
        <v>0.52500000000000002</v>
      </c>
      <c r="W83" s="554">
        <f>'[3]Mechanical data, limits'!W83</f>
        <v>0.52500000000000002</v>
      </c>
      <c r="X83" s="554">
        <f>'[3]Mechanical data, limits'!X83</f>
        <v>0.65</v>
      </c>
      <c r="Y83" s="554">
        <f>'[3]Mechanical data, limits'!Y83</f>
        <v>0</v>
      </c>
    </row>
    <row r="84" spans="1:25">
      <c r="A84" s="554">
        <f>'[3]Mechanical data, limits'!A84</f>
        <v>0.42</v>
      </c>
      <c r="B84" s="530">
        <f>'[3]Mechanical data, limits'!B84</f>
        <v>0</v>
      </c>
      <c r="C84" s="554">
        <f>'[3]Mechanical data, limits'!C84</f>
        <v>0.8</v>
      </c>
      <c r="D84" s="530" t="str">
        <f>'[3]Mechanical data, limits'!D84</f>
        <v>b62</v>
      </c>
      <c r="E84" s="555">
        <f>'[3]Mechanical data, limits'!E84</f>
        <v>0.65</v>
      </c>
      <c r="F84" s="555">
        <f>'[3]Mechanical data, limits'!F84</f>
        <v>0</v>
      </c>
      <c r="G84" s="530">
        <f>'[3]Mechanical data, limits'!G84</f>
        <v>0</v>
      </c>
      <c r="H84" s="530">
        <f>'[3]Mechanical data, limits'!H84</f>
        <v>0</v>
      </c>
      <c r="I84" s="530">
        <f>'[3]Mechanical data, limits'!I84</f>
        <v>0</v>
      </c>
      <c r="J84" s="530">
        <f>'[3]Mechanical data, limits'!J84</f>
        <v>0</v>
      </c>
      <c r="K84" s="530">
        <f>'[3]Mechanical data, limits'!K84</f>
        <v>0</v>
      </c>
      <c r="L84" s="530">
        <f>'[3]Mechanical data, limits'!L84</f>
        <v>0</v>
      </c>
      <c r="M84" s="530">
        <f>'[3]Mechanical data, limits'!M84</f>
        <v>0</v>
      </c>
      <c r="N84" s="530">
        <f>'[3]Mechanical data, limits'!N84</f>
        <v>0</v>
      </c>
      <c r="O84" s="530">
        <f>'[3]Mechanical data, limits'!O84</f>
        <v>0</v>
      </c>
      <c r="P84" s="530">
        <f>'[3]Mechanical data, limits'!P84</f>
        <v>0</v>
      </c>
      <c r="Q84" s="530">
        <f>'[3]Mechanical data, limits'!Q84</f>
        <v>0</v>
      </c>
      <c r="R84" s="530">
        <f>'[3]Mechanical data, limits'!R84</f>
        <v>0</v>
      </c>
      <c r="S84" s="530">
        <f>'[3]Mechanical data, limits'!S84</f>
        <v>0</v>
      </c>
      <c r="T84" s="530">
        <f>'[3]Mechanical data, limits'!T84</f>
        <v>0</v>
      </c>
      <c r="U84" s="530">
        <f>'[3]Mechanical data, limits'!U84</f>
        <v>0</v>
      </c>
      <c r="V84" s="554">
        <f>'[3]Mechanical data, limits'!V84</f>
        <v>0.55000000000000004</v>
      </c>
      <c r="W84" s="554">
        <f>'[3]Mechanical data, limits'!W84</f>
        <v>0.55000000000000004</v>
      </c>
      <c r="X84" s="554">
        <f>'[3]Mechanical data, limits'!X84</f>
        <v>0.67500000000000004</v>
      </c>
      <c r="Y84" s="554">
        <f>'[3]Mechanical data, limits'!Y84</f>
        <v>0</v>
      </c>
    </row>
    <row r="85" spans="1:25">
      <c r="A85" s="554">
        <f>'[3]Mechanical data, limits'!A85</f>
        <v>0.46</v>
      </c>
      <c r="B85" s="530">
        <f>'[3]Mechanical data, limits'!B85</f>
        <v>0</v>
      </c>
      <c r="C85" s="554">
        <f>'[3]Mechanical data, limits'!C85</f>
        <v>0.9</v>
      </c>
      <c r="D85" s="530" t="str">
        <f>'[3]Mechanical data, limits'!D85</f>
        <v>b71</v>
      </c>
      <c r="E85" s="555">
        <f>'[3]Mechanical data, limits'!E85</f>
        <v>0.7</v>
      </c>
      <c r="F85" s="557">
        <f>'[3]Mechanical data, limits'!F85</f>
        <v>0</v>
      </c>
      <c r="G85" s="530">
        <f>'[3]Mechanical data, limits'!G85</f>
        <v>0</v>
      </c>
      <c r="H85" s="530">
        <f>'[3]Mechanical data, limits'!H85</f>
        <v>0</v>
      </c>
      <c r="I85" s="530">
        <f>'[3]Mechanical data, limits'!I85</f>
        <v>0</v>
      </c>
      <c r="J85" s="530">
        <f>'[3]Mechanical data, limits'!J85</f>
        <v>0</v>
      </c>
      <c r="K85" s="530">
        <f>'[3]Mechanical data, limits'!K85</f>
        <v>0</v>
      </c>
      <c r="L85" s="530">
        <f>'[3]Mechanical data, limits'!L85</f>
        <v>0</v>
      </c>
      <c r="M85" s="530">
        <f>'[3]Mechanical data, limits'!M85</f>
        <v>0</v>
      </c>
      <c r="N85" s="530">
        <f>'[3]Mechanical data, limits'!N85</f>
        <v>0</v>
      </c>
      <c r="O85" s="530">
        <f>'[3]Mechanical data, limits'!O85</f>
        <v>0</v>
      </c>
      <c r="P85" s="530">
        <f>'[3]Mechanical data, limits'!P85</f>
        <v>0</v>
      </c>
      <c r="Q85" s="530">
        <f>'[3]Mechanical data, limits'!Q85</f>
        <v>0</v>
      </c>
      <c r="R85" s="530">
        <f>'[3]Mechanical data, limits'!R85</f>
        <v>0</v>
      </c>
      <c r="S85" s="530">
        <f>'[3]Mechanical data, limits'!S85</f>
        <v>0</v>
      </c>
      <c r="T85" s="530">
        <f>'[3]Mechanical data, limits'!T85</f>
        <v>0</v>
      </c>
      <c r="U85" s="530">
        <f>'[3]Mechanical data, limits'!U85</f>
        <v>0</v>
      </c>
      <c r="V85" s="554">
        <f>'[3]Mechanical data, limits'!V85</f>
        <v>0.56000000000000005</v>
      </c>
      <c r="W85" s="554">
        <f>'[3]Mechanical data, limits'!W85</f>
        <v>0.56000000000000005</v>
      </c>
      <c r="X85" s="554">
        <f>'[3]Mechanical data, limits'!X85</f>
        <v>0.7</v>
      </c>
      <c r="Y85" s="554">
        <f>'[3]Mechanical data, limits'!Y85</f>
        <v>0</v>
      </c>
    </row>
    <row r="86" spans="1:25">
      <c r="A86" s="554">
        <f>'[3]Mechanical data, limits'!A86</f>
        <v>0.505</v>
      </c>
      <c r="B86" s="530">
        <f>'[3]Mechanical data, limits'!B86</f>
        <v>0</v>
      </c>
      <c r="C86" s="554">
        <f>'[3]Mechanical data, limits'!C86</f>
        <v>1</v>
      </c>
      <c r="D86" s="530" t="str">
        <f>'[3]Mechanical data, limits'!D86</f>
        <v>b146</v>
      </c>
      <c r="E86" s="554">
        <f>'[3]Mechanical data, limits'!E86</f>
        <v>0.71</v>
      </c>
      <c r="F86" s="530">
        <f>'[3]Mechanical data, limits'!F86</f>
        <v>0</v>
      </c>
      <c r="G86" s="530">
        <f>'[3]Mechanical data, limits'!G86</f>
        <v>0</v>
      </c>
      <c r="H86" s="530">
        <f>'[3]Mechanical data, limits'!H86</f>
        <v>0</v>
      </c>
      <c r="I86" s="530">
        <f>'[3]Mechanical data, limits'!I86</f>
        <v>0</v>
      </c>
      <c r="J86" s="530">
        <f>'[3]Mechanical data, limits'!J86</f>
        <v>0</v>
      </c>
      <c r="K86" s="530">
        <f>'[3]Mechanical data, limits'!K86</f>
        <v>0</v>
      </c>
      <c r="L86" s="530">
        <f>'[3]Mechanical data, limits'!L86</f>
        <v>0</v>
      </c>
      <c r="M86" s="530">
        <f>'[3]Mechanical data, limits'!M86</f>
        <v>0</v>
      </c>
      <c r="N86" s="530">
        <f>'[3]Mechanical data, limits'!N86</f>
        <v>0</v>
      </c>
      <c r="O86" s="530">
        <f>'[3]Mechanical data, limits'!O86</f>
        <v>0</v>
      </c>
      <c r="P86" s="530">
        <f>'[3]Mechanical data, limits'!P86</f>
        <v>0</v>
      </c>
      <c r="Q86" s="530">
        <f>'[3]Mechanical data, limits'!Q86</f>
        <v>0</v>
      </c>
      <c r="R86" s="530">
        <f>'[3]Mechanical data, limits'!R86</f>
        <v>0</v>
      </c>
      <c r="S86" s="530">
        <f>'[3]Mechanical data, limits'!S86</f>
        <v>0</v>
      </c>
      <c r="T86" s="530">
        <f>'[3]Mechanical data, limits'!T86</f>
        <v>0</v>
      </c>
      <c r="U86" s="530">
        <f>'[3]Mechanical data, limits'!U86</f>
        <v>0</v>
      </c>
      <c r="V86" s="554">
        <f>'[3]Mechanical data, limits'!V86</f>
        <v>0.57499999999999996</v>
      </c>
      <c r="W86" s="554">
        <f>'[3]Mechanical data, limits'!W86</f>
        <v>0.57499999999999996</v>
      </c>
      <c r="X86" s="554">
        <f>'[3]Mechanical data, limits'!X86</f>
        <v>0.74</v>
      </c>
      <c r="Y86" s="554">
        <f>'[3]Mechanical data, limits'!Y86</f>
        <v>0</v>
      </c>
    </row>
    <row r="87" spans="1:25">
      <c r="A87" s="554">
        <f>'[3]Mechanical data, limits'!A87</f>
        <v>0.55500000000000005</v>
      </c>
      <c r="B87" s="530">
        <f>'[3]Mechanical data, limits'!B87</f>
        <v>0</v>
      </c>
      <c r="C87" s="554">
        <f>'[3]Mechanical data, limits'!C87</f>
        <v>1.1200000000000001</v>
      </c>
      <c r="D87" s="530" t="str">
        <f>'[3]Mechanical data, limits'!D87</f>
        <v>b148</v>
      </c>
      <c r="E87" s="554">
        <f>'[3]Mechanical data, limits'!E87</f>
        <v>0.75</v>
      </c>
      <c r="F87" s="530">
        <f>'[3]Mechanical data, limits'!F87</f>
        <v>0</v>
      </c>
      <c r="G87" s="530">
        <f>'[3]Mechanical data, limits'!G87</f>
        <v>0</v>
      </c>
      <c r="H87" s="530">
        <f>'[3]Mechanical data, limits'!H87</f>
        <v>0</v>
      </c>
      <c r="I87" s="530">
        <f>'[3]Mechanical data, limits'!I87</f>
        <v>0</v>
      </c>
      <c r="J87" s="530">
        <f>'[3]Mechanical data, limits'!J87</f>
        <v>0</v>
      </c>
      <c r="K87" s="530">
        <f>'[3]Mechanical data, limits'!K87</f>
        <v>0</v>
      </c>
      <c r="L87" s="530">
        <f>'[3]Mechanical data, limits'!L87</f>
        <v>0</v>
      </c>
      <c r="M87" s="530">
        <f>'[3]Mechanical data, limits'!M87</f>
        <v>0</v>
      </c>
      <c r="N87" s="530">
        <f>'[3]Mechanical data, limits'!N87</f>
        <v>0</v>
      </c>
      <c r="O87" s="530">
        <f>'[3]Mechanical data, limits'!O87</f>
        <v>0</v>
      </c>
      <c r="P87" s="530">
        <f>'[3]Mechanical data, limits'!P87</f>
        <v>0</v>
      </c>
      <c r="Q87" s="530">
        <f>'[3]Mechanical data, limits'!Q87</f>
        <v>0</v>
      </c>
      <c r="R87" s="530">
        <f>'[3]Mechanical data, limits'!R87</f>
        <v>0</v>
      </c>
      <c r="S87" s="530">
        <f>'[3]Mechanical data, limits'!S87</f>
        <v>0</v>
      </c>
      <c r="T87" s="530">
        <f>'[3]Mechanical data, limits'!T87</f>
        <v>0</v>
      </c>
      <c r="U87" s="530">
        <f>'[3]Mechanical data, limits'!U87</f>
        <v>0</v>
      </c>
      <c r="V87" s="554">
        <f>'[3]Mechanical data, limits'!V87</f>
        <v>0.6</v>
      </c>
      <c r="W87" s="554">
        <f>'[3]Mechanical data, limits'!W87</f>
        <v>0.6</v>
      </c>
      <c r="X87" s="554">
        <f>'[3]Mechanical data, limits'!X87</f>
        <v>0.75</v>
      </c>
      <c r="Y87" s="554">
        <f>'[3]Mechanical data, limits'!Y87</f>
        <v>0</v>
      </c>
    </row>
    <row r="88" spans="1:25">
      <c r="A88" s="554">
        <f>'[3]Mechanical data, limits'!A88</f>
        <v>0.61</v>
      </c>
      <c r="B88" s="530">
        <f>'[3]Mechanical data, limits'!B88</f>
        <v>0</v>
      </c>
      <c r="C88" s="530">
        <f>'[3]Mechanical data, limits'!C88</f>
        <v>0</v>
      </c>
      <c r="D88" s="530">
        <f>'[3]Mechanical data, limits'!D88</f>
        <v>0</v>
      </c>
      <c r="E88" s="554">
        <f>'[3]Mechanical data, limits'!E88</f>
        <v>0.8</v>
      </c>
      <c r="F88" s="530">
        <f>'[3]Mechanical data, limits'!F88</f>
        <v>0</v>
      </c>
      <c r="G88" s="530">
        <f>'[3]Mechanical data, limits'!G88</f>
        <v>0</v>
      </c>
      <c r="H88" s="530">
        <f>'[3]Mechanical data, limits'!H88</f>
        <v>0</v>
      </c>
      <c r="I88" s="530">
        <f>'[3]Mechanical data, limits'!I88</f>
        <v>0</v>
      </c>
      <c r="J88" s="530">
        <f>'[3]Mechanical data, limits'!J88</f>
        <v>0</v>
      </c>
      <c r="K88" s="530">
        <f>'[3]Mechanical data, limits'!K88</f>
        <v>0</v>
      </c>
      <c r="L88" s="530">
        <f>'[3]Mechanical data, limits'!L88</f>
        <v>0</v>
      </c>
      <c r="M88" s="530">
        <f>'[3]Mechanical data, limits'!M88</f>
        <v>0</v>
      </c>
      <c r="N88" s="530">
        <f>'[3]Mechanical data, limits'!N88</f>
        <v>0</v>
      </c>
      <c r="O88" s="530">
        <f>'[3]Mechanical data, limits'!O88</f>
        <v>0</v>
      </c>
      <c r="P88" s="530">
        <f>'[3]Mechanical data, limits'!P88</f>
        <v>0</v>
      </c>
      <c r="Q88" s="530">
        <f>'[3]Mechanical data, limits'!Q88</f>
        <v>0</v>
      </c>
      <c r="R88" s="530">
        <f>'[3]Mechanical data, limits'!R88</f>
        <v>0</v>
      </c>
      <c r="S88" s="530">
        <f>'[3]Mechanical data, limits'!S88</f>
        <v>0</v>
      </c>
      <c r="T88" s="530">
        <f>'[3]Mechanical data, limits'!T88</f>
        <v>0</v>
      </c>
      <c r="U88" s="530">
        <f>'[3]Mechanical data, limits'!U88</f>
        <v>0</v>
      </c>
      <c r="V88" s="554">
        <f>'[3]Mechanical data, limits'!V88</f>
        <v>0.625</v>
      </c>
      <c r="W88" s="554">
        <f>'[3]Mechanical data, limits'!W88</f>
        <v>0.625</v>
      </c>
      <c r="X88" s="554">
        <f>'[3]Mechanical data, limits'!X88</f>
        <v>0.8</v>
      </c>
      <c r="Y88" s="554">
        <f>'[3]Mechanical data, limits'!Y88</f>
        <v>0</v>
      </c>
    </row>
    <row r="89" spans="1:25">
      <c r="A89" s="554">
        <f>'[3]Mechanical data, limits'!A89</f>
        <v>0.67</v>
      </c>
      <c r="B89" s="530">
        <f>'[3]Mechanical data, limits'!B89</f>
        <v>0</v>
      </c>
      <c r="C89" s="530">
        <f>'[3]Mechanical data, limits'!C89</f>
        <v>0</v>
      </c>
      <c r="D89" s="530">
        <f>'[3]Mechanical data, limits'!D89</f>
        <v>0</v>
      </c>
      <c r="E89" s="554">
        <f>'[3]Mechanical data, limits'!E89</f>
        <v>0.85</v>
      </c>
      <c r="F89" s="530">
        <f>'[3]Mechanical data, limits'!F89</f>
        <v>0</v>
      </c>
      <c r="G89" s="530">
        <f>'[3]Mechanical data, limits'!G89</f>
        <v>0</v>
      </c>
      <c r="H89" s="530">
        <f>'[3]Mechanical data, limits'!H89</f>
        <v>0</v>
      </c>
      <c r="I89" s="530">
        <f>'[3]Mechanical data, limits'!I89</f>
        <v>0</v>
      </c>
      <c r="J89" s="530">
        <f>'[3]Mechanical data, limits'!J89</f>
        <v>0</v>
      </c>
      <c r="K89" s="530">
        <f>'[3]Mechanical data, limits'!K89</f>
        <v>0</v>
      </c>
      <c r="L89" s="530">
        <f>'[3]Mechanical data, limits'!L89</f>
        <v>0</v>
      </c>
      <c r="M89" s="530">
        <f>'[3]Mechanical data, limits'!M89</f>
        <v>0</v>
      </c>
      <c r="N89" s="530">
        <f>'[3]Mechanical data, limits'!N89</f>
        <v>0</v>
      </c>
      <c r="O89" s="530">
        <f>'[3]Mechanical data, limits'!O89</f>
        <v>0</v>
      </c>
      <c r="P89" s="530">
        <f>'[3]Mechanical data, limits'!P89</f>
        <v>0</v>
      </c>
      <c r="Q89" s="530">
        <f>'[3]Mechanical data, limits'!Q89</f>
        <v>0</v>
      </c>
      <c r="R89" s="530">
        <f>'[3]Mechanical data, limits'!R89</f>
        <v>0</v>
      </c>
      <c r="S89" s="530">
        <f>'[3]Mechanical data, limits'!S89</f>
        <v>0</v>
      </c>
      <c r="T89" s="530">
        <f>'[3]Mechanical data, limits'!T89</f>
        <v>0</v>
      </c>
      <c r="U89" s="530">
        <f>'[3]Mechanical data, limits'!U89</f>
        <v>0</v>
      </c>
      <c r="V89" s="554">
        <f>'[3]Mechanical data, limits'!V89</f>
        <v>0.63</v>
      </c>
      <c r="W89" s="554">
        <f>'[3]Mechanical data, limits'!W89</f>
        <v>0.63</v>
      </c>
      <c r="X89" s="554">
        <f>'[3]Mechanical data, limits'!X89</f>
        <v>0.85</v>
      </c>
      <c r="Y89" s="554">
        <f>'[3]Mechanical data, limits'!Y89</f>
        <v>0</v>
      </c>
    </row>
    <row r="90" spans="1:25">
      <c r="A90" s="554">
        <f>'[3]Mechanical data, limits'!A90</f>
        <v>0.73499999999999999</v>
      </c>
      <c r="B90" s="530">
        <f>'[3]Mechanical data, limits'!B90</f>
        <v>0</v>
      </c>
      <c r="C90" s="530">
        <f>'[3]Mechanical data, limits'!C90</f>
        <v>0</v>
      </c>
      <c r="D90" s="530">
        <f>'[3]Mechanical data, limits'!D90</f>
        <v>0</v>
      </c>
      <c r="E90" s="554">
        <f>'[3]Mechanical data, limits'!E90</f>
        <v>0.9</v>
      </c>
      <c r="F90" s="530">
        <f>'[3]Mechanical data, limits'!F90</f>
        <v>0</v>
      </c>
      <c r="G90" s="530">
        <f>'[3]Mechanical data, limits'!G90</f>
        <v>0</v>
      </c>
      <c r="H90" s="530">
        <f>'[3]Mechanical data, limits'!H90</f>
        <v>0</v>
      </c>
      <c r="I90" s="530">
        <f>'[3]Mechanical data, limits'!I90</f>
        <v>0</v>
      </c>
      <c r="J90" s="530">
        <f>'[3]Mechanical data, limits'!J90</f>
        <v>0</v>
      </c>
      <c r="K90" s="530">
        <f>'[3]Mechanical data, limits'!K90</f>
        <v>0</v>
      </c>
      <c r="L90" s="530">
        <f>'[3]Mechanical data, limits'!L90</f>
        <v>0</v>
      </c>
      <c r="M90" s="530">
        <f>'[3]Mechanical data, limits'!M90</f>
        <v>0</v>
      </c>
      <c r="N90" s="530">
        <f>'[3]Mechanical data, limits'!N90</f>
        <v>0</v>
      </c>
      <c r="O90" s="530">
        <f>'[3]Mechanical data, limits'!O90</f>
        <v>0</v>
      </c>
      <c r="P90" s="530">
        <f>'[3]Mechanical data, limits'!P90</f>
        <v>0</v>
      </c>
      <c r="Q90" s="530">
        <f>'[3]Mechanical data, limits'!Q90</f>
        <v>0</v>
      </c>
      <c r="R90" s="530">
        <f>'[3]Mechanical data, limits'!R90</f>
        <v>0</v>
      </c>
      <c r="S90" s="530">
        <f>'[3]Mechanical data, limits'!S90</f>
        <v>0</v>
      </c>
      <c r="T90" s="530">
        <f>'[3]Mechanical data, limits'!T90</f>
        <v>0</v>
      </c>
      <c r="U90" s="530">
        <f>'[3]Mechanical data, limits'!U90</f>
        <v>0</v>
      </c>
      <c r="V90" s="554">
        <f>'[3]Mechanical data, limits'!V90</f>
        <v>0.64</v>
      </c>
      <c r="W90" s="554">
        <f>'[3]Mechanical data, limits'!W90</f>
        <v>0.64</v>
      </c>
      <c r="X90" s="554">
        <f>'[3]Mechanical data, limits'!X90</f>
        <v>0.9</v>
      </c>
      <c r="Y90" s="554">
        <f>'[3]Mechanical data, limits'!Y90</f>
        <v>0</v>
      </c>
    </row>
    <row r="91" spans="1:25">
      <c r="A91" s="554">
        <f>'[3]Mechanical data, limits'!A91</f>
        <v>0.81</v>
      </c>
      <c r="B91" s="530">
        <f>'[3]Mechanical data, limits'!B91</f>
        <v>0</v>
      </c>
      <c r="C91" s="530">
        <f>'[3]Mechanical data, limits'!C91</f>
        <v>0</v>
      </c>
      <c r="D91" s="530">
        <f>'[3]Mechanical data, limits'!D91</f>
        <v>0</v>
      </c>
      <c r="E91" s="554">
        <f>'[3]Mechanical data, limits'!E91</f>
        <v>0.95</v>
      </c>
      <c r="F91" s="530">
        <f>'[3]Mechanical data, limits'!F91</f>
        <v>0</v>
      </c>
      <c r="G91" s="530">
        <f>'[3]Mechanical data, limits'!G91</f>
        <v>0</v>
      </c>
      <c r="H91" s="530">
        <f>'[3]Mechanical data, limits'!H91</f>
        <v>0</v>
      </c>
      <c r="I91" s="530">
        <f>'[3]Mechanical data, limits'!I91</f>
        <v>0</v>
      </c>
      <c r="J91" s="530">
        <f>'[3]Mechanical data, limits'!J91</f>
        <v>0</v>
      </c>
      <c r="K91" s="530">
        <f>'[3]Mechanical data, limits'!K91</f>
        <v>0</v>
      </c>
      <c r="L91" s="530">
        <f>'[3]Mechanical data, limits'!L91</f>
        <v>0</v>
      </c>
      <c r="M91" s="530">
        <f>'[3]Mechanical data, limits'!M91</f>
        <v>0</v>
      </c>
      <c r="N91" s="530">
        <f>'[3]Mechanical data, limits'!N91</f>
        <v>0</v>
      </c>
      <c r="O91" s="530">
        <f>'[3]Mechanical data, limits'!O91</f>
        <v>0</v>
      </c>
      <c r="P91" s="530">
        <f>'[3]Mechanical data, limits'!P91</f>
        <v>0</v>
      </c>
      <c r="Q91" s="530">
        <f>'[3]Mechanical data, limits'!Q91</f>
        <v>0</v>
      </c>
      <c r="R91" s="530">
        <f>'[3]Mechanical data, limits'!R91</f>
        <v>0</v>
      </c>
      <c r="S91" s="530">
        <f>'[3]Mechanical data, limits'!S91</f>
        <v>0</v>
      </c>
      <c r="T91" s="530">
        <f>'[3]Mechanical data, limits'!T91</f>
        <v>0</v>
      </c>
      <c r="U91" s="530">
        <f>'[3]Mechanical data, limits'!U91</f>
        <v>0</v>
      </c>
      <c r="V91" s="554">
        <f>'[3]Mechanical data, limits'!V91</f>
        <v>0.65</v>
      </c>
      <c r="W91" s="554">
        <f>'[3]Mechanical data, limits'!W91</f>
        <v>0.65</v>
      </c>
      <c r="X91" s="554">
        <f>'[3]Mechanical data, limits'!X91</f>
        <v>0.95</v>
      </c>
      <c r="Y91" s="554">
        <f>'[3]Mechanical data, limits'!Y91</f>
        <v>0</v>
      </c>
    </row>
    <row r="92" spans="1:25">
      <c r="A92" s="554">
        <f>'[3]Mechanical data, limits'!A92</f>
        <v>0.89</v>
      </c>
      <c r="B92" s="530">
        <f>'[3]Mechanical data, limits'!B92</f>
        <v>0</v>
      </c>
      <c r="C92" s="530">
        <f>'[3]Mechanical data, limits'!C92</f>
        <v>0</v>
      </c>
      <c r="D92" s="530">
        <f>'[3]Mechanical data, limits'!D92</f>
        <v>0</v>
      </c>
      <c r="E92" s="554">
        <f>'[3]Mechanical data, limits'!E92</f>
        <v>1</v>
      </c>
      <c r="F92" s="530">
        <f>'[3]Mechanical data, limits'!F92</f>
        <v>0</v>
      </c>
      <c r="G92" s="530">
        <f>'[3]Mechanical data, limits'!G92</f>
        <v>0</v>
      </c>
      <c r="H92" s="530">
        <f>'[3]Mechanical data, limits'!H92</f>
        <v>0</v>
      </c>
      <c r="I92" s="530">
        <f>'[3]Mechanical data, limits'!I92</f>
        <v>0</v>
      </c>
      <c r="J92" s="530">
        <f>'[3]Mechanical data, limits'!J92</f>
        <v>0</v>
      </c>
      <c r="K92" s="530">
        <f>'[3]Mechanical data, limits'!K92</f>
        <v>0</v>
      </c>
      <c r="L92" s="530">
        <f>'[3]Mechanical data, limits'!L92</f>
        <v>0</v>
      </c>
      <c r="M92" s="530">
        <f>'[3]Mechanical data, limits'!M92</f>
        <v>0</v>
      </c>
      <c r="N92" s="530">
        <f>'[3]Mechanical data, limits'!N92</f>
        <v>0</v>
      </c>
      <c r="O92" s="530">
        <f>'[3]Mechanical data, limits'!O92</f>
        <v>0</v>
      </c>
      <c r="P92" s="530">
        <f>'[3]Mechanical data, limits'!P92</f>
        <v>0</v>
      </c>
      <c r="Q92" s="530">
        <f>'[3]Mechanical data, limits'!Q92</f>
        <v>0</v>
      </c>
      <c r="R92" s="530">
        <f>'[3]Mechanical data, limits'!R92</f>
        <v>0</v>
      </c>
      <c r="S92" s="530">
        <f>'[3]Mechanical data, limits'!S92</f>
        <v>0</v>
      </c>
      <c r="T92" s="530">
        <f>'[3]Mechanical data, limits'!T92</f>
        <v>0</v>
      </c>
      <c r="U92" s="530">
        <f>'[3]Mechanical data, limits'!U92</f>
        <v>0</v>
      </c>
      <c r="V92" s="554">
        <f>'[3]Mechanical data, limits'!V92</f>
        <v>0.67500000000000004</v>
      </c>
      <c r="W92" s="554">
        <f>'[3]Mechanical data, limits'!W92</f>
        <v>0.67500000000000004</v>
      </c>
      <c r="X92" s="554">
        <f>'[3]Mechanical data, limits'!X92</f>
        <v>1</v>
      </c>
      <c r="Y92" s="554">
        <f>'[3]Mechanical data, limits'!Y92</f>
        <v>0</v>
      </c>
    </row>
    <row r="93" spans="1:25">
      <c r="A93" s="554">
        <f>'[3]Mechanical data, limits'!A93</f>
        <v>0.98</v>
      </c>
      <c r="B93" s="530">
        <f>'[3]Mechanical data, limits'!B93</f>
        <v>0</v>
      </c>
      <c r="C93" s="530">
        <f>'[3]Mechanical data, limits'!C93</f>
        <v>0</v>
      </c>
      <c r="D93" s="530">
        <f>'[3]Mechanical data, limits'!D93</f>
        <v>0</v>
      </c>
      <c r="E93" s="555">
        <f>'[3]Mechanical data, limits'!E93</f>
        <v>1.1000000000000001</v>
      </c>
      <c r="F93" s="530">
        <f>'[3]Mechanical data, limits'!F93</f>
        <v>0</v>
      </c>
      <c r="G93" s="530">
        <f>'[3]Mechanical data, limits'!G93</f>
        <v>0</v>
      </c>
      <c r="H93" s="530">
        <f>'[3]Mechanical data, limits'!H93</f>
        <v>0</v>
      </c>
      <c r="I93" s="530">
        <f>'[3]Mechanical data, limits'!I93</f>
        <v>0</v>
      </c>
      <c r="J93" s="530">
        <f>'[3]Mechanical data, limits'!J93</f>
        <v>0</v>
      </c>
      <c r="K93" s="530">
        <f>'[3]Mechanical data, limits'!K93</f>
        <v>0</v>
      </c>
      <c r="L93" s="530">
        <f>'[3]Mechanical data, limits'!L93</f>
        <v>0</v>
      </c>
      <c r="M93" s="530">
        <f>'[3]Mechanical data, limits'!M93</f>
        <v>0</v>
      </c>
      <c r="N93" s="530">
        <f>'[3]Mechanical data, limits'!N93</f>
        <v>0</v>
      </c>
      <c r="O93" s="530">
        <f>'[3]Mechanical data, limits'!O93</f>
        <v>0</v>
      </c>
      <c r="P93" s="530">
        <f>'[3]Mechanical data, limits'!P93</f>
        <v>0</v>
      </c>
      <c r="Q93" s="530">
        <f>'[3]Mechanical data, limits'!Q93</f>
        <v>0</v>
      </c>
      <c r="R93" s="530">
        <f>'[3]Mechanical data, limits'!R93</f>
        <v>0</v>
      </c>
      <c r="S93" s="530">
        <f>'[3]Mechanical data, limits'!S93</f>
        <v>0</v>
      </c>
      <c r="T93" s="530">
        <f>'[3]Mechanical data, limits'!T93</f>
        <v>0</v>
      </c>
      <c r="U93" s="530">
        <f>'[3]Mechanical data, limits'!U93</f>
        <v>0</v>
      </c>
      <c r="V93" s="554">
        <f>'[3]Mechanical data, limits'!V93</f>
        <v>0.7</v>
      </c>
      <c r="W93" s="554">
        <f>'[3]Mechanical data, limits'!W93</f>
        <v>0.7</v>
      </c>
      <c r="X93" s="554">
        <f>'[3]Mechanical data, limits'!X93</f>
        <v>0</v>
      </c>
      <c r="Y93" s="554">
        <f>'[3]Mechanical data, limits'!Y93</f>
        <v>0</v>
      </c>
    </row>
    <row r="94" spans="1:25">
      <c r="A94" s="554">
        <f>'[3]Mechanical data, limits'!A94</f>
        <v>1.08</v>
      </c>
      <c r="B94" s="530">
        <f>'[3]Mechanical data, limits'!B94</f>
        <v>0</v>
      </c>
      <c r="C94" s="530">
        <f>'[3]Mechanical data, limits'!C94</f>
        <v>0</v>
      </c>
      <c r="D94" s="530">
        <f>'[3]Mechanical data, limits'!D94</f>
        <v>0</v>
      </c>
      <c r="E94" s="554">
        <f>'[3]Mechanical data, limits'!E94</f>
        <v>1.1200000000000001</v>
      </c>
      <c r="F94" s="530">
        <f>'[3]Mechanical data, limits'!F94</f>
        <v>0</v>
      </c>
      <c r="G94" s="530">
        <f>'[3]Mechanical data, limits'!G94</f>
        <v>0</v>
      </c>
      <c r="H94" s="530">
        <f>'[3]Mechanical data, limits'!H94</f>
        <v>0</v>
      </c>
      <c r="I94" s="530">
        <f>'[3]Mechanical data, limits'!I94</f>
        <v>0</v>
      </c>
      <c r="J94" s="530">
        <f>'[3]Mechanical data, limits'!J94</f>
        <v>0</v>
      </c>
      <c r="K94" s="530">
        <f>'[3]Mechanical data, limits'!K94</f>
        <v>0</v>
      </c>
      <c r="L94" s="530">
        <f>'[3]Mechanical data, limits'!L94</f>
        <v>0</v>
      </c>
      <c r="M94" s="530">
        <f>'[3]Mechanical data, limits'!M94</f>
        <v>0</v>
      </c>
      <c r="N94" s="530">
        <f>'[3]Mechanical data, limits'!N94</f>
        <v>0</v>
      </c>
      <c r="O94" s="530">
        <f>'[3]Mechanical data, limits'!O94</f>
        <v>0</v>
      </c>
      <c r="P94" s="530">
        <f>'[3]Mechanical data, limits'!P94</f>
        <v>0</v>
      </c>
      <c r="Q94" s="530">
        <f>'[3]Mechanical data, limits'!Q94</f>
        <v>0</v>
      </c>
      <c r="R94" s="530">
        <f>'[3]Mechanical data, limits'!R94</f>
        <v>0</v>
      </c>
      <c r="S94" s="530">
        <f>'[3]Mechanical data, limits'!S94</f>
        <v>0</v>
      </c>
      <c r="T94" s="530">
        <f>'[3]Mechanical data, limits'!T94</f>
        <v>0</v>
      </c>
      <c r="U94" s="530">
        <f>'[3]Mechanical data, limits'!U94</f>
        <v>0</v>
      </c>
      <c r="V94" s="554">
        <f>'[3]Mechanical data, limits'!V94</f>
        <v>0.71</v>
      </c>
      <c r="W94" s="554">
        <f>'[3]Mechanical data, limits'!W94</f>
        <v>0.71</v>
      </c>
      <c r="X94" s="554">
        <f>'[3]Mechanical data, limits'!X94</f>
        <v>0</v>
      </c>
      <c r="Y94" s="554">
        <f>'[3]Mechanical data, limits'!Y94</f>
        <v>0</v>
      </c>
    </row>
    <row r="95" spans="1:25">
      <c r="A95" s="554">
        <f>'[3]Mechanical data, limits'!A95</f>
        <v>1.19</v>
      </c>
      <c r="B95" s="530">
        <f>'[3]Mechanical data, limits'!B95</f>
        <v>0</v>
      </c>
      <c r="C95" s="530">
        <f>'[3]Mechanical data, limits'!C95</f>
        <v>0</v>
      </c>
      <c r="D95" s="530">
        <f>'[3]Mechanical data, limits'!D95</f>
        <v>0</v>
      </c>
      <c r="E95" s="555">
        <f>'[3]Mechanical data, limits'!E95</f>
        <v>1.2</v>
      </c>
      <c r="F95" s="530">
        <f>'[3]Mechanical data, limits'!F95</f>
        <v>0</v>
      </c>
      <c r="G95" s="530">
        <f>'[3]Mechanical data, limits'!G95</f>
        <v>0</v>
      </c>
      <c r="H95" s="530">
        <f>'[3]Mechanical data, limits'!H95</f>
        <v>0</v>
      </c>
      <c r="I95" s="530">
        <f>'[3]Mechanical data, limits'!I95</f>
        <v>0</v>
      </c>
      <c r="J95" s="530">
        <f>'[3]Mechanical data, limits'!J95</f>
        <v>0</v>
      </c>
      <c r="K95" s="530">
        <f>'[3]Mechanical data, limits'!K95</f>
        <v>0</v>
      </c>
      <c r="L95" s="530">
        <f>'[3]Mechanical data, limits'!L95</f>
        <v>0</v>
      </c>
      <c r="M95" s="530">
        <f>'[3]Mechanical data, limits'!M95</f>
        <v>0</v>
      </c>
      <c r="N95" s="530">
        <f>'[3]Mechanical data, limits'!N95</f>
        <v>0</v>
      </c>
      <c r="O95" s="530">
        <f>'[3]Mechanical data, limits'!O95</f>
        <v>0</v>
      </c>
      <c r="P95" s="530">
        <f>'[3]Mechanical data, limits'!P95</f>
        <v>0</v>
      </c>
      <c r="Q95" s="530">
        <f>'[3]Mechanical data, limits'!Q95</f>
        <v>0</v>
      </c>
      <c r="R95" s="530">
        <f>'[3]Mechanical data, limits'!R95</f>
        <v>0</v>
      </c>
      <c r="S95" s="530">
        <f>'[3]Mechanical data, limits'!S95</f>
        <v>0</v>
      </c>
      <c r="T95" s="530">
        <f>'[3]Mechanical data, limits'!T95</f>
        <v>0</v>
      </c>
      <c r="U95" s="530">
        <f>'[3]Mechanical data, limits'!U95</f>
        <v>0</v>
      </c>
      <c r="V95" s="554">
        <f>'[3]Mechanical data, limits'!V95</f>
        <v>0.72499999999999998</v>
      </c>
      <c r="W95" s="554">
        <f>'[3]Mechanical data, limits'!W95</f>
        <v>0.72499999999999998</v>
      </c>
      <c r="X95" s="530">
        <f>'[3]Mechanical data, limits'!X95</f>
        <v>0</v>
      </c>
      <c r="Y95" s="554">
        <f>'[3]Mechanical data, limits'!Y95</f>
        <v>0</v>
      </c>
    </row>
    <row r="96" spans="1:25">
      <c r="A96" s="554">
        <f>'[3]Mechanical data, limits'!A96</f>
        <v>1.31</v>
      </c>
      <c r="B96" s="530">
        <f>'[3]Mechanical data, limits'!B96</f>
        <v>0</v>
      </c>
      <c r="C96" s="530">
        <f>'[3]Mechanical data, limits'!C96</f>
        <v>0</v>
      </c>
      <c r="D96" s="530">
        <f>'[3]Mechanical data, limits'!D96</f>
        <v>0</v>
      </c>
      <c r="E96" s="554">
        <f>'[3]Mechanical data, limits'!E96</f>
        <v>1.25</v>
      </c>
      <c r="F96" s="530">
        <f>'[3]Mechanical data, limits'!F96</f>
        <v>0</v>
      </c>
      <c r="G96" s="530">
        <f>'[3]Mechanical data, limits'!G96</f>
        <v>0</v>
      </c>
      <c r="H96" s="530">
        <f>'[3]Mechanical data, limits'!H96</f>
        <v>0</v>
      </c>
      <c r="I96" s="530">
        <f>'[3]Mechanical data, limits'!I96</f>
        <v>0</v>
      </c>
      <c r="J96" s="530">
        <f>'[3]Mechanical data, limits'!J96</f>
        <v>0</v>
      </c>
      <c r="K96" s="530">
        <f>'[3]Mechanical data, limits'!K96</f>
        <v>0</v>
      </c>
      <c r="L96" s="530">
        <f>'[3]Mechanical data, limits'!L96</f>
        <v>0</v>
      </c>
      <c r="M96" s="530">
        <f>'[3]Mechanical data, limits'!M96</f>
        <v>0</v>
      </c>
      <c r="N96" s="530">
        <f>'[3]Mechanical data, limits'!N96</f>
        <v>0</v>
      </c>
      <c r="O96" s="530">
        <f>'[3]Mechanical data, limits'!O96</f>
        <v>0</v>
      </c>
      <c r="P96" s="530">
        <f>'[3]Mechanical data, limits'!P96</f>
        <v>0</v>
      </c>
      <c r="Q96" s="530">
        <f>'[3]Mechanical data, limits'!Q96</f>
        <v>0</v>
      </c>
      <c r="R96" s="530">
        <f>'[3]Mechanical data, limits'!R96</f>
        <v>0</v>
      </c>
      <c r="S96" s="530">
        <f>'[3]Mechanical data, limits'!S96</f>
        <v>0</v>
      </c>
      <c r="T96" s="530">
        <f>'[3]Mechanical data, limits'!T96</f>
        <v>0</v>
      </c>
      <c r="U96" s="530">
        <f>'[3]Mechanical data, limits'!U96</f>
        <v>0</v>
      </c>
      <c r="V96" s="554">
        <f>'[3]Mechanical data, limits'!V96</f>
        <v>0.75</v>
      </c>
      <c r="W96" s="554">
        <f>'[3]Mechanical data, limits'!W96</f>
        <v>0.75</v>
      </c>
      <c r="X96" s="530">
        <f>'[3]Mechanical data, limits'!X96</f>
        <v>0</v>
      </c>
      <c r="Y96" s="554">
        <f>'[3]Mechanical data, limits'!Y96</f>
        <v>0</v>
      </c>
    </row>
    <row r="97" spans="1:25">
      <c r="A97" s="554">
        <f>'[3]Mechanical data, limits'!A97</f>
        <v>1.44</v>
      </c>
      <c r="B97" s="530">
        <f>'[3]Mechanical data, limits'!B97</f>
        <v>0</v>
      </c>
      <c r="C97" s="530">
        <f>'[3]Mechanical data, limits'!C97</f>
        <v>0</v>
      </c>
      <c r="D97" s="530">
        <f>'[3]Mechanical data, limits'!D97</f>
        <v>0</v>
      </c>
      <c r="E97" s="555">
        <f>'[3]Mechanical data, limits'!E97</f>
        <v>1.3</v>
      </c>
      <c r="F97" s="530">
        <f>'[3]Mechanical data, limits'!F97</f>
        <v>0</v>
      </c>
      <c r="G97" s="530">
        <f>'[3]Mechanical data, limits'!G97</f>
        <v>0</v>
      </c>
      <c r="H97" s="530">
        <f>'[3]Mechanical data, limits'!H97</f>
        <v>0</v>
      </c>
      <c r="I97" s="530">
        <f>'[3]Mechanical data, limits'!I97</f>
        <v>0</v>
      </c>
      <c r="J97" s="530">
        <f>'[3]Mechanical data, limits'!J97</f>
        <v>0</v>
      </c>
      <c r="K97" s="530">
        <f>'[3]Mechanical data, limits'!K97</f>
        <v>0</v>
      </c>
      <c r="L97" s="530">
        <f>'[3]Mechanical data, limits'!L97</f>
        <v>0</v>
      </c>
      <c r="M97" s="530">
        <f>'[3]Mechanical data, limits'!M97</f>
        <v>0</v>
      </c>
      <c r="N97" s="530">
        <f>'[3]Mechanical data, limits'!N97</f>
        <v>0</v>
      </c>
      <c r="O97" s="530">
        <f>'[3]Mechanical data, limits'!O97</f>
        <v>0</v>
      </c>
      <c r="P97" s="530">
        <f>'[3]Mechanical data, limits'!P97</f>
        <v>0</v>
      </c>
      <c r="Q97" s="530">
        <f>'[3]Mechanical data, limits'!Q97</f>
        <v>0</v>
      </c>
      <c r="R97" s="530">
        <f>'[3]Mechanical data, limits'!R97</f>
        <v>0</v>
      </c>
      <c r="S97" s="530">
        <f>'[3]Mechanical data, limits'!S97</f>
        <v>0</v>
      </c>
      <c r="T97" s="530">
        <f>'[3]Mechanical data, limits'!T97</f>
        <v>0</v>
      </c>
      <c r="U97" s="530">
        <f>'[3]Mechanical data, limits'!U97</f>
        <v>0</v>
      </c>
      <c r="V97" s="554">
        <f>'[3]Mechanical data, limits'!V97</f>
        <v>0.77500000000000002</v>
      </c>
      <c r="W97" s="554">
        <f>'[3]Mechanical data, limits'!W97</f>
        <v>0.77500000000000002</v>
      </c>
      <c r="X97" s="530">
        <f>'[3]Mechanical data, limits'!X97</f>
        <v>0</v>
      </c>
      <c r="Y97" s="554">
        <f>'[3]Mechanical data, limits'!Y97</f>
        <v>0</v>
      </c>
    </row>
    <row r="98" spans="1:25">
      <c r="A98" s="554">
        <f>'[3]Mechanical data, limits'!A98</f>
        <v>1.585</v>
      </c>
      <c r="B98" s="530">
        <f>'[3]Mechanical data, limits'!B98</f>
        <v>0</v>
      </c>
      <c r="C98" s="530">
        <f>'[3]Mechanical data, limits'!C98</f>
        <v>0</v>
      </c>
      <c r="D98" s="530">
        <f>'[3]Mechanical data, limits'!D98</f>
        <v>0</v>
      </c>
      <c r="E98" s="554">
        <f>'[3]Mechanical data, limits'!E98</f>
        <v>1.4</v>
      </c>
      <c r="F98" s="530">
        <f>'[3]Mechanical data, limits'!F98</f>
        <v>0</v>
      </c>
      <c r="G98" s="530">
        <f>'[3]Mechanical data, limits'!G98</f>
        <v>0</v>
      </c>
      <c r="H98" s="530">
        <f>'[3]Mechanical data, limits'!H98</f>
        <v>0</v>
      </c>
      <c r="I98" s="530">
        <f>'[3]Mechanical data, limits'!I98</f>
        <v>0</v>
      </c>
      <c r="J98" s="530">
        <f>'[3]Mechanical data, limits'!J98</f>
        <v>0</v>
      </c>
      <c r="K98" s="530">
        <f>'[3]Mechanical data, limits'!K98</f>
        <v>0</v>
      </c>
      <c r="L98" s="530">
        <f>'[3]Mechanical data, limits'!L98</f>
        <v>0</v>
      </c>
      <c r="M98" s="530">
        <f>'[3]Mechanical data, limits'!M98</f>
        <v>0</v>
      </c>
      <c r="N98" s="530">
        <f>'[3]Mechanical data, limits'!N98</f>
        <v>0</v>
      </c>
      <c r="O98" s="530">
        <f>'[3]Mechanical data, limits'!O98</f>
        <v>0</v>
      </c>
      <c r="P98" s="530">
        <f>'[3]Mechanical data, limits'!P98</f>
        <v>0</v>
      </c>
      <c r="Q98" s="530">
        <f>'[3]Mechanical data, limits'!Q98</f>
        <v>0</v>
      </c>
      <c r="R98" s="530">
        <f>'[3]Mechanical data, limits'!R98</f>
        <v>0</v>
      </c>
      <c r="S98" s="530">
        <f>'[3]Mechanical data, limits'!S98</f>
        <v>0</v>
      </c>
      <c r="T98" s="530">
        <f>'[3]Mechanical data, limits'!T98</f>
        <v>0</v>
      </c>
      <c r="U98" s="530">
        <f>'[3]Mechanical data, limits'!U98</f>
        <v>0</v>
      </c>
      <c r="V98" s="554">
        <f>'[3]Mechanical data, limits'!V98</f>
        <v>0.8</v>
      </c>
      <c r="W98" s="554">
        <f>'[3]Mechanical data, limits'!W98</f>
        <v>0.8</v>
      </c>
      <c r="X98" s="530">
        <f>'[3]Mechanical data, limits'!X98</f>
        <v>0</v>
      </c>
      <c r="Y98" s="554">
        <f>'[3]Mechanical data, limits'!Y98</f>
        <v>0</v>
      </c>
    </row>
    <row r="99" spans="1:25">
      <c r="A99" s="554">
        <f>'[3]Mechanical data, limits'!A99</f>
        <v>1.7450000000000001</v>
      </c>
      <c r="B99" s="530">
        <f>'[3]Mechanical data, limits'!B99</f>
        <v>0</v>
      </c>
      <c r="C99" s="530">
        <f>'[3]Mechanical data, limits'!C99</f>
        <v>0</v>
      </c>
      <c r="D99" s="530">
        <f>'[3]Mechanical data, limits'!D99</f>
        <v>0</v>
      </c>
      <c r="E99" s="555">
        <f>'[3]Mechanical data, limits'!E99</f>
        <v>1.5</v>
      </c>
      <c r="F99" s="530">
        <f>'[3]Mechanical data, limits'!F99</f>
        <v>0</v>
      </c>
      <c r="G99" s="530">
        <f>'[3]Mechanical data, limits'!G99</f>
        <v>0</v>
      </c>
      <c r="H99" s="530">
        <f>'[3]Mechanical data, limits'!H99</f>
        <v>0</v>
      </c>
      <c r="I99" s="530">
        <f>'[3]Mechanical data, limits'!I99</f>
        <v>0</v>
      </c>
      <c r="J99" s="530">
        <f>'[3]Mechanical data, limits'!J99</f>
        <v>0</v>
      </c>
      <c r="K99" s="530">
        <f>'[3]Mechanical data, limits'!K99</f>
        <v>0</v>
      </c>
      <c r="L99" s="530">
        <f>'[3]Mechanical data, limits'!L99</f>
        <v>0</v>
      </c>
      <c r="M99" s="530">
        <f>'[3]Mechanical data, limits'!M99</f>
        <v>0</v>
      </c>
      <c r="N99" s="530">
        <f>'[3]Mechanical data, limits'!N99</f>
        <v>0</v>
      </c>
      <c r="O99" s="530">
        <f>'[3]Mechanical data, limits'!O99</f>
        <v>0</v>
      </c>
      <c r="P99" s="530">
        <f>'[3]Mechanical data, limits'!P99</f>
        <v>0</v>
      </c>
      <c r="Q99" s="530">
        <f>'[3]Mechanical data, limits'!Q99</f>
        <v>0</v>
      </c>
      <c r="R99" s="530">
        <f>'[3]Mechanical data, limits'!R99</f>
        <v>0</v>
      </c>
      <c r="S99" s="530">
        <f>'[3]Mechanical data, limits'!S99</f>
        <v>0</v>
      </c>
      <c r="T99" s="530">
        <f>'[3]Mechanical data, limits'!T99</f>
        <v>0</v>
      </c>
      <c r="U99" s="530">
        <f>'[3]Mechanical data, limits'!U99</f>
        <v>0</v>
      </c>
      <c r="V99" s="554">
        <f>'[3]Mechanical data, limits'!V99</f>
        <v>0.82499999999999996</v>
      </c>
      <c r="W99" s="554">
        <f>'[3]Mechanical data, limits'!W99</f>
        <v>0.82499999999999996</v>
      </c>
      <c r="X99" s="530">
        <f>'[3]Mechanical data, limits'!X99</f>
        <v>0</v>
      </c>
      <c r="Y99" s="554">
        <f>'[3]Mechanical data, limits'!Y99</f>
        <v>0</v>
      </c>
    </row>
    <row r="100" spans="1:25">
      <c r="A100" s="554">
        <f>'[3]Mechanical data, limits'!A100</f>
        <v>1.92</v>
      </c>
      <c r="B100" s="530">
        <f>'[3]Mechanical data, limits'!B100</f>
        <v>0</v>
      </c>
      <c r="C100" s="530">
        <f>'[3]Mechanical data, limits'!C100</f>
        <v>0</v>
      </c>
      <c r="D100" s="530">
        <f>'[3]Mechanical data, limits'!D100</f>
        <v>0</v>
      </c>
      <c r="E100" s="554">
        <f>'[3]Mechanical data, limits'!E100</f>
        <v>1.6</v>
      </c>
      <c r="F100" s="530">
        <f>'[3]Mechanical data, limits'!F100</f>
        <v>0</v>
      </c>
      <c r="G100" s="530">
        <f>'[3]Mechanical data, limits'!G100</f>
        <v>0</v>
      </c>
      <c r="H100" s="530">
        <f>'[3]Mechanical data, limits'!H100</f>
        <v>0</v>
      </c>
      <c r="I100" s="530">
        <f>'[3]Mechanical data, limits'!I100</f>
        <v>0</v>
      </c>
      <c r="J100" s="530">
        <f>'[3]Mechanical data, limits'!J100</f>
        <v>0</v>
      </c>
      <c r="K100" s="530">
        <f>'[3]Mechanical data, limits'!K100</f>
        <v>0</v>
      </c>
      <c r="L100" s="530">
        <f>'[3]Mechanical data, limits'!L100</f>
        <v>0</v>
      </c>
      <c r="M100" s="530">
        <f>'[3]Mechanical data, limits'!M100</f>
        <v>0</v>
      </c>
      <c r="N100" s="530">
        <f>'[3]Mechanical data, limits'!N100</f>
        <v>0</v>
      </c>
      <c r="O100" s="530">
        <f>'[3]Mechanical data, limits'!O100</f>
        <v>0</v>
      </c>
      <c r="P100" s="530">
        <f>'[3]Mechanical data, limits'!P100</f>
        <v>0</v>
      </c>
      <c r="Q100" s="530">
        <f>'[3]Mechanical data, limits'!Q100</f>
        <v>0</v>
      </c>
      <c r="R100" s="530">
        <f>'[3]Mechanical data, limits'!R100</f>
        <v>0</v>
      </c>
      <c r="S100" s="530">
        <f>'[3]Mechanical data, limits'!S100</f>
        <v>0</v>
      </c>
      <c r="T100" s="530">
        <f>'[3]Mechanical data, limits'!T100</f>
        <v>0</v>
      </c>
      <c r="U100" s="530">
        <f>'[3]Mechanical data, limits'!U100</f>
        <v>0</v>
      </c>
      <c r="V100" s="554">
        <f>'[3]Mechanical data, limits'!V100</f>
        <v>0.85</v>
      </c>
      <c r="W100" s="554">
        <f>'[3]Mechanical data, limits'!W100</f>
        <v>0.85</v>
      </c>
      <c r="X100" s="530">
        <f>'[3]Mechanical data, limits'!X100</f>
        <v>0</v>
      </c>
      <c r="Y100" s="554">
        <f>'[3]Mechanical data, limits'!Y100</f>
        <v>0</v>
      </c>
    </row>
    <row r="101" spans="1:25">
      <c r="A101" s="554">
        <f>'[3]Mechanical data, limits'!A101</f>
        <v>2.11</v>
      </c>
      <c r="B101" s="530">
        <f>'[3]Mechanical data, limits'!B101</f>
        <v>0</v>
      </c>
      <c r="C101" s="530">
        <f>'[3]Mechanical data, limits'!C101</f>
        <v>0</v>
      </c>
      <c r="D101" s="530">
        <f>'[3]Mechanical data, limits'!D101</f>
        <v>0</v>
      </c>
      <c r="E101" s="555">
        <f>'[3]Mechanical data, limits'!E101</f>
        <v>1.7</v>
      </c>
      <c r="F101" s="530">
        <f>'[3]Mechanical data, limits'!F101</f>
        <v>0</v>
      </c>
      <c r="G101" s="530">
        <f>'[3]Mechanical data, limits'!G101</f>
        <v>0</v>
      </c>
      <c r="H101" s="530">
        <f>'[3]Mechanical data, limits'!H101</f>
        <v>0</v>
      </c>
      <c r="I101" s="530">
        <f>'[3]Mechanical data, limits'!I101</f>
        <v>0</v>
      </c>
      <c r="J101" s="530">
        <f>'[3]Mechanical data, limits'!J101</f>
        <v>0</v>
      </c>
      <c r="K101" s="530">
        <f>'[3]Mechanical data, limits'!K101</f>
        <v>0</v>
      </c>
      <c r="L101" s="530">
        <f>'[3]Mechanical data, limits'!L101</f>
        <v>0</v>
      </c>
      <c r="M101" s="530">
        <f>'[3]Mechanical data, limits'!M101</f>
        <v>0</v>
      </c>
      <c r="N101" s="530">
        <f>'[3]Mechanical data, limits'!N101</f>
        <v>0</v>
      </c>
      <c r="O101" s="530">
        <f>'[3]Mechanical data, limits'!O101</f>
        <v>0</v>
      </c>
      <c r="P101" s="530">
        <f>'[3]Mechanical data, limits'!P101</f>
        <v>0</v>
      </c>
      <c r="Q101" s="530">
        <f>'[3]Mechanical data, limits'!Q101</f>
        <v>0</v>
      </c>
      <c r="R101" s="530">
        <f>'[3]Mechanical data, limits'!R101</f>
        <v>0</v>
      </c>
      <c r="S101" s="530">
        <f>'[3]Mechanical data, limits'!S101</f>
        <v>0</v>
      </c>
      <c r="T101" s="530">
        <f>'[3]Mechanical data, limits'!T101</f>
        <v>0</v>
      </c>
      <c r="U101" s="530">
        <f>'[3]Mechanical data, limits'!U101</f>
        <v>0</v>
      </c>
      <c r="V101" s="554">
        <f>'[3]Mechanical data, limits'!V101</f>
        <v>0.875</v>
      </c>
      <c r="W101" s="554">
        <f>'[3]Mechanical data, limits'!W101</f>
        <v>0.875</v>
      </c>
      <c r="X101" s="530">
        <f>'[3]Mechanical data, limits'!X101</f>
        <v>0</v>
      </c>
      <c r="Y101" s="554">
        <f>'[3]Mechanical data, limits'!Y101</f>
        <v>0</v>
      </c>
    </row>
    <row r="102" spans="1:25">
      <c r="A102" s="554">
        <f>'[3]Mechanical data, limits'!A102</f>
        <v>2.3199999999999998</v>
      </c>
      <c r="B102" s="530">
        <f>'[3]Mechanical data, limits'!B102</f>
        <v>0</v>
      </c>
      <c r="C102" s="530">
        <f>'[3]Mechanical data, limits'!C102</f>
        <v>0</v>
      </c>
      <c r="D102" s="530">
        <f>'[3]Mechanical data, limits'!D102</f>
        <v>0</v>
      </c>
      <c r="E102" s="557">
        <f>'[3]Mechanical data, limits'!E102</f>
        <v>1.8</v>
      </c>
      <c r="F102" s="530">
        <f>'[3]Mechanical data, limits'!F102</f>
        <v>0</v>
      </c>
      <c r="G102" s="530">
        <f>'[3]Mechanical data, limits'!G102</f>
        <v>0</v>
      </c>
      <c r="H102" s="530">
        <f>'[3]Mechanical data, limits'!H102</f>
        <v>0</v>
      </c>
      <c r="I102" s="530">
        <f>'[3]Mechanical data, limits'!I102</f>
        <v>0</v>
      </c>
      <c r="J102" s="530">
        <f>'[3]Mechanical data, limits'!J102</f>
        <v>0</v>
      </c>
      <c r="K102" s="530">
        <f>'[3]Mechanical data, limits'!K102</f>
        <v>0</v>
      </c>
      <c r="L102" s="530">
        <f>'[3]Mechanical data, limits'!L102</f>
        <v>0</v>
      </c>
      <c r="M102" s="530">
        <f>'[3]Mechanical data, limits'!M102</f>
        <v>0</v>
      </c>
      <c r="N102" s="530">
        <f>'[3]Mechanical data, limits'!N102</f>
        <v>0</v>
      </c>
      <c r="O102" s="530">
        <f>'[3]Mechanical data, limits'!O102</f>
        <v>0</v>
      </c>
      <c r="P102" s="530">
        <f>'[3]Mechanical data, limits'!P102</f>
        <v>0</v>
      </c>
      <c r="Q102" s="530">
        <f>'[3]Mechanical data, limits'!Q102</f>
        <v>0</v>
      </c>
      <c r="R102" s="530">
        <f>'[3]Mechanical data, limits'!R102</f>
        <v>0</v>
      </c>
      <c r="S102" s="530">
        <f>'[3]Mechanical data, limits'!S102</f>
        <v>0</v>
      </c>
      <c r="T102" s="530">
        <f>'[3]Mechanical data, limits'!T102</f>
        <v>0</v>
      </c>
      <c r="U102" s="530">
        <f>'[3]Mechanical data, limits'!U102</f>
        <v>0</v>
      </c>
      <c r="V102" s="554">
        <f>'[3]Mechanical data, limits'!V102</f>
        <v>0.9</v>
      </c>
      <c r="W102" s="554">
        <f>'[3]Mechanical data, limits'!W102</f>
        <v>0.9</v>
      </c>
      <c r="X102" s="530">
        <f>'[3]Mechanical data, limits'!X102</f>
        <v>0</v>
      </c>
      <c r="Y102" s="554">
        <f>'[3]Mechanical data, limits'!Y102</f>
        <v>0</v>
      </c>
    </row>
    <row r="103" spans="1:25">
      <c r="A103" s="554">
        <f>'[3]Mechanical data, limits'!A103</f>
        <v>2.5500000000000003</v>
      </c>
      <c r="B103" s="530">
        <f>'[3]Mechanical data, limits'!B103</f>
        <v>0</v>
      </c>
      <c r="C103" s="530">
        <f>'[3]Mechanical data, limits'!C103</f>
        <v>0</v>
      </c>
      <c r="D103" s="530">
        <f>'[3]Mechanical data, limits'!D103</f>
        <v>0</v>
      </c>
      <c r="E103" s="530">
        <f>'[3]Mechanical data, limits'!E103</f>
        <v>0</v>
      </c>
      <c r="F103" s="530">
        <f>'[3]Mechanical data, limits'!F103</f>
        <v>0</v>
      </c>
      <c r="G103" s="530">
        <f>'[3]Mechanical data, limits'!G103</f>
        <v>0</v>
      </c>
      <c r="H103" s="530">
        <f>'[3]Mechanical data, limits'!H103</f>
        <v>0</v>
      </c>
      <c r="I103" s="530">
        <f>'[3]Mechanical data, limits'!I103</f>
        <v>0</v>
      </c>
      <c r="J103" s="530">
        <f>'[3]Mechanical data, limits'!J103</f>
        <v>0</v>
      </c>
      <c r="K103" s="530">
        <f>'[3]Mechanical data, limits'!K103</f>
        <v>0</v>
      </c>
      <c r="L103" s="530">
        <f>'[3]Mechanical data, limits'!L103</f>
        <v>0</v>
      </c>
      <c r="M103" s="530">
        <f>'[3]Mechanical data, limits'!M103</f>
        <v>0</v>
      </c>
      <c r="N103" s="530">
        <f>'[3]Mechanical data, limits'!N103</f>
        <v>0</v>
      </c>
      <c r="O103" s="530">
        <f>'[3]Mechanical data, limits'!O103</f>
        <v>0</v>
      </c>
      <c r="P103" s="530">
        <f>'[3]Mechanical data, limits'!P103</f>
        <v>0</v>
      </c>
      <c r="Q103" s="530">
        <f>'[3]Mechanical data, limits'!Q103</f>
        <v>0</v>
      </c>
      <c r="R103" s="530">
        <f>'[3]Mechanical data, limits'!R103</f>
        <v>0</v>
      </c>
      <c r="S103" s="530">
        <f>'[3]Mechanical data, limits'!S103</f>
        <v>0</v>
      </c>
      <c r="T103" s="530">
        <f>'[3]Mechanical data, limits'!T103</f>
        <v>0</v>
      </c>
      <c r="U103" s="530">
        <f>'[3]Mechanical data, limits'!U103</f>
        <v>0</v>
      </c>
      <c r="V103" s="554">
        <f>'[3]Mechanical data, limits'!V103</f>
        <v>0.92500000000000004</v>
      </c>
      <c r="W103" s="554">
        <f>'[3]Mechanical data, limits'!W103</f>
        <v>0.92500000000000004</v>
      </c>
      <c r="X103" s="530">
        <f>'[3]Mechanical data, limits'!X103</f>
        <v>0</v>
      </c>
      <c r="Y103" s="554">
        <f>'[3]Mechanical data, limits'!Y103</f>
        <v>0</v>
      </c>
    </row>
    <row r="104" spans="1:25">
      <c r="A104" s="554">
        <f>'[3]Mechanical data, limits'!A104</f>
        <v>2.8050000000000002</v>
      </c>
      <c r="B104" s="530">
        <f>'[3]Mechanical data, limits'!B104</f>
        <v>0</v>
      </c>
      <c r="C104" s="530">
        <f>'[3]Mechanical data, limits'!C104</f>
        <v>0</v>
      </c>
      <c r="D104" s="530">
        <f>'[3]Mechanical data, limits'!D104</f>
        <v>0</v>
      </c>
      <c r="E104" s="530">
        <f>'[3]Mechanical data, limits'!E104</f>
        <v>0</v>
      </c>
      <c r="F104" s="530">
        <f>'[3]Mechanical data, limits'!F104</f>
        <v>0</v>
      </c>
      <c r="G104" s="530">
        <f>'[3]Mechanical data, limits'!G104</f>
        <v>0</v>
      </c>
      <c r="H104" s="530">
        <f>'[3]Mechanical data, limits'!H104</f>
        <v>0</v>
      </c>
      <c r="I104" s="530">
        <f>'[3]Mechanical data, limits'!I104</f>
        <v>0</v>
      </c>
      <c r="J104" s="530">
        <f>'[3]Mechanical data, limits'!J104</f>
        <v>0</v>
      </c>
      <c r="K104" s="530">
        <f>'[3]Mechanical data, limits'!K104</f>
        <v>0</v>
      </c>
      <c r="L104" s="530">
        <f>'[3]Mechanical data, limits'!L104</f>
        <v>0</v>
      </c>
      <c r="M104" s="530">
        <f>'[3]Mechanical data, limits'!M104</f>
        <v>0</v>
      </c>
      <c r="N104" s="530">
        <f>'[3]Mechanical data, limits'!N104</f>
        <v>0</v>
      </c>
      <c r="O104" s="530">
        <f>'[3]Mechanical data, limits'!O104</f>
        <v>0</v>
      </c>
      <c r="P104" s="530">
        <f>'[3]Mechanical data, limits'!P104</f>
        <v>0</v>
      </c>
      <c r="Q104" s="530">
        <f>'[3]Mechanical data, limits'!Q104</f>
        <v>0</v>
      </c>
      <c r="R104" s="530">
        <f>'[3]Mechanical data, limits'!R104</f>
        <v>0</v>
      </c>
      <c r="S104" s="530">
        <f>'[3]Mechanical data, limits'!S104</f>
        <v>0</v>
      </c>
      <c r="T104" s="530">
        <f>'[3]Mechanical data, limits'!T104</f>
        <v>0</v>
      </c>
      <c r="U104" s="530">
        <f>'[3]Mechanical data, limits'!U104</f>
        <v>0</v>
      </c>
      <c r="V104" s="554">
        <f>'[3]Mechanical data, limits'!V104</f>
        <v>0.95</v>
      </c>
      <c r="W104" s="554">
        <f>'[3]Mechanical data, limits'!W104</f>
        <v>0.95</v>
      </c>
      <c r="X104" s="530">
        <f>'[3]Mechanical data, limits'!X104</f>
        <v>0</v>
      </c>
      <c r="Y104" s="554">
        <f>'[3]Mechanical data, limits'!Y104</f>
        <v>0</v>
      </c>
    </row>
    <row r="105" spans="1:25">
      <c r="A105" s="530">
        <f>'[3]Mechanical data, limits'!A105</f>
        <v>0</v>
      </c>
      <c r="B105" s="530">
        <f>'[3]Mechanical data, limits'!B105</f>
        <v>0</v>
      </c>
      <c r="C105" s="530">
        <f>'[3]Mechanical data, limits'!C105</f>
        <v>0</v>
      </c>
      <c r="D105" s="530">
        <f>'[3]Mechanical data, limits'!D105</f>
        <v>0</v>
      </c>
      <c r="E105" s="530">
        <f>'[3]Mechanical data, limits'!E105</f>
        <v>0</v>
      </c>
      <c r="F105" s="530">
        <f>'[3]Mechanical data, limits'!F105</f>
        <v>0</v>
      </c>
      <c r="G105" s="530">
        <f>'[3]Mechanical data, limits'!G105</f>
        <v>0</v>
      </c>
      <c r="H105" s="530">
        <f>'[3]Mechanical data, limits'!H105</f>
        <v>0</v>
      </c>
      <c r="I105" s="530">
        <f>'[3]Mechanical data, limits'!I105</f>
        <v>0</v>
      </c>
      <c r="J105" s="530">
        <f>'[3]Mechanical data, limits'!J105</f>
        <v>0</v>
      </c>
      <c r="K105" s="530">
        <f>'[3]Mechanical data, limits'!K105</f>
        <v>0</v>
      </c>
      <c r="L105" s="530">
        <f>'[3]Mechanical data, limits'!L105</f>
        <v>0</v>
      </c>
      <c r="M105" s="530">
        <f>'[3]Mechanical data, limits'!M105</f>
        <v>0</v>
      </c>
      <c r="N105" s="530">
        <f>'[3]Mechanical data, limits'!N105</f>
        <v>0</v>
      </c>
      <c r="O105" s="530">
        <f>'[3]Mechanical data, limits'!O105</f>
        <v>0</v>
      </c>
      <c r="P105" s="530">
        <f>'[3]Mechanical data, limits'!P105</f>
        <v>0</v>
      </c>
      <c r="Q105" s="530">
        <f>'[3]Mechanical data, limits'!Q105</f>
        <v>0</v>
      </c>
      <c r="R105" s="530">
        <f>'[3]Mechanical data, limits'!R105</f>
        <v>0</v>
      </c>
      <c r="S105" s="530">
        <f>'[3]Mechanical data, limits'!S105</f>
        <v>0</v>
      </c>
      <c r="T105" s="530">
        <f>'[3]Mechanical data, limits'!T105</f>
        <v>0</v>
      </c>
      <c r="U105" s="530">
        <f>'[3]Mechanical data, limits'!U105</f>
        <v>0</v>
      </c>
      <c r="V105" s="554">
        <f>'[3]Mechanical data, limits'!V105</f>
        <v>0.97499999999999998</v>
      </c>
      <c r="W105" s="554">
        <f>'[3]Mechanical data, limits'!W105</f>
        <v>0.97499999999999998</v>
      </c>
      <c r="X105" s="530">
        <f>'[3]Mechanical data, limits'!X105</f>
        <v>0</v>
      </c>
      <c r="Y105" s="554">
        <f>'[3]Mechanical data, limits'!Y105</f>
        <v>0</v>
      </c>
    </row>
    <row r="106" spans="1:25">
      <c r="A106" s="530">
        <f>'[3]Mechanical data, limits'!A106</f>
        <v>0</v>
      </c>
      <c r="B106" s="530">
        <f>'[3]Mechanical data, limits'!B106</f>
        <v>0</v>
      </c>
      <c r="C106" s="530">
        <f>'[3]Mechanical data, limits'!C106</f>
        <v>0</v>
      </c>
      <c r="D106" s="530">
        <f>'[3]Mechanical data, limits'!D106</f>
        <v>0</v>
      </c>
      <c r="E106" s="530">
        <f>'[3]Mechanical data, limits'!E106</f>
        <v>0</v>
      </c>
      <c r="F106" s="530">
        <f>'[3]Mechanical data, limits'!F106</f>
        <v>0</v>
      </c>
      <c r="G106" s="530">
        <f>'[3]Mechanical data, limits'!G106</f>
        <v>0</v>
      </c>
      <c r="H106" s="530">
        <f>'[3]Mechanical data, limits'!H106</f>
        <v>0</v>
      </c>
      <c r="I106" s="530">
        <f>'[3]Mechanical data, limits'!I106</f>
        <v>0</v>
      </c>
      <c r="J106" s="530">
        <f>'[3]Mechanical data, limits'!J106</f>
        <v>0</v>
      </c>
      <c r="K106" s="530">
        <f>'[3]Mechanical data, limits'!K106</f>
        <v>0</v>
      </c>
      <c r="L106" s="530">
        <f>'[3]Mechanical data, limits'!L106</f>
        <v>0</v>
      </c>
      <c r="M106" s="530">
        <f>'[3]Mechanical data, limits'!M106</f>
        <v>0</v>
      </c>
      <c r="N106" s="530">
        <f>'[3]Mechanical data, limits'!N106</f>
        <v>0</v>
      </c>
      <c r="O106" s="530">
        <f>'[3]Mechanical data, limits'!O106</f>
        <v>0</v>
      </c>
      <c r="P106" s="530">
        <f>'[3]Mechanical data, limits'!P106</f>
        <v>0</v>
      </c>
      <c r="Q106" s="530">
        <f>'[3]Mechanical data, limits'!Q106</f>
        <v>0</v>
      </c>
      <c r="R106" s="530">
        <f>'[3]Mechanical data, limits'!R106</f>
        <v>0</v>
      </c>
      <c r="S106" s="530">
        <f>'[3]Mechanical data, limits'!S106</f>
        <v>0</v>
      </c>
      <c r="T106" s="530">
        <f>'[3]Mechanical data, limits'!T106</f>
        <v>0</v>
      </c>
      <c r="U106" s="530">
        <f>'[3]Mechanical data, limits'!U106</f>
        <v>0</v>
      </c>
      <c r="V106" s="554">
        <f>'[3]Mechanical data, limits'!V106</f>
        <v>1</v>
      </c>
      <c r="W106" s="554">
        <f>'[3]Mechanical data, limits'!W106</f>
        <v>1</v>
      </c>
      <c r="X106" s="530">
        <f>'[3]Mechanical data, limits'!X106</f>
        <v>0</v>
      </c>
      <c r="Y106" s="530">
        <f>'[3]Mechanical data, limits'!Y106</f>
        <v>0</v>
      </c>
    </row>
    <row r="107" spans="1:25">
      <c r="A107" s="530">
        <f>'[3]Mechanical data, limits'!A107</f>
        <v>0</v>
      </c>
      <c r="B107" s="530">
        <f>'[3]Mechanical data, limits'!B107</f>
        <v>0</v>
      </c>
      <c r="C107" s="530">
        <f>'[3]Mechanical data, limits'!C107</f>
        <v>0</v>
      </c>
      <c r="D107" s="530">
        <f>'[3]Mechanical data, limits'!D107</f>
        <v>0</v>
      </c>
      <c r="E107" s="530">
        <f>'[3]Mechanical data, limits'!E107</f>
        <v>0</v>
      </c>
      <c r="F107" s="530">
        <f>'[3]Mechanical data, limits'!F107</f>
        <v>0</v>
      </c>
      <c r="G107" s="530">
        <f>'[3]Mechanical data, limits'!G107</f>
        <v>0</v>
      </c>
      <c r="H107" s="530">
        <f>'[3]Mechanical data, limits'!H107</f>
        <v>0</v>
      </c>
      <c r="I107" s="530">
        <f>'[3]Mechanical data, limits'!I107</f>
        <v>0</v>
      </c>
      <c r="J107" s="530">
        <f>'[3]Mechanical data, limits'!J107</f>
        <v>0</v>
      </c>
      <c r="K107" s="530">
        <f>'[3]Mechanical data, limits'!K107</f>
        <v>0</v>
      </c>
      <c r="L107" s="530">
        <f>'[3]Mechanical data, limits'!L107</f>
        <v>0</v>
      </c>
      <c r="M107" s="530">
        <f>'[3]Mechanical data, limits'!M107</f>
        <v>0</v>
      </c>
      <c r="N107" s="530">
        <f>'[3]Mechanical data, limits'!N107</f>
        <v>0</v>
      </c>
      <c r="O107" s="530">
        <f>'[3]Mechanical data, limits'!O107</f>
        <v>0</v>
      </c>
      <c r="P107" s="530">
        <f>'[3]Mechanical data, limits'!P107</f>
        <v>0</v>
      </c>
      <c r="Q107" s="530">
        <f>'[3]Mechanical data, limits'!Q107</f>
        <v>0</v>
      </c>
      <c r="R107" s="530">
        <f>'[3]Mechanical data, limits'!R107</f>
        <v>0</v>
      </c>
      <c r="S107" s="530">
        <f>'[3]Mechanical data, limits'!S107</f>
        <v>0</v>
      </c>
      <c r="T107" s="530">
        <f>'[3]Mechanical data, limits'!T107</f>
        <v>0</v>
      </c>
      <c r="U107" s="530">
        <f>'[3]Mechanical data, limits'!U107</f>
        <v>0</v>
      </c>
      <c r="V107" s="554">
        <f>'[3]Mechanical data, limits'!V107</f>
        <v>1.0249999999999999</v>
      </c>
      <c r="W107" s="554">
        <f>'[3]Mechanical data, limits'!W107</f>
        <v>1.0249999999999999</v>
      </c>
      <c r="X107" s="530">
        <f>'[3]Mechanical data, limits'!X107</f>
        <v>0</v>
      </c>
      <c r="Y107" s="530">
        <f>'[3]Mechanical data, limits'!Y107</f>
        <v>0</v>
      </c>
    </row>
    <row r="108" spans="1:25">
      <c r="A108" s="530">
        <f>'[3]Mechanical data, limits'!A108</f>
        <v>0</v>
      </c>
      <c r="B108" s="530">
        <f>'[3]Mechanical data, limits'!B108</f>
        <v>0</v>
      </c>
      <c r="C108" s="558">
        <f>'[3]Mechanical data, limits'!C108</f>
        <v>0</v>
      </c>
      <c r="D108" s="530">
        <f>'[3]Mechanical data, limits'!D108</f>
        <v>0</v>
      </c>
      <c r="E108" s="530">
        <f>'[3]Mechanical data, limits'!E108</f>
        <v>0</v>
      </c>
      <c r="F108" s="530">
        <f>'[3]Mechanical data, limits'!F108</f>
        <v>0</v>
      </c>
      <c r="G108" s="530">
        <f>'[3]Mechanical data, limits'!G108</f>
        <v>0</v>
      </c>
      <c r="H108" s="530">
        <f>'[3]Mechanical data, limits'!H108</f>
        <v>0</v>
      </c>
      <c r="I108" s="530">
        <f>'[3]Mechanical data, limits'!I108</f>
        <v>0</v>
      </c>
      <c r="J108" s="530">
        <f>'[3]Mechanical data, limits'!J108</f>
        <v>0</v>
      </c>
      <c r="K108" s="530">
        <f>'[3]Mechanical data, limits'!K108</f>
        <v>0</v>
      </c>
      <c r="L108" s="530">
        <f>'[3]Mechanical data, limits'!L108</f>
        <v>0</v>
      </c>
      <c r="M108" s="530">
        <f>'[3]Mechanical data, limits'!M108</f>
        <v>0</v>
      </c>
      <c r="N108" s="530">
        <f>'[3]Mechanical data, limits'!N108</f>
        <v>0</v>
      </c>
      <c r="O108" s="530">
        <f>'[3]Mechanical data, limits'!O108</f>
        <v>0</v>
      </c>
      <c r="P108" s="530">
        <f>'[3]Mechanical data, limits'!P108</f>
        <v>0</v>
      </c>
      <c r="Q108" s="530">
        <f>'[3]Mechanical data, limits'!Q108</f>
        <v>0</v>
      </c>
      <c r="R108" s="530">
        <f>'[3]Mechanical data, limits'!R108</f>
        <v>0</v>
      </c>
      <c r="S108" s="530">
        <f>'[3]Mechanical data, limits'!S108</f>
        <v>0</v>
      </c>
      <c r="T108" s="530">
        <f>'[3]Mechanical data, limits'!T108</f>
        <v>0</v>
      </c>
      <c r="U108" s="530">
        <f>'[3]Mechanical data, limits'!U108</f>
        <v>0</v>
      </c>
      <c r="V108" s="554">
        <f>'[3]Mechanical data, limits'!V108</f>
        <v>1.05</v>
      </c>
      <c r="W108" s="554">
        <f>'[3]Mechanical data, limits'!W108</f>
        <v>1.05</v>
      </c>
      <c r="X108" s="530">
        <f>'[3]Mechanical data, limits'!X108</f>
        <v>0</v>
      </c>
      <c r="Y108" s="530">
        <f>'[3]Mechanical data, limits'!Y108</f>
        <v>0</v>
      </c>
    </row>
    <row r="109" spans="1:25">
      <c r="A109" s="530">
        <f>'[3]Mechanical data, limits'!A109</f>
        <v>0</v>
      </c>
      <c r="B109" s="530">
        <f>'[3]Mechanical data, limits'!B109</f>
        <v>0</v>
      </c>
      <c r="C109" s="558">
        <f>'[3]Mechanical data, limits'!C109</f>
        <v>0</v>
      </c>
      <c r="D109" s="530">
        <f>'[3]Mechanical data, limits'!D109</f>
        <v>0</v>
      </c>
      <c r="E109" s="530">
        <f>'[3]Mechanical data, limits'!E109</f>
        <v>0</v>
      </c>
      <c r="F109" s="530">
        <f>'[3]Mechanical data, limits'!F109</f>
        <v>0</v>
      </c>
      <c r="G109" s="530">
        <f>'[3]Mechanical data, limits'!G109</f>
        <v>0</v>
      </c>
      <c r="H109" s="530">
        <f>'[3]Mechanical data, limits'!H109</f>
        <v>0</v>
      </c>
      <c r="I109" s="530">
        <f>'[3]Mechanical data, limits'!I109</f>
        <v>0</v>
      </c>
      <c r="J109" s="530">
        <f>'[3]Mechanical data, limits'!J109</f>
        <v>0</v>
      </c>
      <c r="K109" s="530">
        <f>'[3]Mechanical data, limits'!K109</f>
        <v>0</v>
      </c>
      <c r="L109" s="530">
        <f>'[3]Mechanical data, limits'!L109</f>
        <v>0</v>
      </c>
      <c r="M109" s="530">
        <f>'[3]Mechanical data, limits'!M109</f>
        <v>0</v>
      </c>
      <c r="N109" s="530">
        <f>'[3]Mechanical data, limits'!N109</f>
        <v>0</v>
      </c>
      <c r="O109" s="530">
        <f>'[3]Mechanical data, limits'!O109</f>
        <v>0</v>
      </c>
      <c r="P109" s="530">
        <f>'[3]Mechanical data, limits'!P109</f>
        <v>0</v>
      </c>
      <c r="Q109" s="530">
        <f>'[3]Mechanical data, limits'!Q109</f>
        <v>0</v>
      </c>
      <c r="R109" s="530">
        <f>'[3]Mechanical data, limits'!R109</f>
        <v>0</v>
      </c>
      <c r="S109" s="530">
        <f>'[3]Mechanical data, limits'!S109</f>
        <v>0</v>
      </c>
      <c r="T109" s="530">
        <f>'[3]Mechanical data, limits'!T109</f>
        <v>0</v>
      </c>
      <c r="U109" s="530">
        <f>'[3]Mechanical data, limits'!U109</f>
        <v>0</v>
      </c>
      <c r="V109" s="554">
        <f>'[3]Mechanical data, limits'!V109</f>
        <v>1.075</v>
      </c>
      <c r="W109" s="554">
        <f>'[3]Mechanical data, limits'!W109</f>
        <v>1.075</v>
      </c>
      <c r="X109" s="530">
        <f>'[3]Mechanical data, limits'!X109</f>
        <v>0</v>
      </c>
      <c r="Y109" s="530">
        <f>'[3]Mechanical data, limits'!Y109</f>
        <v>0</v>
      </c>
    </row>
    <row r="110" spans="1:25">
      <c r="A110" s="530">
        <f>'[3]Mechanical data, limits'!A110</f>
        <v>0</v>
      </c>
      <c r="B110" s="530">
        <f>'[3]Mechanical data, limits'!B110</f>
        <v>0</v>
      </c>
      <c r="C110" s="558">
        <f>'[3]Mechanical data, limits'!C110</f>
        <v>0</v>
      </c>
      <c r="D110" s="530">
        <f>'[3]Mechanical data, limits'!D110</f>
        <v>0</v>
      </c>
      <c r="E110" s="530">
        <f>'[3]Mechanical data, limits'!E110</f>
        <v>0</v>
      </c>
      <c r="F110" s="530">
        <f>'[3]Mechanical data, limits'!F110</f>
        <v>0</v>
      </c>
      <c r="G110" s="530">
        <f>'[3]Mechanical data, limits'!G110</f>
        <v>0</v>
      </c>
      <c r="H110" s="530">
        <f>'[3]Mechanical data, limits'!H110</f>
        <v>0</v>
      </c>
      <c r="I110" s="530">
        <f>'[3]Mechanical data, limits'!I110</f>
        <v>0</v>
      </c>
      <c r="J110" s="530">
        <f>'[3]Mechanical data, limits'!J110</f>
        <v>0</v>
      </c>
      <c r="K110" s="530">
        <f>'[3]Mechanical data, limits'!K110</f>
        <v>0</v>
      </c>
      <c r="L110" s="530">
        <f>'[3]Mechanical data, limits'!L110</f>
        <v>0</v>
      </c>
      <c r="M110" s="530">
        <f>'[3]Mechanical data, limits'!M110</f>
        <v>0</v>
      </c>
      <c r="N110" s="530">
        <f>'[3]Mechanical data, limits'!N110</f>
        <v>0</v>
      </c>
      <c r="O110" s="530">
        <f>'[3]Mechanical data, limits'!O110</f>
        <v>0</v>
      </c>
      <c r="P110" s="530">
        <f>'[3]Mechanical data, limits'!P110</f>
        <v>0</v>
      </c>
      <c r="Q110" s="530">
        <f>'[3]Mechanical data, limits'!Q110</f>
        <v>0</v>
      </c>
      <c r="R110" s="530">
        <f>'[3]Mechanical data, limits'!R110</f>
        <v>0</v>
      </c>
      <c r="S110" s="530">
        <f>'[3]Mechanical data, limits'!S110</f>
        <v>0</v>
      </c>
      <c r="T110" s="530">
        <f>'[3]Mechanical data, limits'!T110</f>
        <v>0</v>
      </c>
      <c r="U110" s="530">
        <f>'[3]Mechanical data, limits'!U110</f>
        <v>0</v>
      </c>
      <c r="V110" s="554">
        <f>'[3]Mechanical data, limits'!V110</f>
        <v>1.1200000000000001</v>
      </c>
      <c r="W110" s="554">
        <f>'[3]Mechanical data, limits'!W110</f>
        <v>1.1200000000000001</v>
      </c>
      <c r="X110" s="530">
        <f>'[3]Mechanical data, limits'!X110</f>
        <v>0</v>
      </c>
      <c r="Y110" s="530">
        <f>'[3]Mechanical data, limits'!Y110</f>
        <v>0</v>
      </c>
    </row>
    <row r="111" spans="1:25">
      <c r="A111" s="530">
        <f>'[3]Mechanical data, limits'!A111</f>
        <v>0</v>
      </c>
      <c r="B111" s="530">
        <f>'[3]Mechanical data, limits'!B111</f>
        <v>0</v>
      </c>
      <c r="C111" s="558">
        <f>'[3]Mechanical data, limits'!C111</f>
        <v>0</v>
      </c>
      <c r="D111" s="530">
        <f>'[3]Mechanical data, limits'!D111</f>
        <v>0</v>
      </c>
      <c r="E111" s="530">
        <f>'[3]Mechanical data, limits'!E111</f>
        <v>0</v>
      </c>
      <c r="F111" s="530">
        <f>'[3]Mechanical data, limits'!F111</f>
        <v>0</v>
      </c>
      <c r="G111" s="530">
        <f>'[3]Mechanical data, limits'!G111</f>
        <v>0</v>
      </c>
      <c r="H111" s="530">
        <f>'[3]Mechanical data, limits'!H111</f>
        <v>0</v>
      </c>
      <c r="I111" s="530">
        <f>'[3]Mechanical data, limits'!I111</f>
        <v>0</v>
      </c>
      <c r="J111" s="530">
        <f>'[3]Mechanical data, limits'!J111</f>
        <v>0</v>
      </c>
      <c r="K111" s="530">
        <f>'[3]Mechanical data, limits'!K111</f>
        <v>0</v>
      </c>
      <c r="L111" s="530">
        <f>'[3]Mechanical data, limits'!L111</f>
        <v>0</v>
      </c>
      <c r="M111" s="530">
        <f>'[3]Mechanical data, limits'!M111</f>
        <v>0</v>
      </c>
      <c r="N111" s="530">
        <f>'[3]Mechanical data, limits'!N111</f>
        <v>0</v>
      </c>
      <c r="O111" s="530">
        <f>'[3]Mechanical data, limits'!O111</f>
        <v>0</v>
      </c>
      <c r="P111" s="530">
        <f>'[3]Mechanical data, limits'!P111</f>
        <v>0</v>
      </c>
      <c r="Q111" s="530">
        <f>'[3]Mechanical data, limits'!Q111</f>
        <v>0</v>
      </c>
      <c r="R111" s="530">
        <f>'[3]Mechanical data, limits'!R111</f>
        <v>0</v>
      </c>
      <c r="S111" s="530">
        <f>'[3]Mechanical data, limits'!S111</f>
        <v>0</v>
      </c>
      <c r="T111" s="530">
        <f>'[3]Mechanical data, limits'!T111</f>
        <v>0</v>
      </c>
      <c r="U111" s="530">
        <f>'[3]Mechanical data, limits'!U111</f>
        <v>0</v>
      </c>
      <c r="V111" s="554">
        <f>'[3]Mechanical data, limits'!V111</f>
        <v>1.1000000000000001</v>
      </c>
      <c r="W111" s="554">
        <f>'[3]Mechanical data, limits'!W111</f>
        <v>1.1000000000000001</v>
      </c>
      <c r="X111" s="530">
        <f>'[3]Mechanical data, limits'!X111</f>
        <v>0</v>
      </c>
      <c r="Y111" s="530">
        <f>'[3]Mechanical data, limits'!Y111</f>
        <v>0</v>
      </c>
    </row>
    <row r="112" spans="1:25">
      <c r="A112" s="530">
        <f>'[3]Mechanical data, limits'!A112</f>
        <v>0</v>
      </c>
      <c r="B112" s="530">
        <f>'[3]Mechanical data, limits'!B112</f>
        <v>0</v>
      </c>
      <c r="C112" s="558">
        <f>'[3]Mechanical data, limits'!C112</f>
        <v>0</v>
      </c>
      <c r="D112" s="530">
        <f>'[3]Mechanical data, limits'!D112</f>
        <v>0</v>
      </c>
      <c r="E112" s="530">
        <f>'[3]Mechanical data, limits'!E112</f>
        <v>0</v>
      </c>
      <c r="F112" s="530">
        <f>'[3]Mechanical data, limits'!F112</f>
        <v>0</v>
      </c>
      <c r="G112" s="530">
        <f>'[3]Mechanical data, limits'!G112</f>
        <v>0</v>
      </c>
      <c r="H112" s="530">
        <f>'[3]Mechanical data, limits'!H112</f>
        <v>0</v>
      </c>
      <c r="I112" s="530">
        <f>'[3]Mechanical data, limits'!I112</f>
        <v>0</v>
      </c>
      <c r="J112" s="530">
        <f>'[3]Mechanical data, limits'!J112</f>
        <v>0</v>
      </c>
      <c r="K112" s="530">
        <f>'[3]Mechanical data, limits'!K112</f>
        <v>0</v>
      </c>
      <c r="L112" s="530">
        <f>'[3]Mechanical data, limits'!L112</f>
        <v>0</v>
      </c>
      <c r="M112" s="530">
        <f>'[3]Mechanical data, limits'!M112</f>
        <v>0</v>
      </c>
      <c r="N112" s="530">
        <f>'[3]Mechanical data, limits'!N112</f>
        <v>0</v>
      </c>
      <c r="O112" s="530">
        <f>'[3]Mechanical data, limits'!O112</f>
        <v>0</v>
      </c>
      <c r="P112" s="530">
        <f>'[3]Mechanical data, limits'!P112</f>
        <v>0</v>
      </c>
      <c r="Q112" s="530">
        <f>'[3]Mechanical data, limits'!Q112</f>
        <v>0</v>
      </c>
      <c r="R112" s="530">
        <f>'[3]Mechanical data, limits'!R112</f>
        <v>0</v>
      </c>
      <c r="S112" s="530">
        <f>'[3]Mechanical data, limits'!S112</f>
        <v>0</v>
      </c>
      <c r="T112" s="530">
        <f>'[3]Mechanical data, limits'!T112</f>
        <v>0</v>
      </c>
      <c r="U112" s="530">
        <f>'[3]Mechanical data, limits'!U112</f>
        <v>0</v>
      </c>
      <c r="V112" s="554">
        <f>'[3]Mechanical data, limits'!V112</f>
        <v>1.125</v>
      </c>
      <c r="W112" s="554">
        <f>'[3]Mechanical data, limits'!W112</f>
        <v>1.125</v>
      </c>
      <c r="X112" s="530">
        <f>'[3]Mechanical data, limits'!X112</f>
        <v>0</v>
      </c>
      <c r="Y112" s="530">
        <f>'[3]Mechanical data, limits'!Y112</f>
        <v>0</v>
      </c>
    </row>
    <row r="113" spans="1:25">
      <c r="A113" s="530">
        <f>'[3]Mechanical data, limits'!A113</f>
        <v>0</v>
      </c>
      <c r="B113" s="530">
        <f>'[3]Mechanical data, limits'!B113</f>
        <v>0</v>
      </c>
      <c r="C113" s="558">
        <f>'[3]Mechanical data, limits'!C113</f>
        <v>0</v>
      </c>
      <c r="D113" s="530">
        <f>'[3]Mechanical data, limits'!D113</f>
        <v>0</v>
      </c>
      <c r="E113" s="530">
        <f>'[3]Mechanical data, limits'!E113</f>
        <v>0</v>
      </c>
      <c r="F113" s="530">
        <f>'[3]Mechanical data, limits'!F113</f>
        <v>0</v>
      </c>
      <c r="G113" s="530">
        <f>'[3]Mechanical data, limits'!G113</f>
        <v>0</v>
      </c>
      <c r="H113" s="530">
        <f>'[3]Mechanical data, limits'!H113</f>
        <v>0</v>
      </c>
      <c r="I113" s="530">
        <f>'[3]Mechanical data, limits'!I113</f>
        <v>0</v>
      </c>
      <c r="J113" s="530">
        <f>'[3]Mechanical data, limits'!J113</f>
        <v>0</v>
      </c>
      <c r="K113" s="530">
        <f>'[3]Mechanical data, limits'!K113</f>
        <v>0</v>
      </c>
      <c r="L113" s="530">
        <f>'[3]Mechanical data, limits'!L113</f>
        <v>0</v>
      </c>
      <c r="M113" s="530">
        <f>'[3]Mechanical data, limits'!M113</f>
        <v>0</v>
      </c>
      <c r="N113" s="530">
        <f>'[3]Mechanical data, limits'!N113</f>
        <v>0</v>
      </c>
      <c r="O113" s="530">
        <f>'[3]Mechanical data, limits'!O113</f>
        <v>0</v>
      </c>
      <c r="P113" s="530">
        <f>'[3]Mechanical data, limits'!P113</f>
        <v>0</v>
      </c>
      <c r="Q113" s="530">
        <f>'[3]Mechanical data, limits'!Q113</f>
        <v>0</v>
      </c>
      <c r="R113" s="530">
        <f>'[3]Mechanical data, limits'!R113</f>
        <v>0</v>
      </c>
      <c r="S113" s="530">
        <f>'[3]Mechanical data, limits'!S113</f>
        <v>0</v>
      </c>
      <c r="T113" s="530">
        <f>'[3]Mechanical data, limits'!T113</f>
        <v>0</v>
      </c>
      <c r="U113" s="530">
        <f>'[3]Mechanical data, limits'!U113</f>
        <v>0</v>
      </c>
      <c r="V113" s="554">
        <f>'[3]Mechanical data, limits'!V113</f>
        <v>1.1499999999999999</v>
      </c>
      <c r="W113" s="554">
        <f>'[3]Mechanical data, limits'!W113</f>
        <v>1.1499999999999999</v>
      </c>
      <c r="X113" s="530">
        <f>'[3]Mechanical data, limits'!X113</f>
        <v>0</v>
      </c>
      <c r="Y113" s="530">
        <f>'[3]Mechanical data, limits'!Y113</f>
        <v>0</v>
      </c>
    </row>
    <row r="114" spans="1:25">
      <c r="A114" s="530">
        <f>'[3]Mechanical data, limits'!A114</f>
        <v>0</v>
      </c>
      <c r="B114" s="530">
        <f>'[3]Mechanical data, limits'!B114</f>
        <v>0</v>
      </c>
      <c r="C114" s="558">
        <f>'[3]Mechanical data, limits'!C114</f>
        <v>0</v>
      </c>
      <c r="D114" s="530">
        <f>'[3]Mechanical data, limits'!D114</f>
        <v>0</v>
      </c>
      <c r="E114" s="530">
        <f>'[3]Mechanical data, limits'!E114</f>
        <v>0</v>
      </c>
      <c r="F114" s="530">
        <f>'[3]Mechanical data, limits'!F114</f>
        <v>0</v>
      </c>
      <c r="G114" s="530">
        <f>'[3]Mechanical data, limits'!G114</f>
        <v>0</v>
      </c>
      <c r="H114" s="530">
        <f>'[3]Mechanical data, limits'!H114</f>
        <v>0</v>
      </c>
      <c r="I114" s="530">
        <f>'[3]Mechanical data, limits'!I114</f>
        <v>0</v>
      </c>
      <c r="J114" s="530">
        <f>'[3]Mechanical data, limits'!J114</f>
        <v>0</v>
      </c>
      <c r="K114" s="530">
        <f>'[3]Mechanical data, limits'!K114</f>
        <v>0</v>
      </c>
      <c r="L114" s="530">
        <f>'[3]Mechanical data, limits'!L114</f>
        <v>0</v>
      </c>
      <c r="M114" s="530">
        <f>'[3]Mechanical data, limits'!M114</f>
        <v>0</v>
      </c>
      <c r="N114" s="530">
        <f>'[3]Mechanical data, limits'!N114</f>
        <v>0</v>
      </c>
      <c r="O114" s="530">
        <f>'[3]Mechanical data, limits'!O114</f>
        <v>0</v>
      </c>
      <c r="P114" s="530">
        <f>'[3]Mechanical data, limits'!P114</f>
        <v>0</v>
      </c>
      <c r="Q114" s="530">
        <f>'[3]Mechanical data, limits'!Q114</f>
        <v>0</v>
      </c>
      <c r="R114" s="530">
        <f>'[3]Mechanical data, limits'!R114</f>
        <v>0</v>
      </c>
      <c r="S114" s="530">
        <f>'[3]Mechanical data, limits'!S114</f>
        <v>0</v>
      </c>
      <c r="T114" s="530">
        <f>'[3]Mechanical data, limits'!T114</f>
        <v>0</v>
      </c>
      <c r="U114" s="530">
        <f>'[3]Mechanical data, limits'!U114</f>
        <v>0</v>
      </c>
      <c r="V114" s="554">
        <f>'[3]Mechanical data, limits'!V114</f>
        <v>1.175</v>
      </c>
      <c r="W114" s="554">
        <f>'[3]Mechanical data, limits'!W114</f>
        <v>1.175</v>
      </c>
      <c r="X114" s="530">
        <f>'[3]Mechanical data, limits'!X114</f>
        <v>0</v>
      </c>
      <c r="Y114" s="530">
        <f>'[3]Mechanical data, limits'!Y114</f>
        <v>0</v>
      </c>
    </row>
    <row r="115" spans="1:25">
      <c r="A115" s="530">
        <f>'[3]Mechanical data, limits'!A115</f>
        <v>0</v>
      </c>
      <c r="B115" s="530">
        <f>'[3]Mechanical data, limits'!B115</f>
        <v>0</v>
      </c>
      <c r="C115" s="558">
        <f>'[3]Mechanical data, limits'!C115</f>
        <v>0</v>
      </c>
      <c r="D115" s="530">
        <f>'[3]Mechanical data, limits'!D115</f>
        <v>0</v>
      </c>
      <c r="E115" s="530">
        <f>'[3]Mechanical data, limits'!E115</f>
        <v>0</v>
      </c>
      <c r="F115" s="530">
        <f>'[3]Mechanical data, limits'!F115</f>
        <v>0</v>
      </c>
      <c r="G115" s="530">
        <f>'[3]Mechanical data, limits'!G115</f>
        <v>0</v>
      </c>
      <c r="H115" s="530">
        <f>'[3]Mechanical data, limits'!H115</f>
        <v>0</v>
      </c>
      <c r="I115" s="530">
        <f>'[3]Mechanical data, limits'!I115</f>
        <v>0</v>
      </c>
      <c r="J115" s="530">
        <f>'[3]Mechanical data, limits'!J115</f>
        <v>0</v>
      </c>
      <c r="K115" s="530">
        <f>'[3]Mechanical data, limits'!K115</f>
        <v>0</v>
      </c>
      <c r="L115" s="530">
        <f>'[3]Mechanical data, limits'!L115</f>
        <v>0</v>
      </c>
      <c r="M115" s="530">
        <f>'[3]Mechanical data, limits'!M115</f>
        <v>0</v>
      </c>
      <c r="N115" s="530">
        <f>'[3]Mechanical data, limits'!N115</f>
        <v>0</v>
      </c>
      <c r="O115" s="530">
        <f>'[3]Mechanical data, limits'!O115</f>
        <v>0</v>
      </c>
      <c r="P115" s="530">
        <f>'[3]Mechanical data, limits'!P115</f>
        <v>0</v>
      </c>
      <c r="Q115" s="530">
        <f>'[3]Mechanical data, limits'!Q115</f>
        <v>0</v>
      </c>
      <c r="R115" s="530">
        <f>'[3]Mechanical data, limits'!R115</f>
        <v>0</v>
      </c>
      <c r="S115" s="530">
        <f>'[3]Mechanical data, limits'!S115</f>
        <v>0</v>
      </c>
      <c r="T115" s="530">
        <f>'[3]Mechanical data, limits'!T115</f>
        <v>0</v>
      </c>
      <c r="U115" s="530">
        <f>'[3]Mechanical data, limits'!U115</f>
        <v>0</v>
      </c>
      <c r="V115" s="554">
        <f>'[3]Mechanical data, limits'!V115</f>
        <v>1.2</v>
      </c>
      <c r="W115" s="554">
        <f>'[3]Mechanical data, limits'!W115</f>
        <v>1.2</v>
      </c>
      <c r="X115" s="530">
        <f>'[3]Mechanical data, limits'!X115</f>
        <v>0</v>
      </c>
      <c r="Y115" s="530">
        <f>'[3]Mechanical data, limits'!Y115</f>
        <v>0</v>
      </c>
    </row>
    <row r="116" spans="1:25">
      <c r="A116" s="530">
        <f>'[3]Mechanical data, limits'!A116</f>
        <v>0</v>
      </c>
      <c r="B116" s="530">
        <f>'[3]Mechanical data, limits'!B116</f>
        <v>0</v>
      </c>
      <c r="C116" s="530">
        <f>'[3]Mechanical data, limits'!C116</f>
        <v>0</v>
      </c>
      <c r="D116" s="530">
        <f>'[3]Mechanical data, limits'!D116</f>
        <v>0</v>
      </c>
      <c r="E116" s="530">
        <f>'[3]Mechanical data, limits'!E116</f>
        <v>0</v>
      </c>
      <c r="F116" s="530">
        <f>'[3]Mechanical data, limits'!F116</f>
        <v>0</v>
      </c>
      <c r="G116" s="530">
        <f>'[3]Mechanical data, limits'!G116</f>
        <v>0</v>
      </c>
      <c r="H116" s="530">
        <f>'[3]Mechanical data, limits'!H116</f>
        <v>0</v>
      </c>
      <c r="I116" s="530">
        <f>'[3]Mechanical data, limits'!I116</f>
        <v>0</v>
      </c>
      <c r="J116" s="530">
        <f>'[3]Mechanical data, limits'!J116</f>
        <v>0</v>
      </c>
      <c r="K116" s="530">
        <f>'[3]Mechanical data, limits'!K116</f>
        <v>0</v>
      </c>
      <c r="L116" s="530">
        <f>'[3]Mechanical data, limits'!L116</f>
        <v>0</v>
      </c>
      <c r="M116" s="530">
        <f>'[3]Mechanical data, limits'!M116</f>
        <v>0</v>
      </c>
      <c r="N116" s="530">
        <f>'[3]Mechanical data, limits'!N116</f>
        <v>0</v>
      </c>
      <c r="O116" s="530">
        <f>'[3]Mechanical data, limits'!O116</f>
        <v>0</v>
      </c>
      <c r="P116" s="530">
        <f>'[3]Mechanical data, limits'!P116</f>
        <v>0</v>
      </c>
      <c r="Q116" s="530">
        <f>'[3]Mechanical data, limits'!Q116</f>
        <v>0</v>
      </c>
      <c r="R116" s="530">
        <f>'[3]Mechanical data, limits'!R116</f>
        <v>0</v>
      </c>
      <c r="S116" s="530">
        <f>'[3]Mechanical data, limits'!S116</f>
        <v>0</v>
      </c>
      <c r="T116" s="530">
        <f>'[3]Mechanical data, limits'!T116</f>
        <v>0</v>
      </c>
      <c r="U116" s="530">
        <f>'[3]Mechanical data, limits'!U116</f>
        <v>0</v>
      </c>
      <c r="V116" s="554">
        <f>'[3]Mechanical data, limits'!V116</f>
        <v>1.2250000000000001</v>
      </c>
      <c r="W116" s="554">
        <f>'[3]Mechanical data, limits'!W116</f>
        <v>1.2250000000000001</v>
      </c>
      <c r="X116" s="530">
        <f>'[3]Mechanical data, limits'!X116</f>
        <v>0</v>
      </c>
      <c r="Y116" s="530">
        <f>'[3]Mechanical data, limits'!Y116</f>
        <v>0</v>
      </c>
    </row>
    <row r="117" spans="1:25">
      <c r="A117" s="530">
        <f>'[3]Mechanical data, limits'!A117</f>
        <v>0</v>
      </c>
      <c r="B117" s="530">
        <f>'[3]Mechanical data, limits'!B117</f>
        <v>0</v>
      </c>
      <c r="C117" s="530">
        <f>'[3]Mechanical data, limits'!C117</f>
        <v>0</v>
      </c>
      <c r="D117" s="530">
        <f>'[3]Mechanical data, limits'!D117</f>
        <v>0</v>
      </c>
      <c r="E117" s="530">
        <f>'[3]Mechanical data, limits'!E117</f>
        <v>0</v>
      </c>
      <c r="F117" s="530">
        <f>'[3]Mechanical data, limits'!F117</f>
        <v>0</v>
      </c>
      <c r="G117" s="530">
        <f>'[3]Mechanical data, limits'!G117</f>
        <v>0</v>
      </c>
      <c r="H117" s="530">
        <f>'[3]Mechanical data, limits'!H117</f>
        <v>0</v>
      </c>
      <c r="I117" s="530">
        <f>'[3]Mechanical data, limits'!I117</f>
        <v>0</v>
      </c>
      <c r="J117" s="530">
        <f>'[3]Mechanical data, limits'!J117</f>
        <v>0</v>
      </c>
      <c r="K117" s="530">
        <f>'[3]Mechanical data, limits'!K117</f>
        <v>0</v>
      </c>
      <c r="L117" s="530">
        <f>'[3]Mechanical data, limits'!L117</f>
        <v>0</v>
      </c>
      <c r="M117" s="530">
        <f>'[3]Mechanical data, limits'!M117</f>
        <v>0</v>
      </c>
      <c r="N117" s="530">
        <f>'[3]Mechanical data, limits'!N117</f>
        <v>0</v>
      </c>
      <c r="O117" s="530">
        <f>'[3]Mechanical data, limits'!O117</f>
        <v>0</v>
      </c>
      <c r="P117" s="530">
        <f>'[3]Mechanical data, limits'!P117</f>
        <v>0</v>
      </c>
      <c r="Q117" s="530">
        <f>'[3]Mechanical data, limits'!Q117</f>
        <v>0</v>
      </c>
      <c r="R117" s="530">
        <f>'[3]Mechanical data, limits'!R117</f>
        <v>0</v>
      </c>
      <c r="S117" s="530">
        <f>'[3]Mechanical data, limits'!S117</f>
        <v>0</v>
      </c>
      <c r="T117" s="530">
        <f>'[3]Mechanical data, limits'!T117</f>
        <v>0</v>
      </c>
      <c r="U117" s="530">
        <f>'[3]Mechanical data, limits'!U117</f>
        <v>0</v>
      </c>
      <c r="V117" s="554">
        <f>'[3]Mechanical data, limits'!V117</f>
        <v>1.2749999999999999</v>
      </c>
      <c r="W117" s="554">
        <f>'[3]Mechanical data, limits'!W117</f>
        <v>1.2749999999999999</v>
      </c>
      <c r="X117" s="530">
        <f>'[3]Mechanical data, limits'!X117</f>
        <v>0</v>
      </c>
      <c r="Y117" s="530">
        <f>'[3]Mechanical data, limits'!Y117</f>
        <v>0</v>
      </c>
    </row>
    <row r="118" spans="1:25">
      <c r="A118" s="530">
        <f>'[3]Mechanical data, limits'!A118</f>
        <v>0</v>
      </c>
      <c r="B118" s="530">
        <f>'[3]Mechanical data, limits'!B118</f>
        <v>0</v>
      </c>
      <c r="C118" s="530">
        <f>'[3]Mechanical data, limits'!C118</f>
        <v>0</v>
      </c>
      <c r="D118" s="530">
        <f>'[3]Mechanical data, limits'!D118</f>
        <v>0</v>
      </c>
      <c r="E118" s="530">
        <f>'[3]Mechanical data, limits'!E118</f>
        <v>0</v>
      </c>
      <c r="F118" s="530">
        <f>'[3]Mechanical data, limits'!F118</f>
        <v>0</v>
      </c>
      <c r="G118" s="530">
        <f>'[3]Mechanical data, limits'!G118</f>
        <v>0</v>
      </c>
      <c r="H118" s="530">
        <f>'[3]Mechanical data, limits'!H118</f>
        <v>0</v>
      </c>
      <c r="I118" s="530">
        <f>'[3]Mechanical data, limits'!I118</f>
        <v>0</v>
      </c>
      <c r="J118" s="530">
        <f>'[3]Mechanical data, limits'!J118</f>
        <v>0</v>
      </c>
      <c r="K118" s="530">
        <f>'[3]Mechanical data, limits'!K118</f>
        <v>0</v>
      </c>
      <c r="L118" s="530">
        <f>'[3]Mechanical data, limits'!L118</f>
        <v>0</v>
      </c>
      <c r="M118" s="530">
        <f>'[3]Mechanical data, limits'!M118</f>
        <v>0</v>
      </c>
      <c r="N118" s="530">
        <f>'[3]Mechanical data, limits'!N118</f>
        <v>0</v>
      </c>
      <c r="O118" s="530">
        <f>'[3]Mechanical data, limits'!O118</f>
        <v>0</v>
      </c>
      <c r="P118" s="530">
        <f>'[3]Mechanical data, limits'!P118</f>
        <v>0</v>
      </c>
      <c r="Q118" s="530">
        <f>'[3]Mechanical data, limits'!Q118</f>
        <v>0</v>
      </c>
      <c r="R118" s="530">
        <f>'[3]Mechanical data, limits'!R118</f>
        <v>0</v>
      </c>
      <c r="S118" s="530">
        <f>'[3]Mechanical data, limits'!S118</f>
        <v>0</v>
      </c>
      <c r="T118" s="530">
        <f>'[3]Mechanical data, limits'!T118</f>
        <v>0</v>
      </c>
      <c r="U118" s="530">
        <f>'[3]Mechanical data, limits'!U118</f>
        <v>0</v>
      </c>
      <c r="V118" s="554">
        <f>'[3]Mechanical data, limits'!V118</f>
        <v>1.325</v>
      </c>
      <c r="W118" s="554">
        <f>'[3]Mechanical data, limits'!W118</f>
        <v>1.325</v>
      </c>
      <c r="X118" s="530">
        <f>'[3]Mechanical data, limits'!X118</f>
        <v>0</v>
      </c>
      <c r="Y118" s="530">
        <f>'[3]Mechanical data, limits'!Y118</f>
        <v>0</v>
      </c>
    </row>
    <row r="119" spans="1:25">
      <c r="A119" s="530">
        <f>'[3]Mechanical data, limits'!A119</f>
        <v>0</v>
      </c>
      <c r="B119" s="530">
        <f>'[3]Mechanical data, limits'!B119</f>
        <v>0</v>
      </c>
      <c r="C119" s="530">
        <f>'[3]Mechanical data, limits'!C119</f>
        <v>0</v>
      </c>
      <c r="D119" s="530">
        <f>'[3]Mechanical data, limits'!D119</f>
        <v>0</v>
      </c>
      <c r="E119" s="530">
        <f>'[3]Mechanical data, limits'!E119</f>
        <v>0</v>
      </c>
      <c r="F119" s="530">
        <f>'[3]Mechanical data, limits'!F119</f>
        <v>0</v>
      </c>
      <c r="G119" s="530">
        <f>'[3]Mechanical data, limits'!G119</f>
        <v>0</v>
      </c>
      <c r="H119" s="530">
        <f>'[3]Mechanical data, limits'!H119</f>
        <v>0</v>
      </c>
      <c r="I119" s="530">
        <f>'[3]Mechanical data, limits'!I119</f>
        <v>0</v>
      </c>
      <c r="J119" s="530">
        <f>'[3]Mechanical data, limits'!J119</f>
        <v>0</v>
      </c>
      <c r="K119" s="530">
        <f>'[3]Mechanical data, limits'!K119</f>
        <v>0</v>
      </c>
      <c r="L119" s="530">
        <f>'[3]Mechanical data, limits'!L119</f>
        <v>0</v>
      </c>
      <c r="M119" s="530">
        <f>'[3]Mechanical data, limits'!M119</f>
        <v>0</v>
      </c>
      <c r="N119" s="530">
        <f>'[3]Mechanical data, limits'!N119</f>
        <v>0</v>
      </c>
      <c r="O119" s="530">
        <f>'[3]Mechanical data, limits'!O119</f>
        <v>0</v>
      </c>
      <c r="P119" s="530">
        <f>'[3]Mechanical data, limits'!P119</f>
        <v>0</v>
      </c>
      <c r="Q119" s="530">
        <f>'[3]Mechanical data, limits'!Q119</f>
        <v>0</v>
      </c>
      <c r="R119" s="530">
        <f>'[3]Mechanical data, limits'!R119</f>
        <v>0</v>
      </c>
      <c r="S119" s="530">
        <f>'[3]Mechanical data, limits'!S119</f>
        <v>0</v>
      </c>
      <c r="T119" s="530">
        <f>'[3]Mechanical data, limits'!T119</f>
        <v>0</v>
      </c>
      <c r="U119" s="530">
        <f>'[3]Mechanical data, limits'!U119</f>
        <v>0</v>
      </c>
      <c r="V119" s="554">
        <f>'[3]Mechanical data, limits'!V119</f>
        <v>1.375</v>
      </c>
      <c r="W119" s="554">
        <f>'[3]Mechanical data, limits'!W119</f>
        <v>1.375</v>
      </c>
      <c r="X119" s="530">
        <f>'[3]Mechanical data, limits'!X119</f>
        <v>0</v>
      </c>
      <c r="Y119" s="530">
        <f>'[3]Mechanical data, limits'!Y119</f>
        <v>0</v>
      </c>
    </row>
    <row r="120" spans="1:25">
      <c r="A120" s="530">
        <f>'[3]Mechanical data, limits'!A120</f>
        <v>0</v>
      </c>
      <c r="B120" s="530">
        <f>'[3]Mechanical data, limits'!B120</f>
        <v>0</v>
      </c>
      <c r="C120" s="530">
        <f>'[3]Mechanical data, limits'!C120</f>
        <v>0</v>
      </c>
      <c r="D120" s="530">
        <f>'[3]Mechanical data, limits'!D120</f>
        <v>0</v>
      </c>
      <c r="E120" s="530">
        <f>'[3]Mechanical data, limits'!E120</f>
        <v>0</v>
      </c>
      <c r="F120" s="530">
        <f>'[3]Mechanical data, limits'!F120</f>
        <v>0</v>
      </c>
      <c r="G120" s="530">
        <f>'[3]Mechanical data, limits'!G120</f>
        <v>0</v>
      </c>
      <c r="H120" s="530">
        <f>'[3]Mechanical data, limits'!H120</f>
        <v>0</v>
      </c>
      <c r="I120" s="530">
        <f>'[3]Mechanical data, limits'!I120</f>
        <v>0</v>
      </c>
      <c r="J120" s="530">
        <f>'[3]Mechanical data, limits'!J120</f>
        <v>0</v>
      </c>
      <c r="K120" s="530">
        <f>'[3]Mechanical data, limits'!K120</f>
        <v>0</v>
      </c>
      <c r="L120" s="530">
        <f>'[3]Mechanical data, limits'!L120</f>
        <v>0</v>
      </c>
      <c r="M120" s="530">
        <f>'[3]Mechanical data, limits'!M120</f>
        <v>0</v>
      </c>
      <c r="N120" s="530">
        <f>'[3]Mechanical data, limits'!N120</f>
        <v>0</v>
      </c>
      <c r="O120" s="530">
        <f>'[3]Mechanical data, limits'!O120</f>
        <v>0</v>
      </c>
      <c r="P120" s="530">
        <f>'[3]Mechanical data, limits'!P120</f>
        <v>0</v>
      </c>
      <c r="Q120" s="530">
        <f>'[3]Mechanical data, limits'!Q120</f>
        <v>0</v>
      </c>
      <c r="R120" s="530">
        <f>'[3]Mechanical data, limits'!R120</f>
        <v>0</v>
      </c>
      <c r="S120" s="530">
        <f>'[3]Mechanical data, limits'!S120</f>
        <v>0</v>
      </c>
      <c r="T120" s="530">
        <f>'[3]Mechanical data, limits'!T120</f>
        <v>0</v>
      </c>
      <c r="U120" s="530">
        <f>'[3]Mechanical data, limits'!U120</f>
        <v>0</v>
      </c>
      <c r="V120" s="554">
        <f>'[3]Mechanical data, limits'!V120</f>
        <v>1.425</v>
      </c>
      <c r="W120" s="554">
        <f>'[3]Mechanical data, limits'!W120</f>
        <v>1.425</v>
      </c>
      <c r="X120" s="530">
        <f>'[3]Mechanical data, limits'!X120</f>
        <v>0</v>
      </c>
      <c r="Y120" s="530">
        <f>'[3]Mechanical data, limits'!Y120</f>
        <v>0</v>
      </c>
    </row>
    <row r="121" spans="1:25">
      <c r="A121" s="530">
        <f>'[3]Mechanical data, limits'!A121</f>
        <v>0</v>
      </c>
      <c r="B121" s="530">
        <f>'[3]Mechanical data, limits'!B121</f>
        <v>0</v>
      </c>
      <c r="C121" s="530">
        <f>'[3]Mechanical data, limits'!C121</f>
        <v>0</v>
      </c>
      <c r="D121" s="530">
        <f>'[3]Mechanical data, limits'!D121</f>
        <v>0</v>
      </c>
      <c r="E121" s="530">
        <f>'[3]Mechanical data, limits'!E121</f>
        <v>0</v>
      </c>
      <c r="F121" s="530">
        <f>'[3]Mechanical data, limits'!F121</f>
        <v>0</v>
      </c>
      <c r="G121" s="530">
        <f>'[3]Mechanical data, limits'!G121</f>
        <v>0</v>
      </c>
      <c r="H121" s="530">
        <f>'[3]Mechanical data, limits'!H121</f>
        <v>0</v>
      </c>
      <c r="I121" s="530">
        <f>'[3]Mechanical data, limits'!I121</f>
        <v>0</v>
      </c>
      <c r="J121" s="530">
        <f>'[3]Mechanical data, limits'!J121</f>
        <v>0</v>
      </c>
      <c r="K121" s="530">
        <f>'[3]Mechanical data, limits'!K121</f>
        <v>0</v>
      </c>
      <c r="L121" s="530">
        <f>'[3]Mechanical data, limits'!L121</f>
        <v>0</v>
      </c>
      <c r="M121" s="530">
        <f>'[3]Mechanical data, limits'!M121</f>
        <v>0</v>
      </c>
      <c r="N121" s="530">
        <f>'[3]Mechanical data, limits'!N121</f>
        <v>0</v>
      </c>
      <c r="O121" s="530">
        <f>'[3]Mechanical data, limits'!O121</f>
        <v>0</v>
      </c>
      <c r="P121" s="530">
        <f>'[3]Mechanical data, limits'!P121</f>
        <v>0</v>
      </c>
      <c r="Q121" s="530">
        <f>'[3]Mechanical data, limits'!Q121</f>
        <v>0</v>
      </c>
      <c r="R121" s="530">
        <f>'[3]Mechanical data, limits'!R121</f>
        <v>0</v>
      </c>
      <c r="S121" s="530">
        <f>'[3]Mechanical data, limits'!S121</f>
        <v>0</v>
      </c>
      <c r="T121" s="530">
        <f>'[3]Mechanical data, limits'!T121</f>
        <v>0</v>
      </c>
      <c r="U121" s="530">
        <f>'[3]Mechanical data, limits'!U121</f>
        <v>0</v>
      </c>
      <c r="V121" s="554">
        <f>'[3]Mechanical data, limits'!V121</f>
        <v>1.4750000000000001</v>
      </c>
      <c r="W121" s="554">
        <f>'[3]Mechanical data, limits'!W121</f>
        <v>1.4750000000000001</v>
      </c>
      <c r="X121" s="530">
        <f>'[3]Mechanical data, limits'!X121</f>
        <v>0</v>
      </c>
      <c r="Y121" s="530">
        <f>'[3]Mechanical data, limits'!Y121</f>
        <v>0</v>
      </c>
    </row>
    <row r="122" spans="1:25">
      <c r="A122" s="530">
        <f>'[3]Mechanical data, limits'!A122</f>
        <v>0</v>
      </c>
      <c r="B122" s="530">
        <f>'[3]Mechanical data, limits'!B122</f>
        <v>0</v>
      </c>
      <c r="C122" s="530">
        <f>'[3]Mechanical data, limits'!C122</f>
        <v>0</v>
      </c>
      <c r="D122" s="530">
        <f>'[3]Mechanical data, limits'!D122</f>
        <v>0</v>
      </c>
      <c r="E122" s="530">
        <f>'[3]Mechanical data, limits'!E122</f>
        <v>0</v>
      </c>
      <c r="F122" s="530">
        <f>'[3]Mechanical data, limits'!F122</f>
        <v>0</v>
      </c>
      <c r="G122" s="530">
        <f>'[3]Mechanical data, limits'!G122</f>
        <v>0</v>
      </c>
      <c r="H122" s="530">
        <f>'[3]Mechanical data, limits'!H122</f>
        <v>0</v>
      </c>
      <c r="I122" s="530">
        <f>'[3]Mechanical data, limits'!I122</f>
        <v>0</v>
      </c>
      <c r="J122" s="530">
        <f>'[3]Mechanical data, limits'!J122</f>
        <v>0</v>
      </c>
      <c r="K122" s="530">
        <f>'[3]Mechanical data, limits'!K122</f>
        <v>0</v>
      </c>
      <c r="L122" s="530">
        <f>'[3]Mechanical data, limits'!L122</f>
        <v>0</v>
      </c>
      <c r="M122" s="530">
        <f>'[3]Mechanical data, limits'!M122</f>
        <v>0</v>
      </c>
      <c r="N122" s="530">
        <f>'[3]Mechanical data, limits'!N122</f>
        <v>0</v>
      </c>
      <c r="O122" s="530">
        <f>'[3]Mechanical data, limits'!O122</f>
        <v>0</v>
      </c>
      <c r="P122" s="530">
        <f>'[3]Mechanical data, limits'!P122</f>
        <v>0</v>
      </c>
      <c r="Q122" s="530">
        <f>'[3]Mechanical data, limits'!Q122</f>
        <v>0</v>
      </c>
      <c r="R122" s="530">
        <f>'[3]Mechanical data, limits'!R122</f>
        <v>0</v>
      </c>
      <c r="S122" s="530">
        <f>'[3]Mechanical data, limits'!S122</f>
        <v>0</v>
      </c>
      <c r="T122" s="530">
        <f>'[3]Mechanical data, limits'!T122</f>
        <v>0</v>
      </c>
      <c r="U122" s="530">
        <f>'[3]Mechanical data, limits'!U122</f>
        <v>0</v>
      </c>
      <c r="V122" s="554">
        <f>'[3]Mechanical data, limits'!V122</f>
        <v>1.5249999999999999</v>
      </c>
      <c r="W122" s="554">
        <f>'[3]Mechanical data, limits'!W122</f>
        <v>1.5249999999999999</v>
      </c>
      <c r="X122" s="530">
        <f>'[3]Mechanical data, limits'!X122</f>
        <v>0</v>
      </c>
      <c r="Y122" s="530">
        <f>'[3]Mechanical data, limits'!Y122</f>
        <v>0</v>
      </c>
    </row>
    <row r="123" spans="1:25">
      <c r="A123" s="530">
        <f>'[3]Mechanical data, limits'!A123</f>
        <v>0</v>
      </c>
      <c r="B123" s="530">
        <f>'[3]Mechanical data, limits'!B123</f>
        <v>0</v>
      </c>
      <c r="C123" s="530">
        <f>'[3]Mechanical data, limits'!C123</f>
        <v>0</v>
      </c>
      <c r="D123" s="530">
        <f>'[3]Mechanical data, limits'!D123</f>
        <v>0</v>
      </c>
      <c r="E123" s="530">
        <f>'[3]Mechanical data, limits'!E123</f>
        <v>0</v>
      </c>
      <c r="F123" s="530">
        <f>'[3]Mechanical data, limits'!F123</f>
        <v>0</v>
      </c>
      <c r="G123" s="530">
        <f>'[3]Mechanical data, limits'!G123</f>
        <v>0</v>
      </c>
      <c r="H123" s="530">
        <f>'[3]Mechanical data, limits'!H123</f>
        <v>0</v>
      </c>
      <c r="I123" s="530">
        <f>'[3]Mechanical data, limits'!I123</f>
        <v>0</v>
      </c>
      <c r="J123" s="530">
        <f>'[3]Mechanical data, limits'!J123</f>
        <v>0</v>
      </c>
      <c r="K123" s="530">
        <f>'[3]Mechanical data, limits'!K123</f>
        <v>0</v>
      </c>
      <c r="L123" s="530">
        <f>'[3]Mechanical data, limits'!L123</f>
        <v>0</v>
      </c>
      <c r="M123" s="530">
        <f>'[3]Mechanical data, limits'!M123</f>
        <v>0</v>
      </c>
      <c r="N123" s="530">
        <f>'[3]Mechanical data, limits'!N123</f>
        <v>0</v>
      </c>
      <c r="O123" s="530">
        <f>'[3]Mechanical data, limits'!O123</f>
        <v>0</v>
      </c>
      <c r="P123" s="530">
        <f>'[3]Mechanical data, limits'!P123</f>
        <v>0</v>
      </c>
      <c r="Q123" s="530">
        <f>'[3]Mechanical data, limits'!Q123</f>
        <v>0</v>
      </c>
      <c r="R123" s="530">
        <f>'[3]Mechanical data, limits'!R123</f>
        <v>0</v>
      </c>
      <c r="S123" s="530">
        <f>'[3]Mechanical data, limits'!S123</f>
        <v>0</v>
      </c>
      <c r="T123" s="530">
        <f>'[3]Mechanical data, limits'!T123</f>
        <v>0</v>
      </c>
      <c r="U123" s="530">
        <f>'[3]Mechanical data, limits'!U123</f>
        <v>0</v>
      </c>
      <c r="V123" s="554">
        <f>'[3]Mechanical data, limits'!V123</f>
        <v>1.575</v>
      </c>
      <c r="W123" s="554">
        <f>'[3]Mechanical data, limits'!W123</f>
        <v>1.575</v>
      </c>
      <c r="X123" s="530">
        <f>'[3]Mechanical data, limits'!X123</f>
        <v>0</v>
      </c>
      <c r="Y123" s="530">
        <f>'[3]Mechanical data, limits'!Y123</f>
        <v>0</v>
      </c>
    </row>
    <row r="124" spans="1:25">
      <c r="A124" s="530">
        <f>'[3]Mechanical data, limits'!A124</f>
        <v>0</v>
      </c>
      <c r="B124" s="530">
        <f>'[3]Mechanical data, limits'!B124</f>
        <v>0</v>
      </c>
      <c r="C124" s="530">
        <f>'[3]Mechanical data, limits'!C124</f>
        <v>0</v>
      </c>
      <c r="D124" s="530">
        <f>'[3]Mechanical data, limits'!D124</f>
        <v>0</v>
      </c>
      <c r="E124" s="530">
        <f>'[3]Mechanical data, limits'!E124</f>
        <v>0</v>
      </c>
      <c r="F124" s="530">
        <f>'[3]Mechanical data, limits'!F124</f>
        <v>0</v>
      </c>
      <c r="G124" s="530">
        <f>'[3]Mechanical data, limits'!G124</f>
        <v>0</v>
      </c>
      <c r="H124" s="530">
        <f>'[3]Mechanical data, limits'!H124</f>
        <v>0</v>
      </c>
      <c r="I124" s="530">
        <f>'[3]Mechanical data, limits'!I124</f>
        <v>0</v>
      </c>
      <c r="J124" s="530">
        <f>'[3]Mechanical data, limits'!J124</f>
        <v>0</v>
      </c>
      <c r="K124" s="530">
        <f>'[3]Mechanical data, limits'!K124</f>
        <v>0</v>
      </c>
      <c r="L124" s="530">
        <f>'[3]Mechanical data, limits'!L124</f>
        <v>0</v>
      </c>
      <c r="M124" s="530">
        <f>'[3]Mechanical data, limits'!M124</f>
        <v>0</v>
      </c>
      <c r="N124" s="530">
        <f>'[3]Mechanical data, limits'!N124</f>
        <v>0</v>
      </c>
      <c r="O124" s="530">
        <f>'[3]Mechanical data, limits'!O124</f>
        <v>0</v>
      </c>
      <c r="P124" s="530">
        <f>'[3]Mechanical data, limits'!P124</f>
        <v>0</v>
      </c>
      <c r="Q124" s="530">
        <f>'[3]Mechanical data, limits'!Q124</f>
        <v>0</v>
      </c>
      <c r="R124" s="530">
        <f>'[3]Mechanical data, limits'!R124</f>
        <v>0</v>
      </c>
      <c r="S124" s="530">
        <f>'[3]Mechanical data, limits'!S124</f>
        <v>0</v>
      </c>
      <c r="T124" s="530">
        <f>'[3]Mechanical data, limits'!T124</f>
        <v>0</v>
      </c>
      <c r="U124" s="530">
        <f>'[3]Mechanical data, limits'!U124</f>
        <v>0</v>
      </c>
      <c r="V124" s="554">
        <f>'[3]Mechanical data, limits'!V124</f>
        <v>1.625</v>
      </c>
      <c r="W124" s="554">
        <f>'[3]Mechanical data, limits'!W124</f>
        <v>1.625</v>
      </c>
      <c r="X124" s="530">
        <f>'[3]Mechanical data, limits'!X124</f>
        <v>0</v>
      </c>
      <c r="Y124" s="530">
        <f>'[3]Mechanical data, limits'!Y124</f>
        <v>0</v>
      </c>
    </row>
    <row r="125" spans="1:25">
      <c r="A125" s="530">
        <f>'[3]Mechanical data, limits'!A125</f>
        <v>0</v>
      </c>
      <c r="B125" s="530">
        <f>'[3]Mechanical data, limits'!B125</f>
        <v>0</v>
      </c>
      <c r="C125" s="530">
        <f>'[3]Mechanical data, limits'!C125</f>
        <v>0</v>
      </c>
      <c r="D125" s="530">
        <f>'[3]Mechanical data, limits'!D125</f>
        <v>0</v>
      </c>
      <c r="E125" s="530">
        <f>'[3]Mechanical data, limits'!E125</f>
        <v>0</v>
      </c>
      <c r="F125" s="530">
        <f>'[3]Mechanical data, limits'!F125</f>
        <v>0</v>
      </c>
      <c r="G125" s="530">
        <f>'[3]Mechanical data, limits'!G125</f>
        <v>0</v>
      </c>
      <c r="H125" s="530">
        <f>'[3]Mechanical data, limits'!H125</f>
        <v>0</v>
      </c>
      <c r="I125" s="530">
        <f>'[3]Mechanical data, limits'!I125</f>
        <v>0</v>
      </c>
      <c r="J125" s="530">
        <f>'[3]Mechanical data, limits'!J125</f>
        <v>0</v>
      </c>
      <c r="K125" s="530">
        <f>'[3]Mechanical data, limits'!K125</f>
        <v>0</v>
      </c>
      <c r="L125" s="530">
        <f>'[3]Mechanical data, limits'!L125</f>
        <v>0</v>
      </c>
      <c r="M125" s="530">
        <f>'[3]Mechanical data, limits'!M125</f>
        <v>0</v>
      </c>
      <c r="N125" s="530">
        <f>'[3]Mechanical data, limits'!N125</f>
        <v>0</v>
      </c>
      <c r="O125" s="530">
        <f>'[3]Mechanical data, limits'!O125</f>
        <v>0</v>
      </c>
      <c r="P125" s="530">
        <f>'[3]Mechanical data, limits'!P125</f>
        <v>0</v>
      </c>
      <c r="Q125" s="530">
        <f>'[3]Mechanical data, limits'!Q125</f>
        <v>0</v>
      </c>
      <c r="R125" s="530">
        <f>'[3]Mechanical data, limits'!R125</f>
        <v>0</v>
      </c>
      <c r="S125" s="530">
        <f>'[3]Mechanical data, limits'!S125</f>
        <v>0</v>
      </c>
      <c r="T125" s="530">
        <f>'[3]Mechanical data, limits'!T125</f>
        <v>0</v>
      </c>
      <c r="U125" s="530">
        <f>'[3]Mechanical data, limits'!U125</f>
        <v>0</v>
      </c>
      <c r="V125" s="554">
        <f>'[3]Mechanical data, limits'!V125</f>
        <v>1.675</v>
      </c>
      <c r="W125" s="554">
        <f>'[3]Mechanical data, limits'!W125</f>
        <v>1.675</v>
      </c>
      <c r="X125" s="530">
        <f>'[3]Mechanical data, limits'!X125</f>
        <v>0</v>
      </c>
      <c r="Y125" s="530">
        <f>'[3]Mechanical data, limits'!Y125</f>
        <v>0</v>
      </c>
    </row>
    <row r="126" spans="1:25">
      <c r="A126" s="530">
        <f>'[3]Mechanical data, limits'!A126</f>
        <v>0</v>
      </c>
      <c r="B126" s="530">
        <f>'[3]Mechanical data, limits'!B126</f>
        <v>0</v>
      </c>
      <c r="C126" s="530">
        <f>'[3]Mechanical data, limits'!C126</f>
        <v>0</v>
      </c>
      <c r="D126" s="530">
        <f>'[3]Mechanical data, limits'!D126</f>
        <v>0</v>
      </c>
      <c r="E126" s="530">
        <f>'[3]Mechanical data, limits'!E126</f>
        <v>0</v>
      </c>
      <c r="F126" s="530">
        <f>'[3]Mechanical data, limits'!F126</f>
        <v>0</v>
      </c>
      <c r="G126" s="530">
        <f>'[3]Mechanical data, limits'!G126</f>
        <v>0</v>
      </c>
      <c r="H126" s="530">
        <f>'[3]Mechanical data, limits'!H126</f>
        <v>0</v>
      </c>
      <c r="I126" s="530">
        <f>'[3]Mechanical data, limits'!I126</f>
        <v>0</v>
      </c>
      <c r="J126" s="530">
        <f>'[3]Mechanical data, limits'!J126</f>
        <v>0</v>
      </c>
      <c r="K126" s="530">
        <f>'[3]Mechanical data, limits'!K126</f>
        <v>0</v>
      </c>
      <c r="L126" s="530">
        <f>'[3]Mechanical data, limits'!L126</f>
        <v>0</v>
      </c>
      <c r="M126" s="530">
        <f>'[3]Mechanical data, limits'!M126</f>
        <v>0</v>
      </c>
      <c r="N126" s="530">
        <f>'[3]Mechanical data, limits'!N126</f>
        <v>0</v>
      </c>
      <c r="O126" s="530">
        <f>'[3]Mechanical data, limits'!O126</f>
        <v>0</v>
      </c>
      <c r="P126" s="530">
        <f>'[3]Mechanical data, limits'!P126</f>
        <v>0</v>
      </c>
      <c r="Q126" s="530">
        <f>'[3]Mechanical data, limits'!Q126</f>
        <v>0</v>
      </c>
      <c r="R126" s="530">
        <f>'[3]Mechanical data, limits'!R126</f>
        <v>0</v>
      </c>
      <c r="S126" s="530">
        <f>'[3]Mechanical data, limits'!S126</f>
        <v>0</v>
      </c>
      <c r="T126" s="530">
        <f>'[3]Mechanical data, limits'!T126</f>
        <v>0</v>
      </c>
      <c r="U126" s="530">
        <f>'[3]Mechanical data, limits'!U126</f>
        <v>0</v>
      </c>
      <c r="V126" s="530">
        <f>'[3]Mechanical data, limits'!V126</f>
        <v>1.7250000000000001</v>
      </c>
      <c r="W126" s="530">
        <f>'[3]Mechanical data, limits'!W126</f>
        <v>1.7250000000000001</v>
      </c>
      <c r="X126" s="530">
        <f>'[3]Mechanical data, limits'!X126</f>
        <v>0</v>
      </c>
      <c r="Y126" s="530">
        <f>'[3]Mechanical data, limits'!Y126</f>
        <v>0</v>
      </c>
    </row>
    <row r="127" spans="1:25">
      <c r="A127" s="530">
        <f>'[3]Mechanical data, limits'!A127</f>
        <v>0</v>
      </c>
      <c r="B127" s="530">
        <f>'[3]Mechanical data, limits'!B127</f>
        <v>0</v>
      </c>
      <c r="C127" s="530">
        <f>'[3]Mechanical data, limits'!C127</f>
        <v>0</v>
      </c>
      <c r="D127" s="530">
        <f>'[3]Mechanical data, limits'!D127</f>
        <v>0</v>
      </c>
      <c r="E127" s="530">
        <f>'[3]Mechanical data, limits'!E127</f>
        <v>0</v>
      </c>
      <c r="F127" s="530">
        <f>'[3]Mechanical data, limits'!F127</f>
        <v>0</v>
      </c>
      <c r="G127" s="530">
        <f>'[3]Mechanical data, limits'!G127</f>
        <v>0</v>
      </c>
      <c r="H127" s="530">
        <f>'[3]Mechanical data, limits'!H127</f>
        <v>0</v>
      </c>
      <c r="I127" s="530">
        <f>'[3]Mechanical data, limits'!I127</f>
        <v>0</v>
      </c>
      <c r="J127" s="530">
        <f>'[3]Mechanical data, limits'!J127</f>
        <v>0</v>
      </c>
      <c r="K127" s="530">
        <f>'[3]Mechanical data, limits'!K127</f>
        <v>0</v>
      </c>
      <c r="L127" s="530">
        <f>'[3]Mechanical data, limits'!L127</f>
        <v>0</v>
      </c>
      <c r="M127" s="530">
        <f>'[3]Mechanical data, limits'!M127</f>
        <v>0</v>
      </c>
      <c r="N127" s="530">
        <f>'[3]Mechanical data, limits'!N127</f>
        <v>0</v>
      </c>
      <c r="O127" s="530">
        <f>'[3]Mechanical data, limits'!O127</f>
        <v>0</v>
      </c>
      <c r="P127" s="530">
        <f>'[3]Mechanical data, limits'!P127</f>
        <v>0</v>
      </c>
      <c r="Q127" s="530">
        <f>'[3]Mechanical data, limits'!Q127</f>
        <v>0</v>
      </c>
      <c r="R127" s="530">
        <f>'[3]Mechanical data, limits'!R127</f>
        <v>0</v>
      </c>
      <c r="S127" s="530">
        <f>'[3]Mechanical data, limits'!S127</f>
        <v>0</v>
      </c>
      <c r="T127" s="530">
        <f>'[3]Mechanical data, limits'!T127</f>
        <v>0</v>
      </c>
      <c r="U127" s="530">
        <f>'[3]Mechanical data, limits'!U127</f>
        <v>0</v>
      </c>
      <c r="V127" s="530">
        <f>'[3]Mechanical data, limits'!V127</f>
        <v>1.7749999999999999</v>
      </c>
      <c r="W127" s="530">
        <f>'[3]Mechanical data, limits'!W127</f>
        <v>1.7749999999999999</v>
      </c>
      <c r="X127" s="530">
        <f>'[3]Mechanical data, limits'!X127</f>
        <v>0</v>
      </c>
      <c r="Y127" s="530">
        <f>'[3]Mechanical data, limits'!Y127</f>
        <v>0</v>
      </c>
    </row>
    <row r="128" spans="1:25">
      <c r="A128" s="530">
        <f>'[3]Mechanical data, limits'!A128</f>
        <v>0</v>
      </c>
      <c r="B128" s="530">
        <f>'[3]Mechanical data, limits'!B128</f>
        <v>0</v>
      </c>
      <c r="C128" s="530">
        <f>'[3]Mechanical data, limits'!C128</f>
        <v>0</v>
      </c>
      <c r="D128" s="530">
        <f>'[3]Mechanical data, limits'!D128</f>
        <v>0</v>
      </c>
      <c r="E128" s="530">
        <f>'[3]Mechanical data, limits'!E128</f>
        <v>0</v>
      </c>
      <c r="F128" s="530">
        <f>'[3]Mechanical data, limits'!F128</f>
        <v>0</v>
      </c>
      <c r="G128" s="530">
        <f>'[3]Mechanical data, limits'!G128</f>
        <v>0</v>
      </c>
      <c r="H128" s="530">
        <f>'[3]Mechanical data, limits'!H128</f>
        <v>0</v>
      </c>
      <c r="I128" s="530">
        <f>'[3]Mechanical data, limits'!I128</f>
        <v>0</v>
      </c>
      <c r="J128" s="530">
        <f>'[3]Mechanical data, limits'!J128</f>
        <v>0</v>
      </c>
      <c r="K128" s="530">
        <f>'[3]Mechanical data, limits'!K128</f>
        <v>0</v>
      </c>
      <c r="L128" s="530">
        <f>'[3]Mechanical data, limits'!L128</f>
        <v>0</v>
      </c>
      <c r="M128" s="530">
        <f>'[3]Mechanical data, limits'!M128</f>
        <v>0</v>
      </c>
      <c r="N128" s="530">
        <f>'[3]Mechanical data, limits'!N128</f>
        <v>0</v>
      </c>
      <c r="O128" s="530">
        <f>'[3]Mechanical data, limits'!O128</f>
        <v>0</v>
      </c>
      <c r="P128" s="530">
        <f>'[3]Mechanical data, limits'!P128</f>
        <v>0</v>
      </c>
      <c r="Q128" s="530">
        <f>'[3]Mechanical data, limits'!Q128</f>
        <v>0</v>
      </c>
      <c r="R128" s="530">
        <f>'[3]Mechanical data, limits'!R128</f>
        <v>0</v>
      </c>
      <c r="S128" s="530">
        <f>'[3]Mechanical data, limits'!S128</f>
        <v>0</v>
      </c>
      <c r="T128" s="530">
        <f>'[3]Mechanical data, limits'!T128</f>
        <v>0</v>
      </c>
      <c r="U128" s="530">
        <f>'[3]Mechanical data, limits'!U128</f>
        <v>0</v>
      </c>
      <c r="V128" s="530">
        <f>'[3]Mechanical data, limits'!V128</f>
        <v>1.825</v>
      </c>
      <c r="W128" s="530">
        <f>'[3]Mechanical data, limits'!W128</f>
        <v>1.825</v>
      </c>
      <c r="X128" s="530">
        <f>'[3]Mechanical data, limits'!X128</f>
        <v>0</v>
      </c>
      <c r="Y128" s="530">
        <f>'[3]Mechanical data, limits'!Y128</f>
        <v>0</v>
      </c>
    </row>
    <row r="129" spans="1:25">
      <c r="A129" s="530">
        <f>'[3]Mechanical data, limits'!A129</f>
        <v>0</v>
      </c>
      <c r="B129" s="530">
        <f>'[3]Mechanical data, limits'!B129</f>
        <v>0</v>
      </c>
      <c r="C129" s="530">
        <f>'[3]Mechanical data, limits'!C129</f>
        <v>0</v>
      </c>
      <c r="D129" s="530">
        <f>'[3]Mechanical data, limits'!D129</f>
        <v>0</v>
      </c>
      <c r="E129" s="530">
        <f>'[3]Mechanical data, limits'!E129</f>
        <v>0</v>
      </c>
      <c r="F129" s="530">
        <f>'[3]Mechanical data, limits'!F129</f>
        <v>0</v>
      </c>
      <c r="G129" s="530">
        <f>'[3]Mechanical data, limits'!G129</f>
        <v>0</v>
      </c>
      <c r="H129" s="530">
        <f>'[3]Mechanical data, limits'!H129</f>
        <v>0</v>
      </c>
      <c r="I129" s="530">
        <f>'[3]Mechanical data, limits'!I129</f>
        <v>0</v>
      </c>
      <c r="J129" s="530">
        <f>'[3]Mechanical data, limits'!J129</f>
        <v>0</v>
      </c>
      <c r="K129" s="530">
        <f>'[3]Mechanical data, limits'!K129</f>
        <v>0</v>
      </c>
      <c r="L129" s="530">
        <f>'[3]Mechanical data, limits'!L129</f>
        <v>0</v>
      </c>
      <c r="M129" s="530">
        <f>'[3]Mechanical data, limits'!M129</f>
        <v>0</v>
      </c>
      <c r="N129" s="530">
        <f>'[3]Mechanical data, limits'!N129</f>
        <v>0</v>
      </c>
      <c r="O129" s="530">
        <f>'[3]Mechanical data, limits'!O129</f>
        <v>0</v>
      </c>
      <c r="P129" s="530">
        <f>'[3]Mechanical data, limits'!P129</f>
        <v>0</v>
      </c>
      <c r="Q129" s="530">
        <f>'[3]Mechanical data, limits'!Q129</f>
        <v>0</v>
      </c>
      <c r="R129" s="530">
        <f>'[3]Mechanical data, limits'!R129</f>
        <v>0</v>
      </c>
      <c r="S129" s="530">
        <f>'[3]Mechanical data, limits'!S129</f>
        <v>0</v>
      </c>
      <c r="T129" s="530">
        <f>'[3]Mechanical data, limits'!T129</f>
        <v>0</v>
      </c>
      <c r="U129" s="530">
        <f>'[3]Mechanical data, limits'!U129</f>
        <v>0</v>
      </c>
      <c r="V129" s="530">
        <f>'[3]Mechanical data, limits'!V129</f>
        <v>1.875</v>
      </c>
      <c r="W129" s="530">
        <f>'[3]Mechanical data, limits'!W129</f>
        <v>1.875</v>
      </c>
      <c r="X129" s="530">
        <f>'[3]Mechanical data, limits'!X129</f>
        <v>0</v>
      </c>
      <c r="Y129" s="530">
        <f>'[3]Mechanical data, limits'!Y129</f>
        <v>0</v>
      </c>
    </row>
    <row r="130" spans="1:25">
      <c r="A130" s="530">
        <f>'[3]Mechanical data, limits'!A130</f>
        <v>0</v>
      </c>
      <c r="B130" s="530">
        <f>'[3]Mechanical data, limits'!B130</f>
        <v>0</v>
      </c>
      <c r="C130" s="530">
        <f>'[3]Mechanical data, limits'!C130</f>
        <v>0</v>
      </c>
      <c r="D130" s="530">
        <f>'[3]Mechanical data, limits'!D130</f>
        <v>0</v>
      </c>
      <c r="E130" s="530">
        <f>'[3]Mechanical data, limits'!E130</f>
        <v>0</v>
      </c>
      <c r="F130" s="530">
        <f>'[3]Mechanical data, limits'!F130</f>
        <v>0</v>
      </c>
      <c r="G130" s="530">
        <f>'[3]Mechanical data, limits'!G130</f>
        <v>0</v>
      </c>
      <c r="H130" s="530">
        <f>'[3]Mechanical data, limits'!H130</f>
        <v>0</v>
      </c>
      <c r="I130" s="530">
        <f>'[3]Mechanical data, limits'!I130</f>
        <v>0</v>
      </c>
      <c r="J130" s="530">
        <f>'[3]Mechanical data, limits'!J130</f>
        <v>0</v>
      </c>
      <c r="K130" s="530">
        <f>'[3]Mechanical data, limits'!K130</f>
        <v>0</v>
      </c>
      <c r="L130" s="530">
        <f>'[3]Mechanical data, limits'!L130</f>
        <v>0</v>
      </c>
      <c r="M130" s="530">
        <f>'[3]Mechanical data, limits'!M130</f>
        <v>0</v>
      </c>
      <c r="N130" s="530">
        <f>'[3]Mechanical data, limits'!N130</f>
        <v>0</v>
      </c>
      <c r="O130" s="530">
        <f>'[3]Mechanical data, limits'!O130</f>
        <v>0</v>
      </c>
      <c r="P130" s="530">
        <f>'[3]Mechanical data, limits'!P130</f>
        <v>0</v>
      </c>
      <c r="Q130" s="530">
        <f>'[3]Mechanical data, limits'!Q130</f>
        <v>0</v>
      </c>
      <c r="R130" s="530">
        <f>'[3]Mechanical data, limits'!R130</f>
        <v>0</v>
      </c>
      <c r="S130" s="530">
        <f>'[3]Mechanical data, limits'!S130</f>
        <v>0</v>
      </c>
      <c r="T130" s="530">
        <f>'[3]Mechanical data, limits'!T130</f>
        <v>0</v>
      </c>
      <c r="U130" s="530">
        <f>'[3]Mechanical data, limits'!U130</f>
        <v>0</v>
      </c>
      <c r="V130" s="530">
        <f>'[3]Mechanical data, limits'!V130</f>
        <v>1.925</v>
      </c>
      <c r="W130" s="530">
        <f>'[3]Mechanical data, limits'!W130</f>
        <v>1.925</v>
      </c>
      <c r="X130" s="530">
        <f>'[3]Mechanical data, limits'!X130</f>
        <v>0</v>
      </c>
      <c r="Y130" s="530">
        <f>'[3]Mechanical data, limits'!Y130</f>
        <v>0</v>
      </c>
    </row>
    <row r="131" spans="1:25">
      <c r="A131" s="530">
        <f>'[3]Mechanical data, limits'!A131</f>
        <v>0</v>
      </c>
      <c r="B131" s="530">
        <f>'[3]Mechanical data, limits'!B131</f>
        <v>0</v>
      </c>
      <c r="C131" s="530">
        <f>'[3]Mechanical data, limits'!C131</f>
        <v>0</v>
      </c>
      <c r="D131" s="530">
        <f>'[3]Mechanical data, limits'!D131</f>
        <v>0</v>
      </c>
      <c r="E131" s="530">
        <f>'[3]Mechanical data, limits'!E131</f>
        <v>0</v>
      </c>
      <c r="F131" s="530">
        <f>'[3]Mechanical data, limits'!F131</f>
        <v>0</v>
      </c>
      <c r="G131" s="530">
        <f>'[3]Mechanical data, limits'!G131</f>
        <v>0</v>
      </c>
      <c r="H131" s="530">
        <f>'[3]Mechanical data, limits'!H131</f>
        <v>0</v>
      </c>
      <c r="I131" s="530">
        <f>'[3]Mechanical data, limits'!I131</f>
        <v>0</v>
      </c>
      <c r="J131" s="530">
        <f>'[3]Mechanical data, limits'!J131</f>
        <v>0</v>
      </c>
      <c r="K131" s="530">
        <f>'[3]Mechanical data, limits'!K131</f>
        <v>0</v>
      </c>
      <c r="L131" s="530">
        <f>'[3]Mechanical data, limits'!L131</f>
        <v>0</v>
      </c>
      <c r="M131" s="530">
        <f>'[3]Mechanical data, limits'!M131</f>
        <v>0</v>
      </c>
      <c r="N131" s="530">
        <f>'[3]Mechanical data, limits'!N131</f>
        <v>0</v>
      </c>
      <c r="O131" s="530">
        <f>'[3]Mechanical data, limits'!O131</f>
        <v>0</v>
      </c>
      <c r="P131" s="530">
        <f>'[3]Mechanical data, limits'!P131</f>
        <v>0</v>
      </c>
      <c r="Q131" s="530">
        <f>'[3]Mechanical data, limits'!Q131</f>
        <v>0</v>
      </c>
      <c r="R131" s="530">
        <f>'[3]Mechanical data, limits'!R131</f>
        <v>0</v>
      </c>
      <c r="S131" s="530">
        <f>'[3]Mechanical data, limits'!S131</f>
        <v>0</v>
      </c>
      <c r="T131" s="530">
        <f>'[3]Mechanical data, limits'!T131</f>
        <v>0</v>
      </c>
      <c r="U131" s="530">
        <f>'[3]Mechanical data, limits'!U131</f>
        <v>0</v>
      </c>
      <c r="V131" s="530">
        <f>'[3]Mechanical data, limits'!V131</f>
        <v>1.9750000000000001</v>
      </c>
      <c r="W131" s="530">
        <f>'[3]Mechanical data, limits'!W131</f>
        <v>1.9750000000000001</v>
      </c>
      <c r="X131" s="530">
        <f>'[3]Mechanical data, limits'!X131</f>
        <v>0</v>
      </c>
      <c r="Y131" s="530">
        <f>'[3]Mechanical data, limits'!Y131</f>
        <v>0</v>
      </c>
    </row>
    <row r="132" spans="1:25">
      <c r="A132" s="530">
        <f>'[3]Mechanical data, limits'!A132</f>
        <v>0</v>
      </c>
      <c r="B132" s="530">
        <f>'[3]Mechanical data, limits'!B132</f>
        <v>0</v>
      </c>
      <c r="C132" s="530">
        <f>'[3]Mechanical data, limits'!C132</f>
        <v>0</v>
      </c>
      <c r="D132" s="530">
        <f>'[3]Mechanical data, limits'!D132</f>
        <v>0</v>
      </c>
      <c r="E132" s="530">
        <f>'[3]Mechanical data, limits'!E132</f>
        <v>0</v>
      </c>
      <c r="F132" s="530">
        <f>'[3]Mechanical data, limits'!F132</f>
        <v>0</v>
      </c>
      <c r="G132" s="530">
        <f>'[3]Mechanical data, limits'!G132</f>
        <v>0</v>
      </c>
      <c r="H132" s="530">
        <f>'[3]Mechanical data, limits'!H132</f>
        <v>0</v>
      </c>
      <c r="I132" s="530">
        <f>'[3]Mechanical data, limits'!I132</f>
        <v>0</v>
      </c>
      <c r="J132" s="530">
        <f>'[3]Mechanical data, limits'!J132</f>
        <v>0</v>
      </c>
      <c r="K132" s="530">
        <f>'[3]Mechanical data, limits'!K132</f>
        <v>0</v>
      </c>
      <c r="L132" s="530">
        <f>'[3]Mechanical data, limits'!L132</f>
        <v>0</v>
      </c>
      <c r="M132" s="530">
        <f>'[3]Mechanical data, limits'!M132</f>
        <v>0</v>
      </c>
      <c r="N132" s="530">
        <f>'[3]Mechanical data, limits'!N132</f>
        <v>0</v>
      </c>
      <c r="O132" s="530">
        <f>'[3]Mechanical data, limits'!O132</f>
        <v>0</v>
      </c>
      <c r="P132" s="530">
        <f>'[3]Mechanical data, limits'!P132</f>
        <v>0</v>
      </c>
      <c r="Q132" s="530">
        <f>'[3]Mechanical data, limits'!Q132</f>
        <v>0</v>
      </c>
      <c r="R132" s="530">
        <f>'[3]Mechanical data, limits'!R132</f>
        <v>0</v>
      </c>
      <c r="S132" s="530">
        <f>'[3]Mechanical data, limits'!S132</f>
        <v>0</v>
      </c>
      <c r="T132" s="530">
        <f>'[3]Mechanical data, limits'!T132</f>
        <v>0</v>
      </c>
      <c r="U132" s="530">
        <f>'[3]Mechanical data, limits'!U132</f>
        <v>0</v>
      </c>
      <c r="V132" s="530">
        <f>'[3]Mechanical data, limits'!V132</f>
        <v>2.0249999999999999</v>
      </c>
      <c r="W132" s="530">
        <f>'[3]Mechanical data, limits'!W132</f>
        <v>2.0249999999999999</v>
      </c>
      <c r="X132" s="530">
        <f>'[3]Mechanical data, limits'!X132</f>
        <v>0</v>
      </c>
      <c r="Y132" s="530">
        <f>'[3]Mechanical data, limits'!Y132</f>
        <v>0</v>
      </c>
    </row>
    <row r="133" spans="1:25">
      <c r="A133" s="530">
        <f>'[3]Mechanical data, limits'!A133</f>
        <v>0</v>
      </c>
      <c r="B133" s="530">
        <f>'[3]Mechanical data, limits'!B133</f>
        <v>0</v>
      </c>
      <c r="C133" s="530">
        <f>'[3]Mechanical data, limits'!C133</f>
        <v>0</v>
      </c>
      <c r="D133" s="530">
        <f>'[3]Mechanical data, limits'!D133</f>
        <v>0</v>
      </c>
      <c r="E133" s="530">
        <f>'[3]Mechanical data, limits'!E133</f>
        <v>0</v>
      </c>
      <c r="F133" s="530">
        <f>'[3]Mechanical data, limits'!F133</f>
        <v>0</v>
      </c>
      <c r="G133" s="530">
        <f>'[3]Mechanical data, limits'!G133</f>
        <v>0</v>
      </c>
      <c r="H133" s="530">
        <f>'[3]Mechanical data, limits'!H133</f>
        <v>0</v>
      </c>
      <c r="I133" s="530">
        <f>'[3]Mechanical data, limits'!I133</f>
        <v>0</v>
      </c>
      <c r="J133" s="530">
        <f>'[3]Mechanical data, limits'!J133</f>
        <v>0</v>
      </c>
      <c r="K133" s="530">
        <f>'[3]Mechanical data, limits'!K133</f>
        <v>0</v>
      </c>
      <c r="L133" s="530">
        <f>'[3]Mechanical data, limits'!L133</f>
        <v>0</v>
      </c>
      <c r="M133" s="530">
        <f>'[3]Mechanical data, limits'!M133</f>
        <v>0</v>
      </c>
      <c r="N133" s="530">
        <f>'[3]Mechanical data, limits'!N133</f>
        <v>0</v>
      </c>
      <c r="O133" s="530">
        <f>'[3]Mechanical data, limits'!O133</f>
        <v>0</v>
      </c>
      <c r="P133" s="530">
        <f>'[3]Mechanical data, limits'!P133</f>
        <v>0</v>
      </c>
      <c r="Q133" s="530">
        <f>'[3]Mechanical data, limits'!Q133</f>
        <v>0</v>
      </c>
      <c r="R133" s="530">
        <f>'[3]Mechanical data, limits'!R133</f>
        <v>0</v>
      </c>
      <c r="S133" s="530">
        <f>'[3]Mechanical data, limits'!S133</f>
        <v>0</v>
      </c>
      <c r="T133" s="530">
        <f>'[3]Mechanical data, limits'!T133</f>
        <v>0</v>
      </c>
      <c r="U133" s="530">
        <f>'[3]Mechanical data, limits'!U133</f>
        <v>0</v>
      </c>
      <c r="V133" s="530">
        <f>'[3]Mechanical data, limits'!V133</f>
        <v>2.0750000000000002</v>
      </c>
      <c r="W133" s="530">
        <f>'[3]Mechanical data, limits'!W133</f>
        <v>2.0750000000000002</v>
      </c>
      <c r="X133" s="530">
        <f>'[3]Mechanical data, limits'!X133</f>
        <v>0</v>
      </c>
      <c r="Y133" s="530">
        <f>'[3]Mechanical data, limits'!Y133</f>
        <v>0</v>
      </c>
    </row>
    <row r="134" spans="1:25">
      <c r="A134" s="530">
        <f>'[3]Mechanical data, limits'!A134</f>
        <v>0</v>
      </c>
      <c r="B134" s="530">
        <f>'[3]Mechanical data, limits'!B134</f>
        <v>0</v>
      </c>
      <c r="C134" s="530">
        <f>'[3]Mechanical data, limits'!C134</f>
        <v>0</v>
      </c>
      <c r="D134" s="530">
        <f>'[3]Mechanical data, limits'!D134</f>
        <v>0</v>
      </c>
      <c r="E134" s="530">
        <f>'[3]Mechanical data, limits'!E134</f>
        <v>0</v>
      </c>
      <c r="F134" s="530">
        <f>'[3]Mechanical data, limits'!F134</f>
        <v>0</v>
      </c>
      <c r="G134" s="530">
        <f>'[3]Mechanical data, limits'!G134</f>
        <v>0</v>
      </c>
      <c r="H134" s="530">
        <f>'[3]Mechanical data, limits'!H134</f>
        <v>0</v>
      </c>
      <c r="I134" s="530">
        <f>'[3]Mechanical data, limits'!I134</f>
        <v>0</v>
      </c>
      <c r="J134" s="530">
        <f>'[3]Mechanical data, limits'!J134</f>
        <v>0</v>
      </c>
      <c r="K134" s="530">
        <f>'[3]Mechanical data, limits'!K134</f>
        <v>0</v>
      </c>
      <c r="L134" s="530">
        <f>'[3]Mechanical data, limits'!L134</f>
        <v>0</v>
      </c>
      <c r="M134" s="530">
        <f>'[3]Mechanical data, limits'!M134</f>
        <v>0</v>
      </c>
      <c r="N134" s="530">
        <f>'[3]Mechanical data, limits'!N134</f>
        <v>0</v>
      </c>
      <c r="O134" s="530">
        <f>'[3]Mechanical data, limits'!O134</f>
        <v>0</v>
      </c>
      <c r="P134" s="530">
        <f>'[3]Mechanical data, limits'!P134</f>
        <v>0</v>
      </c>
      <c r="Q134" s="530">
        <f>'[3]Mechanical data, limits'!Q134</f>
        <v>0</v>
      </c>
      <c r="R134" s="530">
        <f>'[3]Mechanical data, limits'!R134</f>
        <v>0</v>
      </c>
      <c r="S134" s="530">
        <f>'[3]Mechanical data, limits'!S134</f>
        <v>0</v>
      </c>
      <c r="T134" s="530">
        <f>'[3]Mechanical data, limits'!T134</f>
        <v>0</v>
      </c>
      <c r="U134" s="530">
        <f>'[3]Mechanical data, limits'!U134</f>
        <v>0</v>
      </c>
      <c r="V134" s="530">
        <f>'[3]Mechanical data, limits'!V134</f>
        <v>2.125</v>
      </c>
      <c r="W134" s="530">
        <f>'[3]Mechanical data, limits'!W134</f>
        <v>2.125</v>
      </c>
      <c r="X134" s="530">
        <f>'[3]Mechanical data, limits'!X134</f>
        <v>0</v>
      </c>
      <c r="Y134" s="530">
        <f>'[3]Mechanical data, limits'!Y134</f>
        <v>0</v>
      </c>
    </row>
    <row r="135" spans="1:25">
      <c r="A135" s="530">
        <f>'[3]Mechanical data, limits'!A135</f>
        <v>0</v>
      </c>
      <c r="B135" s="530">
        <f>'[3]Mechanical data, limits'!B135</f>
        <v>0</v>
      </c>
      <c r="C135" s="530">
        <f>'[3]Mechanical data, limits'!C135</f>
        <v>0</v>
      </c>
      <c r="D135" s="530">
        <f>'[3]Mechanical data, limits'!D135</f>
        <v>0</v>
      </c>
      <c r="E135" s="530">
        <f>'[3]Mechanical data, limits'!E135</f>
        <v>0</v>
      </c>
      <c r="F135" s="530">
        <f>'[3]Mechanical data, limits'!F135</f>
        <v>0</v>
      </c>
      <c r="G135" s="530">
        <f>'[3]Mechanical data, limits'!G135</f>
        <v>0</v>
      </c>
      <c r="H135" s="530">
        <f>'[3]Mechanical data, limits'!H135</f>
        <v>0</v>
      </c>
      <c r="I135" s="530">
        <f>'[3]Mechanical data, limits'!I135</f>
        <v>0</v>
      </c>
      <c r="J135" s="530">
        <f>'[3]Mechanical data, limits'!J135</f>
        <v>0</v>
      </c>
      <c r="K135" s="530">
        <f>'[3]Mechanical data, limits'!K135</f>
        <v>0</v>
      </c>
      <c r="L135" s="530">
        <f>'[3]Mechanical data, limits'!L135</f>
        <v>0</v>
      </c>
      <c r="M135" s="530">
        <f>'[3]Mechanical data, limits'!M135</f>
        <v>0</v>
      </c>
      <c r="N135" s="530">
        <f>'[3]Mechanical data, limits'!N135</f>
        <v>0</v>
      </c>
      <c r="O135" s="530">
        <f>'[3]Mechanical data, limits'!O135</f>
        <v>0</v>
      </c>
      <c r="P135" s="530">
        <f>'[3]Mechanical data, limits'!P135</f>
        <v>0</v>
      </c>
      <c r="Q135" s="530">
        <f>'[3]Mechanical data, limits'!Q135</f>
        <v>0</v>
      </c>
      <c r="R135" s="530">
        <f>'[3]Mechanical data, limits'!R135</f>
        <v>0</v>
      </c>
      <c r="S135" s="530">
        <f>'[3]Mechanical data, limits'!S135</f>
        <v>0</v>
      </c>
      <c r="T135" s="530">
        <f>'[3]Mechanical data, limits'!T135</f>
        <v>0</v>
      </c>
      <c r="U135" s="530">
        <f>'[3]Mechanical data, limits'!U135</f>
        <v>0</v>
      </c>
      <c r="V135" s="530">
        <f>'[3]Mechanical data, limits'!V135</f>
        <v>2.1749999999999998</v>
      </c>
      <c r="W135" s="530">
        <f>'[3]Mechanical data, limits'!W135</f>
        <v>2.1749999999999998</v>
      </c>
      <c r="X135" s="530">
        <f>'[3]Mechanical data, limits'!X135</f>
        <v>0</v>
      </c>
      <c r="Y135" s="530">
        <f>'[3]Mechanical data, limits'!Y135</f>
        <v>0</v>
      </c>
    </row>
    <row r="136" spans="1:25">
      <c r="A136" s="530">
        <f>'[3]Mechanical data, limits'!A136</f>
        <v>0</v>
      </c>
      <c r="B136" s="530">
        <f>'[3]Mechanical data, limits'!B136</f>
        <v>0</v>
      </c>
      <c r="C136" s="530">
        <f>'[3]Mechanical data, limits'!C136</f>
        <v>0</v>
      </c>
      <c r="D136" s="530">
        <f>'[3]Mechanical data, limits'!D136</f>
        <v>0</v>
      </c>
      <c r="E136" s="530">
        <f>'[3]Mechanical data, limits'!E136</f>
        <v>0</v>
      </c>
      <c r="F136" s="530">
        <f>'[3]Mechanical data, limits'!F136</f>
        <v>0</v>
      </c>
      <c r="G136" s="530">
        <f>'[3]Mechanical data, limits'!G136</f>
        <v>0</v>
      </c>
      <c r="H136" s="530">
        <f>'[3]Mechanical data, limits'!H136</f>
        <v>0</v>
      </c>
      <c r="I136" s="530">
        <f>'[3]Mechanical data, limits'!I136</f>
        <v>0</v>
      </c>
      <c r="J136" s="530">
        <f>'[3]Mechanical data, limits'!J136</f>
        <v>0</v>
      </c>
      <c r="K136" s="530">
        <f>'[3]Mechanical data, limits'!K136</f>
        <v>0</v>
      </c>
      <c r="L136" s="530">
        <f>'[3]Mechanical data, limits'!L136</f>
        <v>0</v>
      </c>
      <c r="M136" s="530">
        <f>'[3]Mechanical data, limits'!M136</f>
        <v>0</v>
      </c>
      <c r="N136" s="530">
        <f>'[3]Mechanical data, limits'!N136</f>
        <v>0</v>
      </c>
      <c r="O136" s="530">
        <f>'[3]Mechanical data, limits'!O136</f>
        <v>0</v>
      </c>
      <c r="P136" s="530">
        <f>'[3]Mechanical data, limits'!P136</f>
        <v>0</v>
      </c>
      <c r="Q136" s="530">
        <f>'[3]Mechanical data, limits'!Q136</f>
        <v>0</v>
      </c>
      <c r="R136" s="530">
        <f>'[3]Mechanical data, limits'!R136</f>
        <v>0</v>
      </c>
      <c r="S136" s="530">
        <f>'[3]Mechanical data, limits'!S136</f>
        <v>0</v>
      </c>
      <c r="T136" s="530">
        <f>'[3]Mechanical data, limits'!T136</f>
        <v>0</v>
      </c>
      <c r="U136" s="530">
        <f>'[3]Mechanical data, limits'!U136</f>
        <v>0</v>
      </c>
      <c r="V136" s="530">
        <f>'[3]Mechanical data, limits'!V136</f>
        <v>2.2250000000000001</v>
      </c>
      <c r="W136" s="530">
        <f>'[3]Mechanical data, limits'!W136</f>
        <v>2.2250000000000001</v>
      </c>
      <c r="X136" s="530">
        <f>'[3]Mechanical data, limits'!X136</f>
        <v>0</v>
      </c>
      <c r="Y136" s="530">
        <f>'[3]Mechanical data, limits'!Y136</f>
        <v>0</v>
      </c>
    </row>
    <row r="137" spans="1:25">
      <c r="A137" s="530">
        <f>'[3]Mechanical data, limits'!A137</f>
        <v>0</v>
      </c>
      <c r="B137" s="530">
        <f>'[3]Mechanical data, limits'!B137</f>
        <v>0</v>
      </c>
      <c r="C137" s="530">
        <f>'[3]Mechanical data, limits'!C137</f>
        <v>0</v>
      </c>
      <c r="D137" s="530">
        <f>'[3]Mechanical data, limits'!D137</f>
        <v>0</v>
      </c>
      <c r="E137" s="530">
        <f>'[3]Mechanical data, limits'!E137</f>
        <v>0</v>
      </c>
      <c r="F137" s="530">
        <f>'[3]Mechanical data, limits'!F137</f>
        <v>0</v>
      </c>
      <c r="G137" s="530">
        <f>'[3]Mechanical data, limits'!G137</f>
        <v>0</v>
      </c>
      <c r="H137" s="530">
        <f>'[3]Mechanical data, limits'!H137</f>
        <v>0</v>
      </c>
      <c r="I137" s="530">
        <f>'[3]Mechanical data, limits'!I137</f>
        <v>0</v>
      </c>
      <c r="J137" s="530">
        <f>'[3]Mechanical data, limits'!J137</f>
        <v>0</v>
      </c>
      <c r="K137" s="530">
        <f>'[3]Mechanical data, limits'!K137</f>
        <v>0</v>
      </c>
      <c r="L137" s="530">
        <f>'[3]Mechanical data, limits'!L137</f>
        <v>0</v>
      </c>
      <c r="M137" s="530">
        <f>'[3]Mechanical data, limits'!M137</f>
        <v>0</v>
      </c>
      <c r="N137" s="530">
        <f>'[3]Mechanical data, limits'!N137</f>
        <v>0</v>
      </c>
      <c r="O137" s="530">
        <f>'[3]Mechanical data, limits'!O137</f>
        <v>0</v>
      </c>
      <c r="P137" s="530">
        <f>'[3]Mechanical data, limits'!P137</f>
        <v>0</v>
      </c>
      <c r="Q137" s="530">
        <f>'[3]Mechanical data, limits'!Q137</f>
        <v>0</v>
      </c>
      <c r="R137" s="530">
        <f>'[3]Mechanical data, limits'!R137</f>
        <v>0</v>
      </c>
      <c r="S137" s="530">
        <f>'[3]Mechanical data, limits'!S137</f>
        <v>0</v>
      </c>
      <c r="T137" s="530">
        <f>'[3]Mechanical data, limits'!T137</f>
        <v>0</v>
      </c>
      <c r="U137" s="530">
        <f>'[3]Mechanical data, limits'!U137</f>
        <v>0</v>
      </c>
      <c r="V137" s="530">
        <f>'[3]Mechanical data, limits'!V137</f>
        <v>2.2749999999999999</v>
      </c>
      <c r="W137" s="530">
        <f>'[3]Mechanical data, limits'!W137</f>
        <v>2.2749999999999999</v>
      </c>
      <c r="X137" s="530">
        <f>'[3]Mechanical data, limits'!X137</f>
        <v>0</v>
      </c>
      <c r="Y137" s="530">
        <f>'[3]Mechanical data, limits'!Y137</f>
        <v>0</v>
      </c>
    </row>
    <row r="138" spans="1:25">
      <c r="A138" s="530">
        <f>'[3]Mechanical data, limits'!A138</f>
        <v>0</v>
      </c>
      <c r="B138" s="530">
        <f>'[3]Mechanical data, limits'!B138</f>
        <v>0</v>
      </c>
      <c r="C138" s="530">
        <f>'[3]Mechanical data, limits'!C138</f>
        <v>0</v>
      </c>
      <c r="D138" s="530">
        <f>'[3]Mechanical data, limits'!D138</f>
        <v>0</v>
      </c>
      <c r="E138" s="530">
        <f>'[3]Mechanical data, limits'!E138</f>
        <v>0</v>
      </c>
      <c r="F138" s="530">
        <f>'[3]Mechanical data, limits'!F138</f>
        <v>0</v>
      </c>
      <c r="G138" s="530">
        <f>'[3]Mechanical data, limits'!G138</f>
        <v>0</v>
      </c>
      <c r="H138" s="530">
        <f>'[3]Mechanical data, limits'!H138</f>
        <v>0</v>
      </c>
      <c r="I138" s="530">
        <f>'[3]Mechanical data, limits'!I138</f>
        <v>0</v>
      </c>
      <c r="J138" s="530">
        <f>'[3]Mechanical data, limits'!J138</f>
        <v>0</v>
      </c>
      <c r="K138" s="530">
        <f>'[3]Mechanical data, limits'!K138</f>
        <v>0</v>
      </c>
      <c r="L138" s="530">
        <f>'[3]Mechanical data, limits'!L138</f>
        <v>0</v>
      </c>
      <c r="M138" s="530">
        <f>'[3]Mechanical data, limits'!M138</f>
        <v>0</v>
      </c>
      <c r="N138" s="530">
        <f>'[3]Mechanical data, limits'!N138</f>
        <v>0</v>
      </c>
      <c r="O138" s="530">
        <f>'[3]Mechanical data, limits'!O138</f>
        <v>0</v>
      </c>
      <c r="P138" s="530">
        <f>'[3]Mechanical data, limits'!P138</f>
        <v>0</v>
      </c>
      <c r="Q138" s="530">
        <f>'[3]Mechanical data, limits'!Q138</f>
        <v>0</v>
      </c>
      <c r="R138" s="530">
        <f>'[3]Mechanical data, limits'!R138</f>
        <v>0</v>
      </c>
      <c r="S138" s="530">
        <f>'[3]Mechanical data, limits'!S138</f>
        <v>0</v>
      </c>
      <c r="T138" s="530">
        <f>'[3]Mechanical data, limits'!T138</f>
        <v>0</v>
      </c>
      <c r="U138" s="530">
        <f>'[3]Mechanical data, limits'!U138</f>
        <v>0</v>
      </c>
      <c r="V138" s="530">
        <f>'[3]Mechanical data, limits'!V138</f>
        <v>2.3250000000000002</v>
      </c>
      <c r="W138" s="530">
        <f>'[3]Mechanical data, limits'!W138</f>
        <v>2.3250000000000002</v>
      </c>
      <c r="X138" s="530">
        <f>'[3]Mechanical data, limits'!X138</f>
        <v>0</v>
      </c>
      <c r="Y138" s="530">
        <f>'[3]Mechanical data, limits'!Y138</f>
        <v>0</v>
      </c>
    </row>
    <row r="139" spans="1:25">
      <c r="A139" s="530">
        <f>'[3]Mechanical data, limits'!A139</f>
        <v>0</v>
      </c>
      <c r="B139" s="530">
        <f>'[3]Mechanical data, limits'!B139</f>
        <v>0</v>
      </c>
      <c r="C139" s="530">
        <f>'[3]Mechanical data, limits'!C139</f>
        <v>0</v>
      </c>
      <c r="D139" s="530">
        <f>'[3]Mechanical data, limits'!D139</f>
        <v>0</v>
      </c>
      <c r="E139" s="530">
        <f>'[3]Mechanical data, limits'!E139</f>
        <v>0</v>
      </c>
      <c r="F139" s="530">
        <f>'[3]Mechanical data, limits'!F139</f>
        <v>0</v>
      </c>
      <c r="G139" s="530">
        <f>'[3]Mechanical data, limits'!G139</f>
        <v>0</v>
      </c>
      <c r="H139" s="530">
        <f>'[3]Mechanical data, limits'!H139</f>
        <v>0</v>
      </c>
      <c r="I139" s="530">
        <f>'[3]Mechanical data, limits'!I139</f>
        <v>0</v>
      </c>
      <c r="J139" s="530">
        <f>'[3]Mechanical data, limits'!J139</f>
        <v>0</v>
      </c>
      <c r="K139" s="530">
        <f>'[3]Mechanical data, limits'!K139</f>
        <v>0</v>
      </c>
      <c r="L139" s="530">
        <f>'[3]Mechanical data, limits'!L139</f>
        <v>0</v>
      </c>
      <c r="M139" s="530">
        <f>'[3]Mechanical data, limits'!M139</f>
        <v>0</v>
      </c>
      <c r="N139" s="530">
        <f>'[3]Mechanical data, limits'!N139</f>
        <v>0</v>
      </c>
      <c r="O139" s="530">
        <f>'[3]Mechanical data, limits'!O139</f>
        <v>0</v>
      </c>
      <c r="P139" s="530">
        <f>'[3]Mechanical data, limits'!P139</f>
        <v>0</v>
      </c>
      <c r="Q139" s="530">
        <f>'[3]Mechanical data, limits'!Q139</f>
        <v>0</v>
      </c>
      <c r="R139" s="530">
        <f>'[3]Mechanical data, limits'!R139</f>
        <v>0</v>
      </c>
      <c r="S139" s="530">
        <f>'[3]Mechanical data, limits'!S139</f>
        <v>0</v>
      </c>
      <c r="T139" s="530">
        <f>'[3]Mechanical data, limits'!T139</f>
        <v>0</v>
      </c>
      <c r="U139" s="530">
        <f>'[3]Mechanical data, limits'!U139</f>
        <v>0</v>
      </c>
      <c r="V139" s="530">
        <f>'[3]Mechanical data, limits'!V139</f>
        <v>2.375</v>
      </c>
      <c r="W139" s="530">
        <f>'[3]Mechanical data, limits'!W139</f>
        <v>2.375</v>
      </c>
      <c r="X139" s="530">
        <f>'[3]Mechanical data, limits'!X139</f>
        <v>0</v>
      </c>
      <c r="Y139" s="530">
        <f>'[3]Mechanical data, limits'!Y139</f>
        <v>0</v>
      </c>
    </row>
    <row r="140" spans="1:25">
      <c r="A140" s="530" t="str">
        <f>'[3]Mechanical data, limits'!A140</f>
        <v>RPM</v>
      </c>
      <c r="B140" s="530">
        <f>'[3]Mechanical data, limits'!B140</f>
        <v>0</v>
      </c>
      <c r="C140" s="530" t="str">
        <f>'[3]Mechanical data, limits'!C140</f>
        <v>Blade dist@ d2</v>
      </c>
      <c r="D140" s="530">
        <f>'[3]Mechanical data, limits'!D140</f>
        <v>0</v>
      </c>
      <c r="E140" s="530">
        <f>'[3]Mechanical data, limits'!E140</f>
        <v>0</v>
      </c>
      <c r="F140" s="530">
        <f>'[3]Mechanical data, limits'!F140</f>
        <v>0</v>
      </c>
      <c r="G140" s="530">
        <f>'[3]Mechanical data, limits'!G140</f>
        <v>0</v>
      </c>
      <c r="H140" s="530">
        <f>'[3]Mechanical data, limits'!H140</f>
        <v>0</v>
      </c>
      <c r="I140" s="530">
        <f>'[3]Mechanical data, limits'!I140</f>
        <v>0</v>
      </c>
      <c r="J140" s="530">
        <f>'[3]Mechanical data, limits'!J140</f>
        <v>0</v>
      </c>
      <c r="K140" s="530">
        <f>'[3]Mechanical data, limits'!K140</f>
        <v>0</v>
      </c>
      <c r="L140" s="530">
        <f>'[3]Mechanical data, limits'!L140</f>
        <v>0</v>
      </c>
      <c r="M140" s="530">
        <f>'[3]Mechanical data, limits'!M140</f>
        <v>0</v>
      </c>
      <c r="N140" s="530">
        <f>'[3]Mechanical data, limits'!N140</f>
        <v>0</v>
      </c>
      <c r="O140" s="530">
        <f>'[3]Mechanical data, limits'!O140</f>
        <v>0</v>
      </c>
      <c r="P140" s="530">
        <f>'[3]Mechanical data, limits'!P140</f>
        <v>0</v>
      </c>
      <c r="Q140" s="530">
        <f>'[3]Mechanical data, limits'!Q140</f>
        <v>0</v>
      </c>
      <c r="R140" s="530">
        <f>'[3]Mechanical data, limits'!R140</f>
        <v>0</v>
      </c>
      <c r="S140" s="530">
        <f>'[3]Mechanical data, limits'!S140</f>
        <v>0</v>
      </c>
      <c r="T140" s="530">
        <f>'[3]Mechanical data, limits'!T140</f>
        <v>0</v>
      </c>
      <c r="U140" s="530">
        <f>'[3]Mechanical data, limits'!U140</f>
        <v>0</v>
      </c>
      <c r="V140" s="530">
        <f>'[3]Mechanical data, limits'!V140</f>
        <v>2.4249999999999998</v>
      </c>
      <c r="W140" s="530">
        <f>'[3]Mechanical data, limits'!W140</f>
        <v>2.4249999999999998</v>
      </c>
      <c r="X140" s="530">
        <f>'[3]Mechanical data, limits'!X140</f>
        <v>0</v>
      </c>
      <c r="Y140" s="530">
        <f>'[3]Mechanical data, limits'!Y140</f>
        <v>0</v>
      </c>
    </row>
    <row r="141" spans="1:25">
      <c r="A141" s="530">
        <f>'[3]Mechanical data, limits'!A141</f>
        <v>250</v>
      </c>
      <c r="B141" s="530">
        <f>'[3]Mechanical data, limits'!B141</f>
        <v>0</v>
      </c>
      <c r="C141" s="530">
        <f>'[3]Mechanical data, limits'!C141</f>
        <v>0.4</v>
      </c>
      <c r="D141" s="530" t="str">
        <f>'[3]Mechanical data, limits'!D141</f>
        <v>m</v>
      </c>
      <c r="E141" s="530">
        <f>'[3]Mechanical data, limits'!E141</f>
        <v>0</v>
      </c>
      <c r="F141" s="530">
        <f>'[3]Mechanical data, limits'!F141</f>
        <v>0</v>
      </c>
      <c r="G141" s="530">
        <f>'[3]Mechanical data, limits'!G141</f>
        <v>0</v>
      </c>
      <c r="H141" s="530">
        <f>'[3]Mechanical data, limits'!H141</f>
        <v>0</v>
      </c>
      <c r="I141" s="530">
        <f>'[3]Mechanical data, limits'!I141</f>
        <v>0</v>
      </c>
      <c r="J141" s="530">
        <f>'[3]Mechanical data, limits'!J141</f>
        <v>0</v>
      </c>
      <c r="K141" s="530">
        <f>'[3]Mechanical data, limits'!K141</f>
        <v>0</v>
      </c>
      <c r="L141" s="530">
        <f>'[3]Mechanical data, limits'!L141</f>
        <v>0</v>
      </c>
      <c r="M141" s="530">
        <f>'[3]Mechanical data, limits'!M141</f>
        <v>0</v>
      </c>
      <c r="N141" s="530">
        <f>'[3]Mechanical data, limits'!N141</f>
        <v>0</v>
      </c>
      <c r="O141" s="530">
        <f>'[3]Mechanical data, limits'!O141</f>
        <v>0</v>
      </c>
      <c r="P141" s="530">
        <f>'[3]Mechanical data, limits'!P141</f>
        <v>0</v>
      </c>
      <c r="Q141" s="530">
        <f>'[3]Mechanical data, limits'!Q141</f>
        <v>0</v>
      </c>
      <c r="R141" s="530">
        <f>'[3]Mechanical data, limits'!R141</f>
        <v>0</v>
      </c>
      <c r="S141" s="530">
        <f>'[3]Mechanical data, limits'!S141</f>
        <v>0</v>
      </c>
      <c r="T141" s="530">
        <f>'[3]Mechanical data, limits'!T141</f>
        <v>0</v>
      </c>
      <c r="U141" s="530">
        <f>'[3]Mechanical data, limits'!U141</f>
        <v>0</v>
      </c>
      <c r="V141" s="530">
        <f>'[3]Mechanical data, limits'!V141</f>
        <v>2.4750000000000001</v>
      </c>
      <c r="W141" s="530">
        <f>'[3]Mechanical data, limits'!W141</f>
        <v>2.4750000000000001</v>
      </c>
      <c r="X141" s="530">
        <f>'[3]Mechanical data, limits'!X141</f>
        <v>0</v>
      </c>
      <c r="Y141" s="530">
        <f>'[3]Mechanical data, limits'!Y141</f>
        <v>0</v>
      </c>
    </row>
    <row r="142" spans="1:25">
      <c r="A142" s="530">
        <f>'[3]Mechanical data, limits'!A142</f>
        <v>500</v>
      </c>
      <c r="B142" s="530">
        <f>'[3]Mechanical data, limits'!B142</f>
        <v>0</v>
      </c>
      <c r="C142" s="530">
        <f>'[3]Mechanical data, limits'!C142</f>
        <v>0.4</v>
      </c>
      <c r="D142" s="530" t="str">
        <f>'[3]Mechanical data, limits'!D142</f>
        <v>m</v>
      </c>
      <c r="E142" s="530">
        <f>'[3]Mechanical data, limits'!E142</f>
        <v>0</v>
      </c>
      <c r="F142" s="530">
        <f>'[3]Mechanical data, limits'!F142</f>
        <v>0</v>
      </c>
      <c r="G142" s="530">
        <f>'[3]Mechanical data, limits'!G142</f>
        <v>0</v>
      </c>
      <c r="H142" s="530">
        <f>'[3]Mechanical data, limits'!H142</f>
        <v>0</v>
      </c>
      <c r="I142" s="530">
        <f>'[3]Mechanical data, limits'!I142</f>
        <v>0</v>
      </c>
      <c r="J142" s="530">
        <f>'[3]Mechanical data, limits'!J142</f>
        <v>0</v>
      </c>
      <c r="K142" s="530">
        <f>'[3]Mechanical data, limits'!K142</f>
        <v>0</v>
      </c>
      <c r="L142" s="530">
        <f>'[3]Mechanical data, limits'!L142</f>
        <v>0</v>
      </c>
      <c r="M142" s="530">
        <f>'[3]Mechanical data, limits'!M142</f>
        <v>0</v>
      </c>
      <c r="N142" s="530">
        <f>'[3]Mechanical data, limits'!N142</f>
        <v>0</v>
      </c>
      <c r="O142" s="530">
        <f>'[3]Mechanical data, limits'!O142</f>
        <v>0</v>
      </c>
      <c r="P142" s="530">
        <f>'[3]Mechanical data, limits'!P142</f>
        <v>0</v>
      </c>
      <c r="Q142" s="530">
        <f>'[3]Mechanical data, limits'!Q142</f>
        <v>0</v>
      </c>
      <c r="R142" s="530">
        <f>'[3]Mechanical data, limits'!R142</f>
        <v>0</v>
      </c>
      <c r="S142" s="530">
        <f>'[3]Mechanical data, limits'!S142</f>
        <v>0</v>
      </c>
      <c r="T142" s="530">
        <f>'[3]Mechanical data, limits'!T142</f>
        <v>0</v>
      </c>
      <c r="U142" s="530">
        <f>'[3]Mechanical data, limits'!U142</f>
        <v>0</v>
      </c>
      <c r="V142" s="530">
        <f>'[3]Mechanical data, limits'!V142</f>
        <v>2.5249999999999999</v>
      </c>
      <c r="W142" s="530">
        <f>'[3]Mechanical data, limits'!W142</f>
        <v>2.5249999999999999</v>
      </c>
      <c r="X142" s="530">
        <f>'[3]Mechanical data, limits'!X142</f>
        <v>0</v>
      </c>
      <c r="Y142" s="530">
        <f>'[3]Mechanical data, limits'!Y142</f>
        <v>0</v>
      </c>
    </row>
    <row r="143" spans="1:25">
      <c r="A143" s="530">
        <f>'[3]Mechanical data, limits'!A143</f>
        <v>1000</v>
      </c>
      <c r="B143" s="530">
        <f>'[3]Mechanical data, limits'!B143</f>
        <v>0</v>
      </c>
      <c r="C143" s="530">
        <f>'[3]Mechanical data, limits'!C143</f>
        <v>0.35</v>
      </c>
      <c r="D143" s="530" t="str">
        <f>'[3]Mechanical data, limits'!D143</f>
        <v>m</v>
      </c>
      <c r="E143" s="530">
        <f>'[3]Mechanical data, limits'!E143</f>
        <v>0</v>
      </c>
      <c r="F143" s="530">
        <f>'[3]Mechanical data, limits'!F143</f>
        <v>0</v>
      </c>
      <c r="G143" s="530">
        <f>'[3]Mechanical data, limits'!G143</f>
        <v>0</v>
      </c>
      <c r="H143" s="530">
        <f>'[3]Mechanical data, limits'!H143</f>
        <v>0</v>
      </c>
      <c r="I143" s="530">
        <f>'[3]Mechanical data, limits'!I143</f>
        <v>0</v>
      </c>
      <c r="J143" s="530">
        <f>'[3]Mechanical data, limits'!J143</f>
        <v>0</v>
      </c>
      <c r="K143" s="530">
        <f>'[3]Mechanical data, limits'!K143</f>
        <v>0</v>
      </c>
      <c r="L143" s="530">
        <f>'[3]Mechanical data, limits'!L143</f>
        <v>0</v>
      </c>
      <c r="M143" s="530">
        <f>'[3]Mechanical data, limits'!M143</f>
        <v>0</v>
      </c>
      <c r="N143" s="530">
        <f>'[3]Mechanical data, limits'!N143</f>
        <v>0</v>
      </c>
      <c r="O143" s="530">
        <f>'[3]Mechanical data, limits'!O143</f>
        <v>0</v>
      </c>
      <c r="P143" s="530">
        <f>'[3]Mechanical data, limits'!P143</f>
        <v>0</v>
      </c>
      <c r="Q143" s="530">
        <f>'[3]Mechanical data, limits'!Q143</f>
        <v>0</v>
      </c>
      <c r="R143" s="530">
        <f>'[3]Mechanical data, limits'!R143</f>
        <v>0</v>
      </c>
      <c r="S143" s="530">
        <f>'[3]Mechanical data, limits'!S143</f>
        <v>0</v>
      </c>
      <c r="T143" s="530">
        <f>'[3]Mechanical data, limits'!T143</f>
        <v>0</v>
      </c>
      <c r="U143" s="530">
        <f>'[3]Mechanical data, limits'!U143</f>
        <v>0</v>
      </c>
      <c r="V143" s="530">
        <f>'[3]Mechanical data, limits'!V143</f>
        <v>2.5750000000000002</v>
      </c>
      <c r="W143" s="530">
        <f>'[3]Mechanical data, limits'!W143</f>
        <v>2.5750000000000002</v>
      </c>
      <c r="X143" s="530">
        <f>'[3]Mechanical data, limits'!X143</f>
        <v>0</v>
      </c>
      <c r="Y143" s="530">
        <f>'[3]Mechanical data, limits'!Y143</f>
        <v>0</v>
      </c>
    </row>
    <row r="144" spans="1:25">
      <c r="A144" s="530">
        <f>'[3]Mechanical data, limits'!A144</f>
        <v>1500</v>
      </c>
      <c r="B144" s="530">
        <f>'[3]Mechanical data, limits'!B144</f>
        <v>0</v>
      </c>
      <c r="C144" s="530">
        <f>'[3]Mechanical data, limits'!C144</f>
        <v>0.35</v>
      </c>
      <c r="D144" s="530" t="str">
        <f>'[3]Mechanical data, limits'!D144</f>
        <v>m</v>
      </c>
      <c r="E144" s="530">
        <f>'[3]Mechanical data, limits'!E144</f>
        <v>0</v>
      </c>
      <c r="F144" s="530">
        <f>'[3]Mechanical data, limits'!F144</f>
        <v>0</v>
      </c>
      <c r="G144" s="530">
        <f>'[3]Mechanical data, limits'!G144</f>
        <v>0</v>
      </c>
      <c r="H144" s="530">
        <f>'[3]Mechanical data, limits'!H144</f>
        <v>0</v>
      </c>
      <c r="I144" s="530">
        <f>'[3]Mechanical data, limits'!I144</f>
        <v>0</v>
      </c>
      <c r="J144" s="530">
        <f>'[3]Mechanical data, limits'!J144</f>
        <v>0</v>
      </c>
      <c r="K144" s="530">
        <f>'[3]Mechanical data, limits'!K144</f>
        <v>0</v>
      </c>
      <c r="L144" s="530">
        <f>'[3]Mechanical data, limits'!L144</f>
        <v>0</v>
      </c>
      <c r="M144" s="530">
        <f>'[3]Mechanical data, limits'!M144</f>
        <v>0</v>
      </c>
      <c r="N144" s="530">
        <f>'[3]Mechanical data, limits'!N144</f>
        <v>0</v>
      </c>
      <c r="O144" s="530">
        <f>'[3]Mechanical data, limits'!O144</f>
        <v>0</v>
      </c>
      <c r="P144" s="530">
        <f>'[3]Mechanical data, limits'!P144</f>
        <v>0</v>
      </c>
      <c r="Q144" s="530">
        <f>'[3]Mechanical data, limits'!Q144</f>
        <v>0</v>
      </c>
      <c r="R144" s="530">
        <f>'[3]Mechanical data, limits'!R144</f>
        <v>0</v>
      </c>
      <c r="S144" s="530">
        <f>'[3]Mechanical data, limits'!S144</f>
        <v>0</v>
      </c>
      <c r="T144" s="530">
        <f>'[3]Mechanical data, limits'!T144</f>
        <v>0</v>
      </c>
      <c r="U144" s="530">
        <f>'[3]Mechanical data, limits'!U144</f>
        <v>0</v>
      </c>
      <c r="V144" s="530">
        <f>'[3]Mechanical data, limits'!V144</f>
        <v>2.625</v>
      </c>
      <c r="W144" s="530">
        <f>'[3]Mechanical data, limits'!W144</f>
        <v>2.625</v>
      </c>
      <c r="X144" s="530">
        <f>'[3]Mechanical data, limits'!X144</f>
        <v>0</v>
      </c>
      <c r="Y144" s="530">
        <f>'[3]Mechanical data, limits'!Y144</f>
        <v>0</v>
      </c>
    </row>
    <row r="145" spans="1:25">
      <c r="A145" s="530">
        <f>'[3]Mechanical data, limits'!A145</f>
        <v>2000</v>
      </c>
      <c r="B145" s="530">
        <f>'[3]Mechanical data, limits'!B145</f>
        <v>0</v>
      </c>
      <c r="C145" s="530">
        <f>'[3]Mechanical data, limits'!C145</f>
        <v>0.3</v>
      </c>
      <c r="D145" s="530" t="str">
        <f>'[3]Mechanical data, limits'!D145</f>
        <v>m</v>
      </c>
      <c r="E145" s="530">
        <f>'[3]Mechanical data, limits'!E145</f>
        <v>0</v>
      </c>
      <c r="F145" s="530">
        <f>'[3]Mechanical data, limits'!F145</f>
        <v>0</v>
      </c>
      <c r="G145" s="530">
        <f>'[3]Mechanical data, limits'!G145</f>
        <v>0</v>
      </c>
      <c r="H145" s="530">
        <f>'[3]Mechanical data, limits'!H145</f>
        <v>0</v>
      </c>
      <c r="I145" s="530">
        <f>'[3]Mechanical data, limits'!I145</f>
        <v>0</v>
      </c>
      <c r="J145" s="530">
        <f>'[3]Mechanical data, limits'!J145</f>
        <v>0</v>
      </c>
      <c r="K145" s="530">
        <f>'[3]Mechanical data, limits'!K145</f>
        <v>0</v>
      </c>
      <c r="L145" s="530">
        <f>'[3]Mechanical data, limits'!L145</f>
        <v>0</v>
      </c>
      <c r="M145" s="530">
        <f>'[3]Mechanical data, limits'!M145</f>
        <v>0</v>
      </c>
      <c r="N145" s="530">
        <f>'[3]Mechanical data, limits'!N145</f>
        <v>0</v>
      </c>
      <c r="O145" s="530">
        <f>'[3]Mechanical data, limits'!O145</f>
        <v>0</v>
      </c>
      <c r="P145" s="530">
        <f>'[3]Mechanical data, limits'!P145</f>
        <v>0</v>
      </c>
      <c r="Q145" s="530">
        <f>'[3]Mechanical data, limits'!Q145</f>
        <v>0</v>
      </c>
      <c r="R145" s="530">
        <f>'[3]Mechanical data, limits'!R145</f>
        <v>0</v>
      </c>
      <c r="S145" s="530">
        <f>'[3]Mechanical data, limits'!S145</f>
        <v>0</v>
      </c>
      <c r="T145" s="530">
        <f>'[3]Mechanical data, limits'!T145</f>
        <v>0</v>
      </c>
      <c r="U145" s="530">
        <f>'[3]Mechanical data, limits'!U145</f>
        <v>0</v>
      </c>
      <c r="V145" s="530">
        <f>'[3]Mechanical data, limits'!V145</f>
        <v>2.6749999999999998</v>
      </c>
      <c r="W145" s="530">
        <f>'[3]Mechanical data, limits'!W145</f>
        <v>2.6749999999999998</v>
      </c>
      <c r="X145" s="530">
        <f>'[3]Mechanical data, limits'!X145</f>
        <v>0</v>
      </c>
      <c r="Y145" s="530">
        <f>'[3]Mechanical data, limits'!Y145</f>
        <v>0</v>
      </c>
    </row>
    <row r="146" spans="1:25">
      <c r="A146" s="530">
        <f>'[3]Mechanical data, limits'!A146</f>
        <v>2500</v>
      </c>
      <c r="B146" s="530">
        <f>'[3]Mechanical data, limits'!B146</f>
        <v>0</v>
      </c>
      <c r="C146" s="530">
        <f>'[3]Mechanical data, limits'!C146</f>
        <v>0.25</v>
      </c>
      <c r="D146" s="530" t="str">
        <f>'[3]Mechanical data, limits'!D146</f>
        <v>m</v>
      </c>
      <c r="E146" s="530">
        <f>'[3]Mechanical data, limits'!E146</f>
        <v>0</v>
      </c>
      <c r="F146" s="530">
        <f>'[3]Mechanical data, limits'!F146</f>
        <v>0</v>
      </c>
      <c r="G146" s="530">
        <f>'[3]Mechanical data, limits'!G146</f>
        <v>0</v>
      </c>
      <c r="H146" s="530">
        <f>'[3]Mechanical data, limits'!H146</f>
        <v>0</v>
      </c>
      <c r="I146" s="530">
        <f>'[3]Mechanical data, limits'!I146</f>
        <v>0</v>
      </c>
      <c r="J146" s="530">
        <f>'[3]Mechanical data, limits'!J146</f>
        <v>0</v>
      </c>
      <c r="K146" s="530">
        <f>'[3]Mechanical data, limits'!K146</f>
        <v>0</v>
      </c>
      <c r="L146" s="530">
        <f>'[3]Mechanical data, limits'!L146</f>
        <v>0</v>
      </c>
      <c r="M146" s="530">
        <f>'[3]Mechanical data, limits'!M146</f>
        <v>0</v>
      </c>
      <c r="N146" s="530">
        <f>'[3]Mechanical data, limits'!N146</f>
        <v>0</v>
      </c>
      <c r="O146" s="530">
        <f>'[3]Mechanical data, limits'!O146</f>
        <v>0</v>
      </c>
      <c r="P146" s="530">
        <f>'[3]Mechanical data, limits'!P146</f>
        <v>0</v>
      </c>
      <c r="Q146" s="530">
        <f>'[3]Mechanical data, limits'!Q146</f>
        <v>0</v>
      </c>
      <c r="R146" s="530">
        <f>'[3]Mechanical data, limits'!R146</f>
        <v>0</v>
      </c>
      <c r="S146" s="530">
        <f>'[3]Mechanical data, limits'!S146</f>
        <v>0</v>
      </c>
      <c r="T146" s="530">
        <f>'[3]Mechanical data, limits'!T146</f>
        <v>0</v>
      </c>
      <c r="U146" s="530">
        <f>'[3]Mechanical data, limits'!U146</f>
        <v>0</v>
      </c>
      <c r="V146" s="530">
        <f>'[3]Mechanical data, limits'!V146</f>
        <v>2.7250000000000001</v>
      </c>
      <c r="W146" s="530">
        <f>'[3]Mechanical data, limits'!W146</f>
        <v>2.7250000000000001</v>
      </c>
      <c r="X146" s="530">
        <f>'[3]Mechanical data, limits'!X146</f>
        <v>0</v>
      </c>
      <c r="Y146" s="530">
        <f>'[3]Mechanical data, limits'!Y146</f>
        <v>0</v>
      </c>
    </row>
    <row r="147" spans="1:25">
      <c r="A147" s="530">
        <f>'[3]Mechanical data, limits'!A147</f>
        <v>3000</v>
      </c>
      <c r="B147" s="530">
        <f>'[3]Mechanical data, limits'!B147</f>
        <v>0</v>
      </c>
      <c r="C147" s="530">
        <f>'[3]Mechanical data, limits'!C147</f>
        <v>0.25</v>
      </c>
      <c r="D147" s="530" t="str">
        <f>'[3]Mechanical data, limits'!D147</f>
        <v>m</v>
      </c>
      <c r="E147" s="530">
        <f>'[3]Mechanical data, limits'!E147</f>
        <v>0</v>
      </c>
      <c r="F147" s="530">
        <f>'[3]Mechanical data, limits'!F147</f>
        <v>0</v>
      </c>
      <c r="G147" s="530">
        <f>'[3]Mechanical data, limits'!G147</f>
        <v>0</v>
      </c>
      <c r="H147" s="530">
        <f>'[3]Mechanical data, limits'!H147</f>
        <v>0</v>
      </c>
      <c r="I147" s="530">
        <f>'[3]Mechanical data, limits'!I147</f>
        <v>0</v>
      </c>
      <c r="J147" s="530">
        <f>'[3]Mechanical data, limits'!J147</f>
        <v>0</v>
      </c>
      <c r="K147" s="530">
        <f>'[3]Mechanical data, limits'!K147</f>
        <v>0</v>
      </c>
      <c r="L147" s="530">
        <f>'[3]Mechanical data, limits'!L147</f>
        <v>0</v>
      </c>
      <c r="M147" s="530">
        <f>'[3]Mechanical data, limits'!M147</f>
        <v>0</v>
      </c>
      <c r="N147" s="530">
        <f>'[3]Mechanical data, limits'!N147</f>
        <v>0</v>
      </c>
      <c r="O147" s="530">
        <f>'[3]Mechanical data, limits'!O147</f>
        <v>0</v>
      </c>
      <c r="P147" s="530">
        <f>'[3]Mechanical data, limits'!P147</f>
        <v>0</v>
      </c>
      <c r="Q147" s="530">
        <f>'[3]Mechanical data, limits'!Q147</f>
        <v>0</v>
      </c>
      <c r="R147" s="530">
        <f>'[3]Mechanical data, limits'!R147</f>
        <v>0</v>
      </c>
      <c r="S147" s="530">
        <f>'[3]Mechanical data, limits'!S147</f>
        <v>0</v>
      </c>
      <c r="T147" s="530">
        <f>'[3]Mechanical data, limits'!T147</f>
        <v>0</v>
      </c>
      <c r="U147" s="530">
        <f>'[3]Mechanical data, limits'!U147</f>
        <v>0</v>
      </c>
      <c r="V147" s="530">
        <f>'[3]Mechanical data, limits'!V147</f>
        <v>2.7749999999999999</v>
      </c>
      <c r="W147" s="530">
        <f>'[3]Mechanical data, limits'!W147</f>
        <v>2.7749999999999999</v>
      </c>
      <c r="X147" s="530">
        <f>'[3]Mechanical data, limits'!X147</f>
        <v>0</v>
      </c>
      <c r="Y147" s="530">
        <f>'[3]Mechanical data, limits'!Y147</f>
        <v>0</v>
      </c>
    </row>
    <row r="148" spans="1:25">
      <c r="A148" s="530">
        <f>'[3]Mechanical data, limits'!A148</f>
        <v>3600</v>
      </c>
      <c r="B148" s="530">
        <f>'[3]Mechanical data, limits'!B148</f>
        <v>0</v>
      </c>
      <c r="C148" s="530">
        <f>'[3]Mechanical data, limits'!C148</f>
        <v>0.2</v>
      </c>
      <c r="D148" s="530" t="str">
        <f>'[3]Mechanical data, limits'!D148</f>
        <v>m</v>
      </c>
      <c r="E148" s="530">
        <f>'[3]Mechanical data, limits'!E148</f>
        <v>0</v>
      </c>
      <c r="F148" s="530">
        <f>'[3]Mechanical data, limits'!F148</f>
        <v>0</v>
      </c>
      <c r="G148" s="530">
        <f>'[3]Mechanical data, limits'!G148</f>
        <v>0</v>
      </c>
      <c r="H148" s="530">
        <f>'[3]Mechanical data, limits'!H148</f>
        <v>0</v>
      </c>
      <c r="I148" s="530">
        <f>'[3]Mechanical data, limits'!I148</f>
        <v>0</v>
      </c>
      <c r="J148" s="530">
        <f>'[3]Mechanical data, limits'!J148</f>
        <v>0</v>
      </c>
      <c r="K148" s="530">
        <f>'[3]Mechanical data, limits'!K148</f>
        <v>0</v>
      </c>
      <c r="L148" s="530">
        <f>'[3]Mechanical data, limits'!L148</f>
        <v>0</v>
      </c>
      <c r="M148" s="530">
        <f>'[3]Mechanical data, limits'!M148</f>
        <v>0</v>
      </c>
      <c r="N148" s="530">
        <f>'[3]Mechanical data, limits'!N148</f>
        <v>0</v>
      </c>
      <c r="O148" s="530">
        <f>'[3]Mechanical data, limits'!O148</f>
        <v>0</v>
      </c>
      <c r="P148" s="530">
        <f>'[3]Mechanical data, limits'!P148</f>
        <v>0</v>
      </c>
      <c r="Q148" s="530">
        <f>'[3]Mechanical data, limits'!Q148</f>
        <v>0</v>
      </c>
      <c r="R148" s="530">
        <f>'[3]Mechanical data, limits'!R148</f>
        <v>0</v>
      </c>
      <c r="S148" s="530">
        <f>'[3]Mechanical data, limits'!S148</f>
        <v>0</v>
      </c>
      <c r="T148" s="530">
        <f>'[3]Mechanical data, limits'!T148</f>
        <v>0</v>
      </c>
      <c r="U148" s="530">
        <f>'[3]Mechanical data, limits'!U148</f>
        <v>0</v>
      </c>
      <c r="V148" s="530">
        <f>'[3]Mechanical data, limits'!V148</f>
        <v>2.8250000000000002</v>
      </c>
      <c r="W148" s="530">
        <f>'[3]Mechanical data, limits'!W148</f>
        <v>2.8250000000000002</v>
      </c>
      <c r="X148" s="530">
        <f>'[3]Mechanical data, limits'!X148</f>
        <v>0</v>
      </c>
      <c r="Y148" s="530">
        <f>'[3]Mechanical data, limits'!Y148</f>
        <v>0</v>
      </c>
    </row>
    <row r="149" spans="1:25">
      <c r="A149" s="530">
        <f>'[3]Mechanical data, limits'!A149</f>
        <v>4800</v>
      </c>
      <c r="B149" s="530">
        <f>'[3]Mechanical data, limits'!B149</f>
        <v>0</v>
      </c>
      <c r="C149" s="530">
        <f>'[3]Mechanical data, limits'!C149</f>
        <v>0.15</v>
      </c>
      <c r="D149" s="530" t="str">
        <f>'[3]Mechanical data, limits'!D149</f>
        <v>m</v>
      </c>
      <c r="E149" s="530">
        <f>'[3]Mechanical data, limits'!E149</f>
        <v>0</v>
      </c>
      <c r="F149" s="530">
        <f>'[3]Mechanical data, limits'!F149</f>
        <v>0</v>
      </c>
      <c r="G149" s="530">
        <f>'[3]Mechanical data, limits'!G149</f>
        <v>0</v>
      </c>
      <c r="H149" s="530">
        <f>'[3]Mechanical data, limits'!H149</f>
        <v>0</v>
      </c>
      <c r="I149" s="530">
        <f>'[3]Mechanical data, limits'!I149</f>
        <v>0</v>
      </c>
      <c r="J149" s="530">
        <f>'[3]Mechanical data, limits'!J149</f>
        <v>0</v>
      </c>
      <c r="K149" s="530">
        <f>'[3]Mechanical data, limits'!K149</f>
        <v>0</v>
      </c>
      <c r="L149" s="530">
        <f>'[3]Mechanical data, limits'!L149</f>
        <v>0</v>
      </c>
      <c r="M149" s="530">
        <f>'[3]Mechanical data, limits'!M149</f>
        <v>0</v>
      </c>
      <c r="N149" s="530">
        <f>'[3]Mechanical data, limits'!N149</f>
        <v>0</v>
      </c>
      <c r="O149" s="530">
        <f>'[3]Mechanical data, limits'!O149</f>
        <v>0</v>
      </c>
      <c r="P149" s="530">
        <f>'[3]Mechanical data, limits'!P149</f>
        <v>0</v>
      </c>
      <c r="Q149" s="530">
        <f>'[3]Mechanical data, limits'!Q149</f>
        <v>0</v>
      </c>
      <c r="R149" s="530">
        <f>'[3]Mechanical data, limits'!R149</f>
        <v>0</v>
      </c>
      <c r="S149" s="530">
        <f>'[3]Mechanical data, limits'!S149</f>
        <v>0</v>
      </c>
      <c r="T149" s="530">
        <f>'[3]Mechanical data, limits'!T149</f>
        <v>0</v>
      </c>
      <c r="U149" s="530">
        <f>'[3]Mechanical data, limits'!U149</f>
        <v>0</v>
      </c>
      <c r="V149" s="530">
        <f>'[3]Mechanical data, limits'!V149</f>
        <v>2.875</v>
      </c>
      <c r="W149" s="530">
        <f>'[3]Mechanical data, limits'!W149</f>
        <v>2.875</v>
      </c>
      <c r="X149" s="530">
        <f>'[3]Mechanical data, limits'!X149</f>
        <v>0</v>
      </c>
      <c r="Y149" s="530">
        <f>'[3]Mechanical data, limits'!Y149</f>
        <v>0</v>
      </c>
    </row>
    <row r="150" spans="1:25">
      <c r="A150" s="530">
        <f>'[3]Mechanical data, limits'!A150</f>
        <v>6000</v>
      </c>
      <c r="B150" s="530">
        <f>'[3]Mechanical data, limits'!B150</f>
        <v>0</v>
      </c>
      <c r="C150" s="530">
        <f>'[3]Mechanical data, limits'!C150</f>
        <v>0.15</v>
      </c>
      <c r="D150" s="530" t="str">
        <f>'[3]Mechanical data, limits'!D150</f>
        <v>m</v>
      </c>
      <c r="E150" s="530">
        <f>'[3]Mechanical data, limits'!E150</f>
        <v>0</v>
      </c>
      <c r="F150" s="530">
        <f>'[3]Mechanical data, limits'!F150</f>
        <v>0</v>
      </c>
      <c r="G150" s="530">
        <f>'[3]Mechanical data, limits'!G150</f>
        <v>0</v>
      </c>
      <c r="H150" s="530">
        <f>'[3]Mechanical data, limits'!H150</f>
        <v>0</v>
      </c>
      <c r="I150" s="530">
        <f>'[3]Mechanical data, limits'!I150</f>
        <v>0</v>
      </c>
      <c r="J150" s="530">
        <f>'[3]Mechanical data, limits'!J150</f>
        <v>0</v>
      </c>
      <c r="K150" s="530">
        <f>'[3]Mechanical data, limits'!K150</f>
        <v>0</v>
      </c>
      <c r="L150" s="530">
        <f>'[3]Mechanical data, limits'!L150</f>
        <v>0</v>
      </c>
      <c r="M150" s="530">
        <f>'[3]Mechanical data, limits'!M150</f>
        <v>0</v>
      </c>
      <c r="N150" s="530">
        <f>'[3]Mechanical data, limits'!N150</f>
        <v>0</v>
      </c>
      <c r="O150" s="530">
        <f>'[3]Mechanical data, limits'!O150</f>
        <v>0</v>
      </c>
      <c r="P150" s="530">
        <f>'[3]Mechanical data, limits'!P150</f>
        <v>0</v>
      </c>
      <c r="Q150" s="530">
        <f>'[3]Mechanical data, limits'!Q150</f>
        <v>0</v>
      </c>
      <c r="R150" s="530">
        <f>'[3]Mechanical data, limits'!R150</f>
        <v>0</v>
      </c>
      <c r="S150" s="530">
        <f>'[3]Mechanical data, limits'!S150</f>
        <v>0</v>
      </c>
      <c r="T150" s="530">
        <f>'[3]Mechanical data, limits'!T150</f>
        <v>0</v>
      </c>
      <c r="U150" s="530">
        <f>'[3]Mechanical data, limits'!U150</f>
        <v>0</v>
      </c>
      <c r="V150" s="530">
        <f>'[3]Mechanical data, limits'!V150</f>
        <v>2.9249999999999998</v>
      </c>
      <c r="W150" s="530">
        <f>'[3]Mechanical data, limits'!W150</f>
        <v>2.9249999999999998</v>
      </c>
      <c r="X150" s="530">
        <f>'[3]Mechanical data, limits'!X150</f>
        <v>0</v>
      </c>
      <c r="Y150" s="530">
        <f>'[3]Mechanical data, limits'!Y150</f>
        <v>0</v>
      </c>
    </row>
  </sheetData>
  <mergeCells count="4">
    <mergeCell ref="I39:Q39"/>
    <mergeCell ref="C60:D60"/>
    <mergeCell ref="H60:L60"/>
    <mergeCell ref="C39:E39"/>
  </mergeCells>
  <phoneticPr fontId="77" type="noConversion"/>
  <pageMargins left="0.51181102362204722" right="0.35433070866141736" top="0.98425196850393704" bottom="0.98425196850393704" header="0.51181102362204722" footer="0.51181102362204722"/>
  <pageSetup paperSize="9" scale="21" orientation="landscape" r:id="rId1"/>
  <headerFooter alignWithMargins="0">
    <oddHeader>&amp;L&amp;F / &amp;A&amp;R&amp;D</oddHeader>
    <oddFooter>&amp;LCONFIDENTIAL&amp;CBARKER JET&amp;RPage &amp;P / &amp;N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K8"/>
  <sheetViews>
    <sheetView workbookViewId="0">
      <selection activeCell="A2" sqref="A2:M8"/>
    </sheetView>
  </sheetViews>
  <sheetFormatPr defaultRowHeight="12.75"/>
  <cols>
    <col min="1" max="1" width="12.140625" customWidth="1"/>
    <col min="2" max="2" width="11.85546875" customWidth="1"/>
  </cols>
  <sheetData>
    <row r="1" spans="1:11">
      <c r="A1" s="72" t="s">
        <v>139</v>
      </c>
      <c r="B1" s="72" t="s">
        <v>72</v>
      </c>
      <c r="E1" s="72" t="s">
        <v>255</v>
      </c>
      <c r="F1" s="75"/>
      <c r="G1" s="72" t="s">
        <v>140</v>
      </c>
      <c r="I1" s="72" t="s">
        <v>141</v>
      </c>
      <c r="K1" s="72" t="s">
        <v>142</v>
      </c>
    </row>
    <row r="2" spans="1:11">
      <c r="A2" t="s">
        <v>71</v>
      </c>
      <c r="B2">
        <v>250</v>
      </c>
      <c r="E2" t="s">
        <v>71</v>
      </c>
      <c r="G2" t="s">
        <v>71</v>
      </c>
      <c r="I2" t="s">
        <v>71</v>
      </c>
      <c r="K2" t="s">
        <v>71</v>
      </c>
    </row>
    <row r="3" spans="1:11">
      <c r="A3" t="s">
        <v>1584</v>
      </c>
      <c r="B3">
        <v>210</v>
      </c>
      <c r="E3" t="s">
        <v>1584</v>
      </c>
      <c r="G3" t="s">
        <v>1584</v>
      </c>
      <c r="I3" t="s">
        <v>1584</v>
      </c>
      <c r="K3" t="s">
        <v>1584</v>
      </c>
    </row>
    <row r="4" spans="1:11">
      <c r="A4" t="s">
        <v>1588</v>
      </c>
      <c r="B4">
        <v>240</v>
      </c>
      <c r="E4" t="s">
        <v>1588</v>
      </c>
      <c r="G4" t="s">
        <v>1588</v>
      </c>
    </row>
    <row r="5" spans="1:11">
      <c r="A5" t="s">
        <v>1589</v>
      </c>
      <c r="B5">
        <v>250</v>
      </c>
      <c r="G5" t="s">
        <v>1589</v>
      </c>
    </row>
    <row r="6" spans="1:11">
      <c r="A6" t="s">
        <v>1587</v>
      </c>
      <c r="B6">
        <v>450</v>
      </c>
      <c r="G6" t="s">
        <v>1587</v>
      </c>
    </row>
    <row r="7" spans="1:11">
      <c r="A7" t="s">
        <v>68</v>
      </c>
      <c r="B7">
        <v>350</v>
      </c>
      <c r="G7" t="s">
        <v>68</v>
      </c>
    </row>
    <row r="8" spans="1:11">
      <c r="A8" t="s">
        <v>67</v>
      </c>
      <c r="B8">
        <v>650</v>
      </c>
      <c r="G8" t="s">
        <v>67</v>
      </c>
    </row>
  </sheetData>
  <phoneticPr fontId="77" type="noConversion"/>
  <pageMargins left="0.51181102362204722" right="0.35433070866141736" top="0.98425196850393704" bottom="0.98425196850393704" header="0.51181102362204722" footer="0.51181102362204722"/>
  <pageSetup paperSize="9" orientation="landscape" r:id="rId1"/>
  <headerFooter alignWithMargins="0">
    <oddHeader>&amp;L&amp;F / &amp;A&amp;R&amp;D</oddHeader>
    <oddFooter>&amp;LCONFIDENTIAL&amp;CBARKER JET&amp;RPage &amp;P /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3">
    <pageSetUpPr fitToPage="1"/>
  </sheetPr>
  <dimension ref="A1"/>
  <sheetViews>
    <sheetView workbookViewId="0">
      <selection activeCell="F29" sqref="F29"/>
    </sheetView>
  </sheetViews>
  <sheetFormatPr defaultRowHeight="12.75"/>
  <cols>
    <col min="1" max="1" width="17.140625" customWidth="1"/>
  </cols>
  <sheetData/>
  <phoneticPr fontId="77" type="noConversion"/>
  <pageMargins left="0.51181102362204722" right="0.35433070866141736" top="0.98425196850393704" bottom="0.98425196850393704" header="0.51181102362204722" footer="0.51181102362204722"/>
  <pageSetup paperSize="9" scale="65" orientation="landscape" r:id="rId1"/>
  <headerFooter alignWithMargins="0">
    <oddHeader>&amp;L&amp;G&amp;R&amp;D</oddHeader>
    <oddFooter>&amp;LCONFIDENTIAL&amp;C&amp;F / &amp;A&amp;RPage &amp;P / &amp;N</oddFooter>
  </headerFooter>
  <legacyDrawingHF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2.75"/>
  <sheetData>
    <row r="1" spans="1:1">
      <c r="A1" t="s">
        <v>70</v>
      </c>
    </row>
  </sheetData>
  <phoneticPr fontId="77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52"/>
  <sheetViews>
    <sheetView topLeftCell="A216" workbookViewId="0">
      <selection activeCell="A219" sqref="A219:XFD219"/>
    </sheetView>
  </sheetViews>
  <sheetFormatPr defaultColWidth="9.140625" defaultRowHeight="13.5"/>
  <cols>
    <col min="1" max="1" width="26.140625" style="1237" customWidth="1"/>
    <col min="2" max="2" width="26.5703125" style="1237" customWidth="1"/>
    <col min="3" max="3" width="25" style="1237" customWidth="1"/>
    <col min="4" max="16384" width="9.140625" style="1237"/>
  </cols>
  <sheetData>
    <row r="1" spans="1:3">
      <c r="A1" s="1237" t="s">
        <v>1667</v>
      </c>
      <c r="B1" s="1237" t="s">
        <v>1668</v>
      </c>
      <c r="C1" s="1238" t="s">
        <v>1669</v>
      </c>
    </row>
    <row r="2" spans="1:3">
      <c r="A2" s="1237" t="s">
        <v>795</v>
      </c>
      <c r="B2" s="1237" t="s">
        <v>571</v>
      </c>
      <c r="C2" s="1237" t="str">
        <f>VLOOKUP(B2,'[4]old FS 命名转化 (F)'!$A$3:$B$190,2,FALSE)</f>
        <v>AP 56-175</v>
      </c>
    </row>
    <row r="3" spans="1:3">
      <c r="A3" s="1237" t="s">
        <v>796</v>
      </c>
      <c r="B3" s="1237" t="s">
        <v>572</v>
      </c>
      <c r="C3" s="1237" t="str">
        <f>VLOOKUP(B3,'[4]old FS 命名转化 (F)'!$A$3:$B$190,2,FALSE)</f>
        <v>AP 69-175</v>
      </c>
    </row>
    <row r="4" spans="1:3">
      <c r="A4" s="1237" t="s">
        <v>797</v>
      </c>
      <c r="B4" s="1237" t="s">
        <v>573</v>
      </c>
      <c r="C4" s="1237" t="str">
        <f>VLOOKUP(B4,'[4]old FS 命名转化 (F)'!$A$3:$B$190,2,FALSE)</f>
        <v>AP 69-225</v>
      </c>
    </row>
    <row r="5" spans="1:3">
      <c r="A5" s="1237" t="s">
        <v>798</v>
      </c>
      <c r="B5" s="1237" t="s">
        <v>574</v>
      </c>
      <c r="C5" s="1237" t="str">
        <f>VLOOKUP(B5,'[4]old FS 命名转化 (F)'!$A$3:$B$190,2,FALSE)</f>
        <v>AP 69-280</v>
      </c>
    </row>
    <row r="6" spans="1:3">
      <c r="A6" s="1237" t="s">
        <v>799</v>
      </c>
      <c r="B6" s="1237" t="s">
        <v>575</v>
      </c>
      <c r="C6" s="1237" t="str">
        <f>VLOOKUP(B6,'[4]old FS 命名转化 (F)'!$A$3:$B$190,2,FALSE)</f>
        <v>AP 69-280</v>
      </c>
    </row>
    <row r="7" spans="1:3">
      <c r="A7" s="1237" t="s">
        <v>800</v>
      </c>
      <c r="B7" s="1237" t="s">
        <v>576</v>
      </c>
      <c r="C7" s="1237" t="str">
        <f>VLOOKUP(B7,'[4]old FS 命名转化 (F)'!$A$3:$B$190,2,FALSE)</f>
        <v>AP 80-175</v>
      </c>
    </row>
    <row r="8" spans="1:3">
      <c r="A8" s="1237" t="s">
        <v>801</v>
      </c>
      <c r="B8" s="1237" t="s">
        <v>577</v>
      </c>
      <c r="C8" s="1237" t="str">
        <f>VLOOKUP(B8,'[4]old FS 命名转化 (F)'!$A$3:$B$190,2,FALSE)</f>
        <v>AP 80-200</v>
      </c>
    </row>
    <row r="9" spans="1:3">
      <c r="A9" s="1237" t="s">
        <v>802</v>
      </c>
      <c r="B9" s="1237" t="s">
        <v>578</v>
      </c>
      <c r="C9" s="1237" t="str">
        <f>VLOOKUP(B9,'[4]old FS 命名转化 (F)'!$A$3:$B$190,2,FALSE)</f>
        <v>AP 80-225</v>
      </c>
    </row>
    <row r="10" spans="1:3">
      <c r="A10" s="1237" t="s">
        <v>803</v>
      </c>
      <c r="B10" s="1237" t="s">
        <v>579</v>
      </c>
      <c r="C10" s="1237" t="str">
        <f>VLOOKUP(B10,'[4]old FS 命名转化 (F)'!$A$3:$B$190,2,FALSE)</f>
        <v>AP 80-250</v>
      </c>
    </row>
    <row r="11" spans="1:3">
      <c r="A11" s="1237" t="s">
        <v>804</v>
      </c>
      <c r="B11" s="1237" t="s">
        <v>580</v>
      </c>
      <c r="C11" s="1237" t="str">
        <f>VLOOKUP(B11,'[4]old FS 命名转化 (F)'!$A$3:$B$190,2,FALSE)</f>
        <v>AP 80-315</v>
      </c>
    </row>
    <row r="12" spans="1:3">
      <c r="A12" s="1237" t="s">
        <v>805</v>
      </c>
      <c r="B12" s="1237" t="s">
        <v>581</v>
      </c>
      <c r="C12" s="1237" t="str">
        <f>VLOOKUP(B12,'[4]old FS 命名转化 (F)'!$A$3:$B$190,2,FALSE)</f>
        <v>AP 90-250</v>
      </c>
    </row>
    <row r="13" spans="1:3">
      <c r="A13" s="1237" t="s">
        <v>806</v>
      </c>
      <c r="B13" s="1237" t="s">
        <v>582</v>
      </c>
      <c r="C13" s="1237" t="str">
        <f>VLOOKUP(B13,'[4]old FS 命名转化 (F)'!$A$3:$B$190,2,FALSE)</f>
        <v>AP 90-280</v>
      </c>
    </row>
    <row r="14" spans="1:3">
      <c r="A14" s="1237" t="s">
        <v>807</v>
      </c>
      <c r="B14" s="1237" t="s">
        <v>583</v>
      </c>
      <c r="C14" s="1237" t="str">
        <f>VLOOKUP(B14,'[4]old FS 命名转化 (F)'!$A$3:$B$190,2,FALSE)</f>
        <v>AP 90-315</v>
      </c>
    </row>
    <row r="15" spans="1:3">
      <c r="A15" s="1237" t="s">
        <v>808</v>
      </c>
      <c r="B15" s="1237" t="s">
        <v>584</v>
      </c>
      <c r="C15" s="1237" t="str">
        <f>VLOOKUP(B15,'[4]old FS 命名转化 (F)'!$A$3:$B$190,2,FALSE)</f>
        <v>AP 90-355</v>
      </c>
    </row>
    <row r="16" spans="1:3">
      <c r="A16" s="1237" t="s">
        <v>809</v>
      </c>
      <c r="B16" s="1237" t="s">
        <v>585</v>
      </c>
      <c r="C16" s="1237" t="str">
        <f>VLOOKUP(B16,'[4]old FS 命名转化 (F)'!$A$3:$B$190,2,FALSE)</f>
        <v>AP 100-200A</v>
      </c>
    </row>
    <row r="17" spans="1:3">
      <c r="A17" s="1237" t="s">
        <v>810</v>
      </c>
      <c r="B17" s="1237" t="s">
        <v>586</v>
      </c>
      <c r="C17" s="1237" t="str">
        <f>VLOOKUP(B17,'[4]old FS 命名转化 (F)'!$A$3:$B$190,2,FALSE)</f>
        <v>AP 100-200B</v>
      </c>
    </row>
    <row r="18" spans="1:3">
      <c r="A18" s="1237" t="s">
        <v>811</v>
      </c>
      <c r="B18" s="1237" t="s">
        <v>587</v>
      </c>
      <c r="C18" s="1237" t="str">
        <f>VLOOKUP(B18,'[4]old FS 命名转化 (F)'!$A$3:$B$190,2,FALSE)</f>
        <v>AP 100-225</v>
      </c>
    </row>
    <row r="19" spans="1:3">
      <c r="A19" s="1237" t="s">
        <v>812</v>
      </c>
      <c r="B19" s="1237" t="s">
        <v>587</v>
      </c>
      <c r="C19" s="1237" t="str">
        <f>VLOOKUP(B19,'[4]old FS 命名转化 (F)'!$A$3:$B$190,2,FALSE)</f>
        <v>AP 100-225</v>
      </c>
    </row>
    <row r="20" spans="1:3">
      <c r="A20" s="1237" t="s">
        <v>813</v>
      </c>
      <c r="B20" s="1237" t="s">
        <v>588</v>
      </c>
      <c r="C20" s="1237" t="str">
        <f>VLOOKUP(B20,'[4]old FS 命名转化 (F)'!$A$3:$B$190,2,FALSE)</f>
        <v>AP 100-250</v>
      </c>
    </row>
    <row r="21" spans="1:3">
      <c r="A21" s="1237" t="s">
        <v>814</v>
      </c>
      <c r="B21" s="1237" t="s">
        <v>589</v>
      </c>
      <c r="C21" s="1237" t="str">
        <f>VLOOKUP(B21,'[4]old FS 命名转化 (F)'!$A$3:$B$190,2,FALSE)</f>
        <v>AP 100-280</v>
      </c>
    </row>
    <row r="22" spans="1:3">
      <c r="A22" s="1237" t="s">
        <v>815</v>
      </c>
      <c r="B22" s="1237" t="s">
        <v>590</v>
      </c>
      <c r="C22" s="1237" t="str">
        <f>VLOOKUP(B22,'[4]old FS 命名转化 (F)'!$A$3:$B$190,2,FALSE)</f>
        <v>AP 100-315</v>
      </c>
    </row>
    <row r="23" spans="1:3">
      <c r="A23" s="1237" t="s">
        <v>816</v>
      </c>
      <c r="B23" s="1237" t="s">
        <v>591</v>
      </c>
      <c r="C23" s="1237" t="str">
        <f>VLOOKUP(B23,'[4]old FS 命名转化 (F)'!$A$3:$B$190,2,FALSE)</f>
        <v>AP 100-355</v>
      </c>
    </row>
    <row r="24" spans="1:3">
      <c r="A24" s="1237" t="s">
        <v>817</v>
      </c>
      <c r="B24" s="1237" t="s">
        <v>592</v>
      </c>
      <c r="C24" s="1237" t="str">
        <f>VLOOKUP(B24,'[4]old FS 命名转化 (F)'!$A$3:$B$190,2,FALSE)</f>
        <v>AP 100-400</v>
      </c>
    </row>
    <row r="25" spans="1:3">
      <c r="A25" s="1237" t="s">
        <v>818</v>
      </c>
      <c r="B25" s="1237" t="s">
        <v>593</v>
      </c>
      <c r="C25" s="1237" t="str">
        <f>VLOOKUP(B25,'[4]old FS 命名转化 (F)'!$A$3:$B$190,2,FALSE)</f>
        <v>AP 112-200</v>
      </c>
    </row>
    <row r="26" spans="1:3">
      <c r="A26" s="1237" t="s">
        <v>819</v>
      </c>
      <c r="B26" s="1237" t="s">
        <v>594</v>
      </c>
      <c r="C26" s="1237" t="str">
        <f>VLOOKUP(B26,'[4]old FS 命名转化 (F)'!$A$3:$B$190,2,FALSE)</f>
        <v>AP 112-250</v>
      </c>
    </row>
    <row r="27" spans="1:3">
      <c r="A27" s="1237" t="s">
        <v>820</v>
      </c>
      <c r="B27" s="1237" t="s">
        <v>595</v>
      </c>
      <c r="C27" s="1237" t="str">
        <f>VLOOKUP(B27,'[4]old FS 命名转化 (F)'!$A$3:$B$190,2,FALSE)</f>
        <v>AP 112-280</v>
      </c>
    </row>
    <row r="28" spans="1:3">
      <c r="A28" s="1237" t="s">
        <v>821</v>
      </c>
      <c r="B28" s="1237" t="s">
        <v>596</v>
      </c>
      <c r="C28" s="1237" t="str">
        <f>VLOOKUP(B28,'[4]old FS 命名转化 (F)'!$A$3:$B$190,2,FALSE)</f>
        <v>AP 112-315</v>
      </c>
    </row>
    <row r="29" spans="1:3">
      <c r="A29" s="1237" t="s">
        <v>822</v>
      </c>
      <c r="B29" s="1237" t="s">
        <v>597</v>
      </c>
      <c r="C29" s="1237" t="str">
        <f>VLOOKUP(B29,'[4]old FS 命名转化 (F)'!$A$3:$B$190,2,FALSE)</f>
        <v>AP 112-355</v>
      </c>
    </row>
    <row r="30" spans="1:3">
      <c r="A30" s="1237" t="s">
        <v>823</v>
      </c>
      <c r="B30" s="1237" t="s">
        <v>598</v>
      </c>
      <c r="C30" s="1237" t="str">
        <f>VLOOKUP(B30,'[4]old FS 命名转化 (F)'!$A$3:$B$190,2,FALSE)</f>
        <v>AP 112-400</v>
      </c>
    </row>
    <row r="31" spans="1:3">
      <c r="A31" s="1237" t="s">
        <v>824</v>
      </c>
      <c r="B31" s="1237" t="s">
        <v>599</v>
      </c>
      <c r="C31" s="1237" t="str">
        <f>VLOOKUP(B31,'[4]old FS 命名转化 (F)'!$A$3:$B$190,2,FALSE)</f>
        <v>AP 112-450</v>
      </c>
    </row>
    <row r="32" spans="1:3">
      <c r="A32" s="1237" t="s">
        <v>825</v>
      </c>
      <c r="B32" s="1237" t="s">
        <v>600</v>
      </c>
      <c r="C32" s="1237" t="str">
        <f>VLOOKUP(B32,'[4]old FS 命名转化 (F)'!$A$3:$B$190,2,FALSE)</f>
        <v>AP 125-250</v>
      </c>
    </row>
    <row r="33" spans="1:3">
      <c r="A33" s="1237" t="s">
        <v>826</v>
      </c>
      <c r="B33" s="1237" t="s">
        <v>601</v>
      </c>
      <c r="C33" s="1237" t="str">
        <f>VLOOKUP(B33,'[4]old FS 命名转化 (F)'!$A$3:$B$190,2,FALSE)</f>
        <v>AP 125-280</v>
      </c>
    </row>
    <row r="34" spans="1:3">
      <c r="A34" s="1237" t="s">
        <v>827</v>
      </c>
      <c r="B34" s="1237" t="s">
        <v>602</v>
      </c>
      <c r="C34" s="1237" t="str">
        <f>VLOOKUP(B34,'[4]old FS 命名转化 (F)'!$A$3:$B$190,2,FALSE)</f>
        <v>AP 125-315</v>
      </c>
    </row>
    <row r="35" spans="1:3">
      <c r="A35" s="1237" t="s">
        <v>828</v>
      </c>
      <c r="B35" s="1237" t="s">
        <v>603</v>
      </c>
      <c r="C35" s="1237" t="str">
        <f>VLOOKUP(B35,'[4]old FS 命名转化 (F)'!$A$3:$B$190,2,FALSE)</f>
        <v>AP 125-355</v>
      </c>
    </row>
    <row r="36" spans="1:3">
      <c r="A36" s="1237" t="s">
        <v>829</v>
      </c>
      <c r="B36" s="1237" t="s">
        <v>604</v>
      </c>
      <c r="C36" s="1237" t="str">
        <f>VLOOKUP(B36,'[4]old FS 命名转化 (F)'!$A$3:$B$190,2,FALSE)</f>
        <v>AP 125-400</v>
      </c>
    </row>
    <row r="37" spans="1:3">
      <c r="A37" s="1237" t="s">
        <v>830</v>
      </c>
      <c r="B37" s="1237" t="s">
        <v>605</v>
      </c>
      <c r="C37" s="1237" t="str">
        <f>VLOOKUP(B37,'[4]old FS 命名转化 (F)'!$A$3:$B$190,2,FALSE)</f>
        <v>AP 125-450</v>
      </c>
    </row>
    <row r="38" spans="1:3">
      <c r="A38" s="1237" t="s">
        <v>831</v>
      </c>
      <c r="B38" s="1237" t="s">
        <v>606</v>
      </c>
      <c r="C38" s="1237" t="str">
        <f>VLOOKUP(B38,'[4]old FS 命名转化 (F)'!$A$3:$B$190,2,FALSE)</f>
        <v>AP 125-500</v>
      </c>
    </row>
    <row r="39" spans="1:3">
      <c r="A39" s="1237" t="s">
        <v>832</v>
      </c>
      <c r="B39" s="1237" t="s">
        <v>607</v>
      </c>
      <c r="C39" s="1237" t="str">
        <f>VLOOKUP(B39,'[4]old FS 命名转化 (F)'!$A$3:$B$190,2,FALSE)</f>
        <v>AP 140-280</v>
      </c>
    </row>
    <row r="40" spans="1:3">
      <c r="A40" s="1237" t="s">
        <v>833</v>
      </c>
      <c r="B40" s="1237" t="s">
        <v>608</v>
      </c>
      <c r="C40" s="1237" t="str">
        <f>VLOOKUP(B40,'[4]old FS 命名转化 (F)'!$A$3:$B$190,2,FALSE)</f>
        <v>AP 140-355</v>
      </c>
    </row>
    <row r="41" spans="1:3">
      <c r="A41" s="1237" t="s">
        <v>834</v>
      </c>
      <c r="B41" s="1237" t="s">
        <v>609</v>
      </c>
      <c r="C41" s="1237" t="str">
        <f>VLOOKUP(B41,'[4]old FS 命名转化 (F)'!$A$3:$B$190,2,FALSE)</f>
        <v>AP 140-450</v>
      </c>
    </row>
    <row r="42" spans="1:3">
      <c r="A42" s="1237" t="s">
        <v>835</v>
      </c>
      <c r="B42" s="1237" t="s">
        <v>610</v>
      </c>
      <c r="C42" s="1237" t="str">
        <f>VLOOKUP(B42,'[4]old FS 命名转化 (F)'!$A$3:$B$190,2,FALSE)</f>
        <v>AP 140-500</v>
      </c>
    </row>
    <row r="43" spans="1:3">
      <c r="A43" s="1237" t="s">
        <v>836</v>
      </c>
      <c r="B43" s="1237" t="s">
        <v>611</v>
      </c>
      <c r="C43" s="1237" t="str">
        <f>VLOOKUP(B43,'[4]old FS 命名转化 (F)'!$A$3:$B$190,2,FALSE)</f>
        <v>AP 140-560</v>
      </c>
    </row>
    <row r="44" spans="1:3">
      <c r="A44" s="1237" t="s">
        <v>837</v>
      </c>
      <c r="B44" s="1237" t="s">
        <v>612</v>
      </c>
      <c r="C44" s="1237" t="str">
        <f>VLOOKUP(B44,'[4]old FS 命名转化 (F)'!$A$3:$B$190,2,FALSE)</f>
        <v>AP 160-280</v>
      </c>
    </row>
    <row r="45" spans="1:3">
      <c r="A45" s="1237" t="s">
        <v>838</v>
      </c>
      <c r="B45" s="1237" t="s">
        <v>613</v>
      </c>
      <c r="C45" s="1237" t="str">
        <f>VLOOKUP(B45,'[4]old FS 命名转化 (F)'!$A$3:$B$190,2,FALSE)</f>
        <v>AP 160-355</v>
      </c>
    </row>
    <row r="46" spans="1:3">
      <c r="A46" s="1237" t="s">
        <v>839</v>
      </c>
      <c r="B46" s="1237" t="s">
        <v>614</v>
      </c>
      <c r="C46" s="1237" t="str">
        <f>VLOOKUP(B46,'[4]old FS 命名转化 (F)'!$A$3:$B$190,2,FALSE)</f>
        <v>AP 160-450</v>
      </c>
    </row>
    <row r="47" spans="1:3">
      <c r="A47" s="1237" t="s">
        <v>840</v>
      </c>
      <c r="B47" s="1237" t="s">
        <v>615</v>
      </c>
      <c r="C47" s="1237" t="str">
        <f>VLOOKUP(B47,'[4]old FS 命名转化 (F)'!$A$3:$B$190,2,FALSE)</f>
        <v>AP 160-500</v>
      </c>
    </row>
    <row r="48" spans="1:3">
      <c r="A48" s="1237" t="s">
        <v>841</v>
      </c>
      <c r="B48" s="1237" t="s">
        <v>616</v>
      </c>
      <c r="C48" s="1237" t="str">
        <f>VLOOKUP(B48,'[4]old FS 命名转化 (F)'!$A$3:$B$190,2,FALSE)</f>
        <v>AP 160-560</v>
      </c>
    </row>
    <row r="49" spans="1:3">
      <c r="A49" s="1237" t="s">
        <v>842</v>
      </c>
      <c r="B49" s="1237" t="s">
        <v>617</v>
      </c>
      <c r="C49" s="1238" t="s">
        <v>1670</v>
      </c>
    </row>
    <row r="50" spans="1:3">
      <c r="A50" s="1237" t="s">
        <v>843</v>
      </c>
      <c r="B50" s="1237" t="s">
        <v>618</v>
      </c>
      <c r="C50" s="1237" t="str">
        <f>VLOOKUP(B50,'[4]old FS 命名转化 (F)'!$A$3:$B$190,2,FALSE)</f>
        <v>AP 180-355</v>
      </c>
    </row>
    <row r="51" spans="1:3">
      <c r="A51" s="1237" t="s">
        <v>844</v>
      </c>
      <c r="B51" s="1237" t="s">
        <v>619</v>
      </c>
      <c r="C51" s="1237" t="str">
        <f>VLOOKUP(B51,'[4]old FS 命名转化 (F)'!$A$3:$B$190,2,FALSE)</f>
        <v>AP 180-450</v>
      </c>
    </row>
    <row r="52" spans="1:3">
      <c r="A52" s="1237" t="s">
        <v>845</v>
      </c>
      <c r="B52" s="1237" t="s">
        <v>620</v>
      </c>
      <c r="C52" s="1237" t="str">
        <f>VLOOKUP(B52,'[4]old FS 命名转化 (F)'!$A$3:$B$190,2,FALSE)</f>
        <v>AP 180-500</v>
      </c>
    </row>
    <row r="53" spans="1:3">
      <c r="A53" s="1237" t="s">
        <v>846</v>
      </c>
      <c r="B53" s="1237" t="s">
        <v>621</v>
      </c>
      <c r="C53" s="1237" t="str">
        <f>VLOOKUP(B53,'[4]old FS 命名转化 (F)'!$A$3:$B$190,2,FALSE)</f>
        <v>AP 180-560</v>
      </c>
    </row>
    <row r="54" spans="1:3">
      <c r="A54" s="1237" t="s">
        <v>847</v>
      </c>
      <c r="B54" s="1237" t="s">
        <v>622</v>
      </c>
      <c r="C54" s="1237" t="str">
        <f>VLOOKUP(B54,'[4]old FS 命名转化 (F)'!$A$3:$B$190,2,FALSE)</f>
        <v>AP 180-625</v>
      </c>
    </row>
    <row r="55" spans="1:3">
      <c r="A55" s="1237" t="s">
        <v>848</v>
      </c>
      <c r="B55" s="1237" t="s">
        <v>623</v>
      </c>
      <c r="C55" s="1237" t="str">
        <f>VLOOKUP(B55,'[4]old FS 命名转化 (F)'!$A$3:$B$190,2,FALSE)</f>
        <v>AP 180-700</v>
      </c>
    </row>
    <row r="56" spans="1:3">
      <c r="A56" s="1237" t="s">
        <v>849</v>
      </c>
      <c r="B56" s="1237" t="s">
        <v>624</v>
      </c>
      <c r="C56" s="1237" t="str">
        <f>VLOOKUP(B56,'[4]old FS 命名转化 (F)'!$A$3:$B$190,2,FALSE)</f>
        <v>AP 200-355</v>
      </c>
    </row>
    <row r="57" spans="1:3">
      <c r="A57" s="1237" t="s">
        <v>850</v>
      </c>
      <c r="B57" s="1237" t="s">
        <v>625</v>
      </c>
      <c r="C57" s="1237" t="str">
        <f>VLOOKUP(B57,'[4]old FS 命名转化 (F)'!$A$3:$B$190,2,FALSE)</f>
        <v>AP 200-450</v>
      </c>
    </row>
    <row r="58" spans="1:3">
      <c r="A58" s="1237" t="s">
        <v>851</v>
      </c>
      <c r="B58" s="1237" t="s">
        <v>626</v>
      </c>
      <c r="C58" s="1237" t="str">
        <f>VLOOKUP(B58,'[4]old FS 命名转化 (F)'!$A$3:$B$190,2,FALSE)</f>
        <v>AP 200-560</v>
      </c>
    </row>
    <row r="59" spans="1:3">
      <c r="A59" s="1237" t="s">
        <v>852</v>
      </c>
      <c r="B59" s="1237" t="s">
        <v>627</v>
      </c>
      <c r="C59" s="1237" t="str">
        <f>VLOOKUP(B59,'[4]old FS 命名转化 (F)'!$A$3:$B$190,2,FALSE)</f>
        <v>AP 200-700</v>
      </c>
    </row>
    <row r="60" spans="1:3">
      <c r="A60" s="1237" t="s">
        <v>853</v>
      </c>
      <c r="B60" s="1237" t="s">
        <v>628</v>
      </c>
      <c r="C60" s="1237" t="str">
        <f>VLOOKUP(B60,'[4]old FS 命名转化 (F)'!$A$3:$B$190,2,FALSE)</f>
        <v>AP 200-800</v>
      </c>
    </row>
    <row r="61" spans="1:3">
      <c r="A61" s="1237" t="s">
        <v>854</v>
      </c>
      <c r="B61" s="1237" t="s">
        <v>629</v>
      </c>
      <c r="C61" s="1238" t="s">
        <v>1671</v>
      </c>
    </row>
    <row r="62" spans="1:3">
      <c r="A62" s="1237" t="s">
        <v>995</v>
      </c>
      <c r="B62" s="1237" t="s">
        <v>630</v>
      </c>
      <c r="C62" s="1238" t="s">
        <v>1672</v>
      </c>
    </row>
    <row r="63" spans="1:3">
      <c r="A63" s="1237" t="s">
        <v>855</v>
      </c>
      <c r="B63" s="1237" t="s">
        <v>631</v>
      </c>
      <c r="C63" s="1238" t="s">
        <v>1673</v>
      </c>
    </row>
    <row r="64" spans="1:3">
      <c r="A64" s="1237" t="s">
        <v>788</v>
      </c>
      <c r="B64" s="1237" t="s">
        <v>632</v>
      </c>
      <c r="C64" s="1238" t="s">
        <v>1674</v>
      </c>
    </row>
    <row r="65" spans="1:3">
      <c r="A65" s="1237" t="s">
        <v>996</v>
      </c>
      <c r="B65" s="1237" t="s">
        <v>633</v>
      </c>
      <c r="C65" s="1238" t="s">
        <v>1675</v>
      </c>
    </row>
    <row r="66" spans="1:3">
      <c r="A66" s="1237" t="s">
        <v>997</v>
      </c>
      <c r="B66" s="1237" t="s">
        <v>1172</v>
      </c>
      <c r="C66" s="1238" t="s">
        <v>1676</v>
      </c>
    </row>
    <row r="67" spans="1:3">
      <c r="A67" s="1237" t="s">
        <v>856</v>
      </c>
      <c r="B67" s="1237" t="s">
        <v>634</v>
      </c>
      <c r="C67" s="1238" t="s">
        <v>1677</v>
      </c>
    </row>
    <row r="68" spans="1:3">
      <c r="A68" s="1237" t="s">
        <v>998</v>
      </c>
      <c r="B68" s="1237" t="s">
        <v>635</v>
      </c>
      <c r="C68" s="1238" t="s">
        <v>1678</v>
      </c>
    </row>
    <row r="69" spans="1:3">
      <c r="A69" s="1237" t="s">
        <v>857</v>
      </c>
      <c r="B69" s="1237" t="s">
        <v>636</v>
      </c>
      <c r="C69" s="1238" t="s">
        <v>1679</v>
      </c>
    </row>
    <row r="70" spans="1:3">
      <c r="A70" s="1237" t="s">
        <v>858</v>
      </c>
      <c r="B70" s="1237" t="s">
        <v>637</v>
      </c>
      <c r="C70" s="1238" t="s">
        <v>1680</v>
      </c>
    </row>
    <row r="71" spans="1:3">
      <c r="A71" s="1237" t="s">
        <v>859</v>
      </c>
      <c r="B71" s="1237" t="s">
        <v>638</v>
      </c>
      <c r="C71" s="1238" t="s">
        <v>1681</v>
      </c>
    </row>
    <row r="72" spans="1:3">
      <c r="A72" s="1237" t="s">
        <v>999</v>
      </c>
      <c r="B72" s="1237" t="s">
        <v>639</v>
      </c>
      <c r="C72" s="1238" t="s">
        <v>1682</v>
      </c>
    </row>
    <row r="73" spans="1:3">
      <c r="A73" s="1237" t="s">
        <v>1000</v>
      </c>
      <c r="B73" s="1237" t="s">
        <v>640</v>
      </c>
      <c r="C73" s="1238" t="s">
        <v>1683</v>
      </c>
    </row>
    <row r="74" spans="1:3">
      <c r="A74" s="1237" t="s">
        <v>1001</v>
      </c>
      <c r="B74" s="1237" t="s">
        <v>641</v>
      </c>
      <c r="C74" s="1238" t="s">
        <v>1684</v>
      </c>
    </row>
    <row r="75" spans="1:3">
      <c r="A75" s="1237" t="s">
        <v>1002</v>
      </c>
      <c r="B75" s="1237" t="s">
        <v>642</v>
      </c>
      <c r="C75" s="1238" t="s">
        <v>1685</v>
      </c>
    </row>
    <row r="76" spans="1:3">
      <c r="A76" s="1237" t="s">
        <v>1003</v>
      </c>
      <c r="B76" s="1237" t="s">
        <v>643</v>
      </c>
      <c r="C76" s="1238" t="s">
        <v>1686</v>
      </c>
    </row>
    <row r="77" spans="1:3">
      <c r="A77" s="1237" t="s">
        <v>1004</v>
      </c>
      <c r="B77" s="1237" t="s">
        <v>644</v>
      </c>
      <c r="C77" s="1238" t="s">
        <v>1687</v>
      </c>
    </row>
    <row r="78" spans="1:3">
      <c r="A78" s="1237" t="s">
        <v>1005</v>
      </c>
      <c r="B78" s="1237" t="s">
        <v>1173</v>
      </c>
      <c r="C78" s="1238" t="s">
        <v>1688</v>
      </c>
    </row>
    <row r="79" spans="1:3">
      <c r="A79" s="1237" t="s">
        <v>1006</v>
      </c>
      <c r="B79" s="1237" t="s">
        <v>1174</v>
      </c>
      <c r="C79" s="1238" t="s">
        <v>1689</v>
      </c>
    </row>
    <row r="80" spans="1:3">
      <c r="A80" s="1237" t="s">
        <v>1007</v>
      </c>
      <c r="B80" s="1237" t="s">
        <v>1175</v>
      </c>
      <c r="C80" s="1238" t="s">
        <v>1690</v>
      </c>
    </row>
    <row r="81" spans="1:3">
      <c r="A81" s="1237" t="s">
        <v>1184</v>
      </c>
      <c r="B81" s="1237" t="s">
        <v>1191</v>
      </c>
      <c r="C81" s="1238" t="s">
        <v>1691</v>
      </c>
    </row>
    <row r="82" spans="1:3">
      <c r="A82" s="1237" t="s">
        <v>1010</v>
      </c>
      <c r="B82" s="1237" t="s">
        <v>1177</v>
      </c>
      <c r="C82" s="1238" t="s">
        <v>1692</v>
      </c>
    </row>
    <row r="83" spans="1:3">
      <c r="A83" s="1237" t="s">
        <v>1011</v>
      </c>
      <c r="B83" s="1237" t="s">
        <v>1178</v>
      </c>
      <c r="C83" s="1238" t="s">
        <v>1693</v>
      </c>
    </row>
    <row r="84" spans="1:3">
      <c r="A84" s="1237" t="s">
        <v>1162</v>
      </c>
      <c r="B84" s="1237" t="s">
        <v>1179</v>
      </c>
      <c r="C84" s="1238" t="s">
        <v>1694</v>
      </c>
    </row>
    <row r="85" spans="1:3">
      <c r="A85" s="1237" t="s">
        <v>1186</v>
      </c>
      <c r="B85" s="1237" t="s">
        <v>1192</v>
      </c>
      <c r="C85" s="1238" t="s">
        <v>1695</v>
      </c>
    </row>
    <row r="86" spans="1:3">
      <c r="A86" s="1237" t="s">
        <v>860</v>
      </c>
      <c r="B86" s="1237" t="s">
        <v>453</v>
      </c>
      <c r="C86" s="1237" t="str">
        <f>VLOOKUP(B86,'[4]old FS 命名转化 (F)'!$A$3:$B$190,2,FALSE)</f>
        <v>BP 26-0</v>
      </c>
    </row>
    <row r="87" spans="1:3">
      <c r="A87" s="1237" t="s">
        <v>861</v>
      </c>
      <c r="B87" s="1237" t="s">
        <v>454</v>
      </c>
      <c r="C87" s="1237" t="str">
        <f>VLOOKUP(B87,'[4]old FS 命名转化 (F)'!$A$3:$B$190,2,FALSE)</f>
        <v>BP 28-0</v>
      </c>
    </row>
    <row r="88" spans="1:3">
      <c r="A88" s="1237" t="s">
        <v>862</v>
      </c>
      <c r="B88" s="1237" t="s">
        <v>455</v>
      </c>
      <c r="C88" s="1237" t="str">
        <f>VLOOKUP(B88,'[4]old FS 命名转化 (F)'!$A$3:$B$190,2,FALSE)</f>
        <v>BP 28-10</v>
      </c>
    </row>
    <row r="89" spans="1:3">
      <c r="A89" s="1237" t="s">
        <v>863</v>
      </c>
      <c r="B89" s="1237" t="s">
        <v>456</v>
      </c>
      <c r="C89" s="1237" t="str">
        <f>VLOOKUP(B89,'[4]old FS 命名转化 (F)'!$A$3:$B$190,2,FALSE)</f>
        <v>BP 28-12</v>
      </c>
    </row>
    <row r="90" spans="1:3">
      <c r="A90" s="1237" t="s">
        <v>864</v>
      </c>
      <c r="B90" s="1237" t="s">
        <v>457</v>
      </c>
      <c r="C90" s="1237" t="str">
        <f>VLOOKUP(B90,'[4]old FS 命名转化 (F)'!$A$3:$B$190,2,FALSE)</f>
        <v>BP 29-0</v>
      </c>
    </row>
    <row r="91" spans="1:3">
      <c r="A91" s="1237" t="s">
        <v>865</v>
      </c>
      <c r="B91" s="1237" t="s">
        <v>458</v>
      </c>
      <c r="C91" s="1237" t="str">
        <f>VLOOKUP(B91,'[4]old FS 命名转化 (F)'!$A$3:$B$190,2,FALSE)</f>
        <v>BP 80-16</v>
      </c>
    </row>
    <row r="92" spans="1:3">
      <c r="A92" s="1237" t="s">
        <v>866</v>
      </c>
      <c r="B92" s="1237" t="s">
        <v>459</v>
      </c>
      <c r="C92" s="1237" t="str">
        <f>VLOOKUP(B92,'[4]old FS 命名转化 (F)'!$A$3:$B$190,2,FALSE)</f>
        <v>BP 80-20</v>
      </c>
    </row>
    <row r="93" spans="1:3">
      <c r="A93" s="1237" t="s">
        <v>867</v>
      </c>
      <c r="B93" s="1237" t="s">
        <v>460</v>
      </c>
      <c r="C93" s="1237" t="str">
        <f>VLOOKUP(B93,'[4]old FS 命名转化 (F)'!$A$3:$B$190,2,FALSE)</f>
        <v>BP 85-25</v>
      </c>
    </row>
    <row r="94" spans="1:3">
      <c r="A94" s="1237" t="s">
        <v>868</v>
      </c>
      <c r="B94" s="1237" t="s">
        <v>461</v>
      </c>
      <c r="C94" s="1237" t="str">
        <f>VLOOKUP(B94,'[4]old FS 命名转化 (F)'!$A$3:$B$190,2,FALSE)</f>
        <v>BP 100-20</v>
      </c>
    </row>
    <row r="95" spans="1:3">
      <c r="A95" s="1237" t="s">
        <v>869</v>
      </c>
      <c r="B95" s="1237" t="s">
        <v>462</v>
      </c>
      <c r="C95" s="1237" t="str">
        <f>VLOOKUP(B95,'[4]old FS 命名转化 (F)'!$A$3:$B$190,2,FALSE)</f>
        <v>BP 100-25</v>
      </c>
    </row>
    <row r="96" spans="1:3">
      <c r="A96" s="1237" t="s">
        <v>870</v>
      </c>
      <c r="B96" s="1237" t="s">
        <v>463</v>
      </c>
      <c r="C96" s="1237" t="str">
        <f>VLOOKUP(B96,'[4]old FS 命名转化 (F)'!$A$3:$B$190,2,FALSE)</f>
        <v>BP 100-31</v>
      </c>
    </row>
    <row r="97" spans="1:3">
      <c r="A97" s="1237" t="s">
        <v>871</v>
      </c>
      <c r="B97" s="1237" t="s">
        <v>464</v>
      </c>
      <c r="C97" s="1237" t="str">
        <f>VLOOKUP(B97,'[4]old FS 命名转化 (F)'!$A$3:$B$190,2,FALSE)</f>
        <v>BP 120-20</v>
      </c>
    </row>
    <row r="98" spans="1:3">
      <c r="A98" s="1237" t="s">
        <v>872</v>
      </c>
      <c r="B98" s="1237" t="s">
        <v>465</v>
      </c>
      <c r="C98" s="1237" t="str">
        <f>VLOOKUP(B98,'[4]old FS 命名转化 (F)'!$A$3:$B$190,2,FALSE)</f>
        <v>BP 120-25</v>
      </c>
    </row>
    <row r="99" spans="1:3">
      <c r="A99" s="1237" t="s">
        <v>873</v>
      </c>
      <c r="B99" s="1237" t="s">
        <v>466</v>
      </c>
      <c r="C99" s="1237" t="str">
        <f>VLOOKUP(B99,'[4]old FS 命名转化 (F)'!$A$3:$B$190,2,FALSE)</f>
        <v>BP 120-25A</v>
      </c>
    </row>
    <row r="100" spans="1:3">
      <c r="A100" s="1237" t="s">
        <v>874</v>
      </c>
      <c r="B100" s="1237" t="s">
        <v>467</v>
      </c>
      <c r="C100" s="1237" t="str">
        <f>VLOOKUP(B100,'[4]old FS 命名转化 (F)'!$A$3:$B$190,2,FALSE)</f>
        <v>BP 120-25B</v>
      </c>
    </row>
    <row r="101" spans="1:3">
      <c r="A101" s="1237" t="s">
        <v>875</v>
      </c>
      <c r="B101" s="1237" t="s">
        <v>468</v>
      </c>
      <c r="C101" s="1237" t="str">
        <f>VLOOKUP(B101,'[4]old FS 命名转化 (F)'!$A$3:$B$190,2,FALSE)</f>
        <v>BP 120-31</v>
      </c>
    </row>
    <row r="102" spans="1:3">
      <c r="A102" s="1237" t="s">
        <v>876</v>
      </c>
      <c r="B102" s="1237" t="s">
        <v>469</v>
      </c>
      <c r="C102" s="1237" t="str">
        <f>VLOOKUP(B102,'[4]old FS 命名转化 (F)'!$A$3:$B$190,2,FALSE)</f>
        <v>BP 120-31A</v>
      </c>
    </row>
    <row r="103" spans="1:3">
      <c r="A103" s="1237" t="s">
        <v>877</v>
      </c>
      <c r="B103" s="1237" t="s">
        <v>470</v>
      </c>
      <c r="C103" s="1237" t="str">
        <f>VLOOKUP(B103,'[4]old FS 命名转化 (F)'!$A$3:$B$190,2,FALSE)</f>
        <v>BP 120-31B</v>
      </c>
    </row>
    <row r="104" spans="1:3">
      <c r="A104" s="1237" t="s">
        <v>878</v>
      </c>
      <c r="B104" s="1237" t="s">
        <v>471</v>
      </c>
      <c r="C104" s="1237" t="str">
        <f>VLOOKUP(B104,'[4]old FS 命名转化 (F)'!$A$3:$B$190,2,FALSE)</f>
        <v>BP 120-35</v>
      </c>
    </row>
    <row r="105" spans="1:3">
      <c r="A105" s="1237" t="s">
        <v>879</v>
      </c>
      <c r="B105" s="1237" t="s">
        <v>472</v>
      </c>
      <c r="C105" s="1237" t="str">
        <f>VLOOKUP(B105,'[4]old FS 命名转化 (F)'!$A$3:$B$190,2,FALSE)</f>
        <v>BP 120-35A</v>
      </c>
    </row>
    <row r="106" spans="1:3">
      <c r="A106" s="1237" t="s">
        <v>880</v>
      </c>
      <c r="B106" s="1237" t="s">
        <v>473</v>
      </c>
      <c r="C106" s="1237" t="str">
        <f>VLOOKUP(B106,'[4]old FS 命名转化 (F)'!$A$3:$B$190,2,FALSE)</f>
        <v>BP 120-35B</v>
      </c>
    </row>
    <row r="107" spans="1:3">
      <c r="A107" s="1237" t="s">
        <v>881</v>
      </c>
      <c r="B107" s="1237" t="s">
        <v>474</v>
      </c>
      <c r="C107" s="1237" t="str">
        <f>VLOOKUP(B107,'[4]old FS 命名转化 (F)'!$A$3:$B$190,2,FALSE)</f>
        <v>BP 135-20</v>
      </c>
    </row>
    <row r="108" spans="1:3">
      <c r="A108" s="1237" t="s">
        <v>882</v>
      </c>
      <c r="B108" s="1237" t="s">
        <v>475</v>
      </c>
      <c r="C108" s="1237" t="str">
        <f>VLOOKUP(B108,'[4]old FS 命名转化 (F)'!$A$3:$B$190,2,FALSE)</f>
        <v>BP 135-25</v>
      </c>
    </row>
    <row r="109" spans="1:3">
      <c r="A109" s="1237" t="s">
        <v>883</v>
      </c>
      <c r="B109" s="1237" t="s">
        <v>476</v>
      </c>
      <c r="C109" s="1237" t="str">
        <f>VLOOKUP(B109,'[4]old FS 命名转化 (F)'!$A$3:$B$190,2,FALSE)</f>
        <v>BP 135-31</v>
      </c>
    </row>
    <row r="110" spans="1:3">
      <c r="A110" s="1237" t="s">
        <v>884</v>
      </c>
      <c r="B110" s="1237" t="s">
        <v>477</v>
      </c>
      <c r="C110" s="1237" t="str">
        <f>VLOOKUP(B110,'[4]old FS 命名转化 (F)'!$A$3:$B$190,2,FALSE)</f>
        <v>BP 135-35</v>
      </c>
    </row>
    <row r="111" spans="1:3">
      <c r="A111" s="1237" t="s">
        <v>885</v>
      </c>
      <c r="B111" s="1237" t="s">
        <v>478</v>
      </c>
      <c r="C111" s="1237" t="str">
        <f>VLOOKUP(B111,'[4]old FS 命名转化 (F)'!$A$3:$B$190,2,FALSE)</f>
        <v>BP 135-40</v>
      </c>
    </row>
    <row r="112" spans="1:3">
      <c r="A112" s="1237" t="s">
        <v>789</v>
      </c>
      <c r="B112" s="1237" t="s">
        <v>479</v>
      </c>
      <c r="C112" s="1237" t="str">
        <f>VLOOKUP(B112,'[4]old FS 命名转化 (F)'!$A$3:$B$190,2,FALSE)</f>
        <v>BP 145-45</v>
      </c>
    </row>
    <row r="113" spans="1:3">
      <c r="A113" s="1237" t="s">
        <v>886</v>
      </c>
      <c r="B113" s="1237" t="s">
        <v>480</v>
      </c>
      <c r="C113" s="1237" t="str">
        <f>VLOOKUP(B113,'[4]old FS 命名转化 (F)'!$A$3:$B$190,2,FALSE)</f>
        <v>BP 160-20</v>
      </c>
    </row>
    <row r="114" spans="1:3">
      <c r="A114" s="1237" t="s">
        <v>887</v>
      </c>
      <c r="B114" s="1237" t="s">
        <v>481</v>
      </c>
      <c r="C114" s="1237" t="str">
        <f>VLOOKUP(B114,'[4]old FS 命名转化 (F)'!$A$3:$B$190,2,FALSE)</f>
        <v>BP 160-25</v>
      </c>
    </row>
    <row r="115" spans="1:3">
      <c r="A115" s="1237" t="s">
        <v>888</v>
      </c>
      <c r="B115" s="1237" t="s">
        <v>482</v>
      </c>
      <c r="C115" s="1237" t="str">
        <f>VLOOKUP(B115,'[4]old FS 命名转化 (F)'!$A$3:$B$190,2,FALSE)</f>
        <v>BP 160-31</v>
      </c>
    </row>
    <row r="116" spans="1:3">
      <c r="A116" s="1237" t="s">
        <v>790</v>
      </c>
      <c r="B116" s="1237" t="s">
        <v>483</v>
      </c>
      <c r="C116" s="1237" t="str">
        <f>VLOOKUP(B116,'[4]old FS 命名转化 (F)'!$A$3:$B$190,2,FALSE)</f>
        <v>BP 160-35</v>
      </c>
    </row>
    <row r="117" spans="1:3">
      <c r="A117" s="1237" t="s">
        <v>889</v>
      </c>
      <c r="B117" s="1237" t="s">
        <v>484</v>
      </c>
      <c r="C117" s="1237" t="str">
        <f>VLOOKUP(B117,'[4]old FS 命名转化 (F)'!$A$3:$B$190,2,FALSE)</f>
        <v>BP 160-40</v>
      </c>
    </row>
    <row r="118" spans="1:3">
      <c r="A118" s="1237" t="s">
        <v>791</v>
      </c>
      <c r="B118" s="1237" t="s">
        <v>485</v>
      </c>
      <c r="C118" s="1237" t="str">
        <f>VLOOKUP(B118,'[4]old FS 命名转化 (F)'!$A$3:$B$190,2,FALSE)</f>
        <v>BP 160-50</v>
      </c>
    </row>
    <row r="119" spans="1:3">
      <c r="A119" s="1237" t="s">
        <v>792</v>
      </c>
      <c r="B119" s="1237" t="s">
        <v>486</v>
      </c>
      <c r="C119" s="1237" t="str">
        <f>VLOOKUP(B119,'[4]old FS 命名转化 (F)'!$A$3:$B$190,2,FALSE)</f>
        <v>BP 180-55</v>
      </c>
    </row>
    <row r="120" spans="1:3">
      <c r="A120" s="1237" t="s">
        <v>793</v>
      </c>
      <c r="B120" s="1237" t="s">
        <v>487</v>
      </c>
      <c r="C120" s="1237" t="str">
        <f>VLOOKUP(B120,'[4]old FS 命名转化 (F)'!$A$3:$B$190,2,FALSE)</f>
        <v>BP 190-63</v>
      </c>
    </row>
    <row r="121" spans="1:3">
      <c r="A121" s="1237" t="s">
        <v>890</v>
      </c>
      <c r="B121" s="1237" t="s">
        <v>488</v>
      </c>
      <c r="C121" s="1237" t="str">
        <f>VLOOKUP(B121,'[4]old FS 命名转化 (F)'!$A$3:$B$190,2,FALSE)</f>
        <v>BP 220-70</v>
      </c>
    </row>
    <row r="122" spans="1:3">
      <c r="A122" s="1237" t="s">
        <v>891</v>
      </c>
      <c r="B122" s="1237" t="s">
        <v>489</v>
      </c>
      <c r="C122" s="1237" t="str">
        <f>VLOOKUP(B122,'[4]old FS 命名转化 (F)'!$A$3:$B$190,2,FALSE)</f>
        <v>BP 250-80</v>
      </c>
    </row>
    <row r="123" spans="1:3">
      <c r="A123" s="1237" t="s">
        <v>892</v>
      </c>
      <c r="B123" s="1237" t="s">
        <v>490</v>
      </c>
      <c r="C123" s="1237" t="str">
        <f>VLOOKUP(B123,'[4]old FS 命名转化 (F)'!$A$3:$B$190,2,FALSE)</f>
        <v>FP 24</v>
      </c>
    </row>
    <row r="124" spans="1:3">
      <c r="A124" s="1237" t="s">
        <v>893</v>
      </c>
      <c r="B124" s="1237" t="s">
        <v>491</v>
      </c>
      <c r="C124" s="1237" t="str">
        <f>VLOOKUP(B124,'[4]old FS 命名转化 (F)'!$A$3:$B$190,2,FALSE)</f>
        <v>FP 33</v>
      </c>
    </row>
    <row r="125" spans="1:3">
      <c r="A125" s="1237" t="s">
        <v>894</v>
      </c>
      <c r="B125" s="1237" t="s">
        <v>492</v>
      </c>
      <c r="C125" s="1237" t="str">
        <f>VLOOKUP(B125,'[4]old FS 命名转化 (F)'!$A$3:$B$190,2,FALSE)</f>
        <v>DP 400-160</v>
      </c>
    </row>
    <row r="126" spans="1:3">
      <c r="A126" s="1237" t="s">
        <v>895</v>
      </c>
      <c r="B126" s="1237" t="s">
        <v>493</v>
      </c>
      <c r="C126" s="1237" t="str">
        <f>VLOOKUP(B126,'[4]old FS 命名转化 (F)'!$A$3:$B$190,2,FALSE)</f>
        <v>DP 400-200</v>
      </c>
    </row>
    <row r="127" spans="1:3">
      <c r="A127" s="1237" t="s">
        <v>896</v>
      </c>
      <c r="B127" s="1237" t="s">
        <v>494</v>
      </c>
      <c r="C127" s="1237" t="str">
        <f>VLOOKUP(B127,'[4]old FS 命名转化 (F)'!$A$3:$B$190,2,FALSE)</f>
        <v>DP 425-250</v>
      </c>
    </row>
    <row r="128" spans="1:3">
      <c r="A128" s="1237" t="s">
        <v>897</v>
      </c>
      <c r="B128" s="1237" t="s">
        <v>495</v>
      </c>
      <c r="C128" s="1237" t="str">
        <f>VLOOKUP(B128,'[4]old FS 命名转化 (F)'!$A$3:$B$190,2,FALSE)</f>
        <v>DP 500-250</v>
      </c>
    </row>
    <row r="129" spans="1:3">
      <c r="A129" s="1237" t="s">
        <v>898</v>
      </c>
      <c r="B129" s="1237" t="s">
        <v>496</v>
      </c>
      <c r="C129" s="1237" t="str">
        <f>VLOOKUP(B129,'[4]old FS 命名转化 (F)'!$A$3:$B$190,2,FALSE)</f>
        <v>DP 500-310</v>
      </c>
    </row>
    <row r="130" spans="1:3">
      <c r="A130" s="1237" t="s">
        <v>899</v>
      </c>
      <c r="B130" s="1237" t="s">
        <v>497</v>
      </c>
      <c r="C130" s="1237" t="str">
        <f>VLOOKUP(B130,'[4]old FS 命名转化 (F)'!$A$3:$B$190,2,FALSE)</f>
        <v>DP 600-250</v>
      </c>
    </row>
    <row r="131" spans="1:3">
      <c r="A131" s="1237" t="s">
        <v>900</v>
      </c>
      <c r="B131" s="1237" t="s">
        <v>498</v>
      </c>
      <c r="C131" s="1237" t="str">
        <f>VLOOKUP(B131,'[4]old FS 命名转化 (F)'!$A$3:$B$190,2,FALSE)</f>
        <v>DP 600-350</v>
      </c>
    </row>
    <row r="132" spans="1:3">
      <c r="A132" s="1237" t="s">
        <v>901</v>
      </c>
      <c r="B132" s="1237" t="s">
        <v>499</v>
      </c>
      <c r="C132" s="1237" t="str">
        <f>VLOOKUP(B132,'[4]old FS 命名转化 (F)'!$A$3:$B$190,2,FALSE)</f>
        <v>DP 675-350</v>
      </c>
    </row>
    <row r="133" spans="1:3">
      <c r="A133" s="1237" t="s">
        <v>902</v>
      </c>
      <c r="B133" s="1237" t="s">
        <v>500</v>
      </c>
      <c r="C133" s="1237" t="str">
        <f>VLOOKUP(B133,'[4]old FS 命名转化 (F)'!$A$3:$B$190,2,FALSE)</f>
        <v>DP 675-400</v>
      </c>
    </row>
    <row r="134" spans="1:3">
      <c r="A134" s="1237" t="s">
        <v>903</v>
      </c>
      <c r="B134" s="1237" t="s">
        <v>501</v>
      </c>
      <c r="C134" s="1237" t="str">
        <f>VLOOKUP(B134,'[4]old FS 命名转化 (F)'!$A$3:$B$190,2,FALSE)</f>
        <v>DP 725-450</v>
      </c>
    </row>
    <row r="135" spans="1:3">
      <c r="A135" s="1237" t="s">
        <v>904</v>
      </c>
      <c r="B135" s="1237" t="s">
        <v>502</v>
      </c>
      <c r="C135" s="1237" t="str">
        <f>VLOOKUP(B135,'[4]old FS 命名转化 (F)'!$A$3:$B$190,2,FALSE)</f>
        <v>DP 800-400</v>
      </c>
    </row>
    <row r="136" spans="1:3">
      <c r="A136" s="1237" t="s">
        <v>905</v>
      </c>
      <c r="B136" s="1237" t="s">
        <v>503</v>
      </c>
      <c r="C136" s="1237" t="str">
        <f>VLOOKUP(B136,'[4]old FS 命名转化 (F)'!$A$3:$B$190,2,FALSE)</f>
        <v>DP 800-500</v>
      </c>
    </row>
    <row r="137" spans="1:3">
      <c r="A137" s="1237" t="s">
        <v>906</v>
      </c>
      <c r="B137" s="1237" t="s">
        <v>504</v>
      </c>
      <c r="C137" s="1237" t="str">
        <f>VLOOKUP(B137,'[4]old FS 命名转化 (F)'!$A$3:$B$190,2,FALSE)</f>
        <v>DP 900-550</v>
      </c>
    </row>
    <row r="138" spans="1:3">
      <c r="A138" s="1237" t="s">
        <v>907</v>
      </c>
      <c r="B138" s="1237" t="s">
        <v>505</v>
      </c>
      <c r="C138" s="1237" t="str">
        <f>VLOOKUP(B138,'[4]old FS 命名转化 (F)'!$A$3:$B$190,2,FALSE)</f>
        <v>DP 950-625</v>
      </c>
    </row>
    <row r="139" spans="1:3">
      <c r="A139" s="1237" t="s">
        <v>908</v>
      </c>
      <c r="B139" s="1237" t="s">
        <v>506</v>
      </c>
      <c r="C139" s="1237" t="str">
        <f>VLOOKUP(B139,'[4]old FS 命名转化 (F)'!$A$3:$B$190,2,FALSE)</f>
        <v>DP 1100-700</v>
      </c>
    </row>
    <row r="140" spans="1:3">
      <c r="A140" s="1237" t="s">
        <v>909</v>
      </c>
      <c r="B140" s="1237" t="s">
        <v>507</v>
      </c>
      <c r="C140" s="1237" t="str">
        <f>VLOOKUP(B140,'[4]old FS 命名转化 (F)'!$A$3:$B$190,2,FALSE)</f>
        <v>DP 1250-800</v>
      </c>
    </row>
    <row r="141" spans="1:3">
      <c r="A141" s="1237" t="s">
        <v>910</v>
      </c>
      <c r="B141" s="1237" t="s">
        <v>508</v>
      </c>
      <c r="C141" s="1237" t="str">
        <f>VLOOKUP(B141,'[4]old FS 命名转化 (F)'!$A$3:$B$190,2,FALSE)</f>
        <v>CP 5-370</v>
      </c>
    </row>
    <row r="142" spans="1:3">
      <c r="A142" s="1237" t="s">
        <v>911</v>
      </c>
      <c r="B142" s="1237" t="s">
        <v>508</v>
      </c>
      <c r="C142" s="1237" t="str">
        <f>VLOOKUP(B142,'[4]old FS 命名转化 (F)'!$A$3:$B$190,2,FALSE)</f>
        <v>CP 5-370</v>
      </c>
    </row>
    <row r="143" spans="1:3">
      <c r="A143" s="1237" t="s">
        <v>912</v>
      </c>
      <c r="B143" s="1237" t="s">
        <v>509</v>
      </c>
      <c r="C143" s="1237" t="str">
        <f>VLOOKUP(B143,'[4]old FS 命名转化 (F)'!$A$3:$B$190,2,FALSE)</f>
        <v>CP 10-370</v>
      </c>
    </row>
    <row r="144" spans="1:3">
      <c r="A144" s="1237" t="s">
        <v>913</v>
      </c>
      <c r="B144" s="1237" t="s">
        <v>509</v>
      </c>
      <c r="C144" s="1237" t="str">
        <f>VLOOKUP(B144,'[4]old FS 命名转化 (F)'!$A$3:$B$190,2,FALSE)</f>
        <v>CP 10-370</v>
      </c>
    </row>
    <row r="145" spans="1:3">
      <c r="A145" s="1237" t="s">
        <v>914</v>
      </c>
      <c r="B145" s="1237" t="s">
        <v>510</v>
      </c>
      <c r="C145" s="1237" t="str">
        <f>VLOOKUP(B145,'[4]old FS 命名转化 (F)'!$A$3:$B$190,2,FALSE)</f>
        <v>CP 15-370</v>
      </c>
    </row>
    <row r="146" spans="1:3">
      <c r="A146" s="1237" t="s">
        <v>915</v>
      </c>
      <c r="B146" s="1237" t="s">
        <v>510</v>
      </c>
      <c r="C146" s="1237" t="str">
        <f>VLOOKUP(B146,'[4]old FS 命名转化 (F)'!$A$3:$B$190,2,FALSE)</f>
        <v>CP 15-370</v>
      </c>
    </row>
    <row r="147" spans="1:3">
      <c r="A147" s="1237" t="s">
        <v>916</v>
      </c>
      <c r="B147" s="1237" t="s">
        <v>511</v>
      </c>
      <c r="C147" s="1237" t="str">
        <f>VLOOKUP(B147,'[4]old FS 命名转化 (F)'!$A$3:$B$190,2,FALSE)</f>
        <v>CP 20-370</v>
      </c>
    </row>
    <row r="148" spans="1:3">
      <c r="A148" s="1237" t="s">
        <v>917</v>
      </c>
      <c r="B148" s="1237" t="s">
        <v>512</v>
      </c>
      <c r="C148" s="1237" t="str">
        <f>VLOOKUP(B148,'[4]old FS 命名转化 (F)'!$A$3:$B$190,2,FALSE)</f>
        <v>CP 30-370</v>
      </c>
    </row>
    <row r="149" spans="1:3">
      <c r="A149" s="1237" t="s">
        <v>918</v>
      </c>
      <c r="B149" s="1237" t="s">
        <v>513</v>
      </c>
      <c r="C149" s="1237" t="str">
        <f>VLOOKUP(B149,'[4]old FS 命名转化 (F)'!$A$3:$B$190,2,FALSE)</f>
        <v>CP 30-370vA</v>
      </c>
    </row>
    <row r="150" spans="1:3">
      <c r="A150" s="1237" t="s">
        <v>919</v>
      </c>
      <c r="B150" s="1237" t="s">
        <v>514</v>
      </c>
      <c r="C150" s="1237" t="str">
        <f>VLOOKUP(B150,'[4]old FS 命名转化 (F)'!$A$3:$B$190,2,FALSE)</f>
        <v>CP 30-370vB</v>
      </c>
    </row>
    <row r="151" spans="1:3">
      <c r="A151" s="1237" t="s">
        <v>920</v>
      </c>
      <c r="B151" s="1237" t="s">
        <v>515</v>
      </c>
      <c r="C151" s="1237" t="str">
        <f>VLOOKUP(B151,'[4]old FS 命名转化 (F)'!$A$3:$B$190,2,FALSE)</f>
        <v>CP 5-530</v>
      </c>
    </row>
    <row r="152" spans="1:3">
      <c r="A152" s="1237" t="s">
        <v>921</v>
      </c>
      <c r="B152" s="1237" t="s">
        <v>515</v>
      </c>
      <c r="C152" s="1237" t="str">
        <f>VLOOKUP(B152,'[4]old FS 命名转化 (F)'!$A$3:$B$190,2,FALSE)</f>
        <v>CP 5-530</v>
      </c>
    </row>
    <row r="153" spans="1:3">
      <c r="A153" s="1237" t="s">
        <v>922</v>
      </c>
      <c r="B153" s="1237" t="s">
        <v>77</v>
      </c>
      <c r="C153" s="1237" t="str">
        <f>VLOOKUP(B153,'[4]old FS 命名转化 (F)'!$A$3:$B$190,2,FALSE)</f>
        <v>CP 10-530</v>
      </c>
    </row>
    <row r="154" spans="1:3">
      <c r="A154" s="1237" t="s">
        <v>923</v>
      </c>
      <c r="B154" s="1237" t="s">
        <v>77</v>
      </c>
      <c r="C154" s="1237" t="str">
        <f>VLOOKUP(B154,'[4]old FS 命名转化 (F)'!$A$3:$B$190,2,FALSE)</f>
        <v>CP 10-530</v>
      </c>
    </row>
    <row r="155" spans="1:3">
      <c r="A155" s="1237" t="s">
        <v>924</v>
      </c>
      <c r="B155" s="1237" t="s">
        <v>78</v>
      </c>
      <c r="C155" s="1237" t="str">
        <f>VLOOKUP(B155,'[4]old FS 命名转化 (F)'!$A$3:$B$190,2,FALSE)</f>
        <v>CP 15-530</v>
      </c>
    </row>
    <row r="156" spans="1:3">
      <c r="A156" s="1237" t="s">
        <v>925</v>
      </c>
      <c r="B156" s="1237" t="s">
        <v>78</v>
      </c>
      <c r="C156" s="1237" t="str">
        <f>VLOOKUP(B156,'[4]old FS 命名转化 (F)'!$A$3:$B$190,2,FALSE)</f>
        <v>CP 15-530</v>
      </c>
    </row>
    <row r="157" spans="1:3">
      <c r="A157" s="1237" t="s">
        <v>926</v>
      </c>
      <c r="B157" s="1237" t="s">
        <v>79</v>
      </c>
      <c r="C157" s="1237" t="str">
        <f>VLOOKUP(B157,'[4]old FS 命名转化 (F)'!$A$3:$B$190,2,FALSE)</f>
        <v>CP 25-530</v>
      </c>
    </row>
    <row r="158" spans="1:3">
      <c r="A158" s="1237" t="s">
        <v>927</v>
      </c>
      <c r="B158" s="1237" t="s">
        <v>80</v>
      </c>
      <c r="C158" s="1237" t="str">
        <f>VLOOKUP(B158,'[4]old FS 命名转化 (F)'!$A$3:$B$190,2,FALSE)</f>
        <v>CP 35-530</v>
      </c>
    </row>
    <row r="159" spans="1:3">
      <c r="A159" s="1237" t="s">
        <v>928</v>
      </c>
      <c r="B159" s="1237" t="s">
        <v>81</v>
      </c>
      <c r="C159" s="1237" t="str">
        <f>VLOOKUP(B159,'[4]old FS 命名转化 (F)'!$A$3:$B$190,2,FALSE)</f>
        <v>CP 5-630</v>
      </c>
    </row>
    <row r="160" spans="1:3">
      <c r="A160" s="1237" t="s">
        <v>929</v>
      </c>
      <c r="B160" s="1237" t="s">
        <v>81</v>
      </c>
      <c r="C160" s="1237" t="str">
        <f>VLOOKUP(B160,'[4]old FS 命名转化 (F)'!$A$3:$B$190,2,FALSE)</f>
        <v>CP 5-630</v>
      </c>
    </row>
    <row r="161" spans="1:3">
      <c r="A161" s="1237" t="s">
        <v>930</v>
      </c>
      <c r="B161" s="1237" t="s">
        <v>82</v>
      </c>
      <c r="C161" s="1237" t="str">
        <f>VLOOKUP(B161,'[4]old FS 命名转化 (F)'!$A$3:$B$190,2,FALSE)</f>
        <v>CP 10-630</v>
      </c>
    </row>
    <row r="162" spans="1:3">
      <c r="A162" s="1237" t="s">
        <v>931</v>
      </c>
      <c r="B162" s="1237" t="s">
        <v>82</v>
      </c>
      <c r="C162" s="1237" t="str">
        <f>VLOOKUP(B162,'[4]old FS 命名转化 (F)'!$A$3:$B$190,2,FALSE)</f>
        <v>CP 10-630</v>
      </c>
    </row>
    <row r="163" spans="1:3">
      <c r="A163" s="1237" t="s">
        <v>932</v>
      </c>
      <c r="B163" s="1237" t="s">
        <v>83</v>
      </c>
      <c r="C163" s="1237" t="str">
        <f>VLOOKUP(B163,'[4]old FS 命名转化 (F)'!$A$3:$B$190,2,FALSE)</f>
        <v>CP 15-630</v>
      </c>
    </row>
    <row r="164" spans="1:3">
      <c r="A164" s="1237" t="s">
        <v>933</v>
      </c>
      <c r="B164" s="1237" t="s">
        <v>84</v>
      </c>
      <c r="C164" s="1237" t="str">
        <f>VLOOKUP(B164,'[4]old FS 命名转化 (F)'!$A$3:$B$190,2,FALSE)</f>
        <v>CP 25-630</v>
      </c>
    </row>
    <row r="165" spans="1:3">
      <c r="A165" s="1237" t="s">
        <v>934</v>
      </c>
      <c r="B165" s="1237" t="s">
        <v>85</v>
      </c>
      <c r="C165" s="1237" t="str">
        <f>VLOOKUP(B165,'[4]old FS 命名转化 (F)'!$A$3:$B$190,2,FALSE)</f>
        <v>CP 35-630</v>
      </c>
    </row>
    <row r="166" spans="1:3">
      <c r="A166" s="1237" t="s">
        <v>935</v>
      </c>
      <c r="B166" s="1237" t="s">
        <v>86</v>
      </c>
      <c r="C166" s="1237" t="str">
        <f>VLOOKUP(B166,'[4]old FS 命名转化 (F)'!$A$3:$B$190,2,FALSE)</f>
        <v>CP 5-700</v>
      </c>
    </row>
    <row r="167" spans="1:3">
      <c r="A167" s="1237" t="s">
        <v>936</v>
      </c>
      <c r="B167" s="1237" t="s">
        <v>86</v>
      </c>
      <c r="C167" s="1237" t="str">
        <f>VLOOKUP(B167,'[4]old FS 命名转化 (F)'!$A$3:$B$190,2,FALSE)</f>
        <v>CP 5-700</v>
      </c>
    </row>
    <row r="168" spans="1:3">
      <c r="A168" s="1237" t="s">
        <v>937</v>
      </c>
      <c r="B168" s="1237" t="s">
        <v>516</v>
      </c>
      <c r="C168" s="1237" t="str">
        <f>VLOOKUP(B168,'[4]old FS 命名转化 (F)'!$A$3:$B$190,2,FALSE)</f>
        <v>CP 10-700</v>
      </c>
    </row>
    <row r="169" spans="1:3">
      <c r="A169" s="1237" t="s">
        <v>938</v>
      </c>
      <c r="B169" s="1237" t="s">
        <v>516</v>
      </c>
      <c r="C169" s="1237" t="str">
        <f>VLOOKUP(B169,'[4]old FS 命名转化 (F)'!$A$3:$B$190,2,FALSE)</f>
        <v>CP 10-700</v>
      </c>
    </row>
    <row r="170" spans="1:3">
      <c r="A170" s="1237" t="s">
        <v>939</v>
      </c>
      <c r="B170" s="1237" t="s">
        <v>517</v>
      </c>
      <c r="C170" s="1237" t="str">
        <f>VLOOKUP(B170,'[4]old FS 命名转化 (F)'!$A$3:$B$190,2,FALSE)</f>
        <v>CP 15-700</v>
      </c>
    </row>
    <row r="171" spans="1:3">
      <c r="A171" s="1237" t="s">
        <v>940</v>
      </c>
      <c r="B171" s="1237" t="s">
        <v>517</v>
      </c>
      <c r="C171" s="1237" t="str">
        <f>VLOOKUP(B171,'[4]old FS 命名转化 (F)'!$A$3:$B$190,2,FALSE)</f>
        <v>CP 15-700</v>
      </c>
    </row>
    <row r="172" spans="1:3">
      <c r="A172" s="1237" t="s">
        <v>941</v>
      </c>
      <c r="B172" s="1237" t="s">
        <v>518</v>
      </c>
      <c r="C172" s="1237" t="str">
        <f>VLOOKUP(B172,'[4]old FS 命名转化 (F)'!$A$3:$B$190,2,FALSE)</f>
        <v>CP 25-700</v>
      </c>
    </row>
    <row r="173" spans="1:3">
      <c r="A173" s="1237" t="s">
        <v>942</v>
      </c>
      <c r="B173" s="1237" t="s">
        <v>87</v>
      </c>
      <c r="C173" s="1237" t="str">
        <f>VLOOKUP(B173,'[4]old FS 命名转化 (F)'!$A$3:$B$190,2,FALSE)</f>
        <v>CP 5-750</v>
      </c>
    </row>
    <row r="174" spans="1:3">
      <c r="A174" s="1237" t="s">
        <v>943</v>
      </c>
      <c r="B174" s="1237" t="s">
        <v>88</v>
      </c>
      <c r="C174" s="1237" t="str">
        <f>VLOOKUP(B174,'[4]old FS 命名转化 (F)'!$A$3:$B$190,2,FALSE)</f>
        <v>CP 10-750</v>
      </c>
    </row>
    <row r="175" spans="1:3">
      <c r="A175" s="1237" t="s">
        <v>944</v>
      </c>
      <c r="B175" s="1237" t="s">
        <v>89</v>
      </c>
      <c r="C175" s="1237" t="str">
        <f>VLOOKUP(B175,'[4]old FS 命名转化 (F)'!$A$3:$B$190,2,FALSE)</f>
        <v>CP 15-750</v>
      </c>
    </row>
    <row r="176" spans="1:3">
      <c r="A176" s="1237" t="s">
        <v>945</v>
      </c>
      <c r="B176" s="1237" t="s">
        <v>90</v>
      </c>
      <c r="C176" s="1237" t="str">
        <f>VLOOKUP(B176,'[4]old FS 命名转化 (F)'!$A$3:$B$190,2,FALSE)</f>
        <v>CP 25-750</v>
      </c>
    </row>
    <row r="177" spans="1:3">
      <c r="A177" s="1237" t="s">
        <v>946</v>
      </c>
      <c r="B177" s="1237" t="s">
        <v>519</v>
      </c>
      <c r="C177" s="1237" t="str">
        <f>VLOOKUP(B177,'[4]old FS 命名转化 (F)'!$A$3:$B$190,2,FALSE)</f>
        <v>CP 10-775</v>
      </c>
    </row>
    <row r="178" spans="1:3">
      <c r="A178" s="1237" t="s">
        <v>947</v>
      </c>
      <c r="B178" s="1237" t="s">
        <v>154</v>
      </c>
      <c r="C178" s="1237" t="str">
        <f>VLOOKUP(B178,'[4]old FS 命名转化 (F)'!$A$3:$B$190,2,FALSE)</f>
        <v>CP 25-775</v>
      </c>
    </row>
    <row r="179" spans="1:3">
      <c r="A179" s="1237" t="s">
        <v>948</v>
      </c>
      <c r="B179" s="1237" t="s">
        <v>520</v>
      </c>
      <c r="C179" s="1237" t="str">
        <f>VLOOKUP(B179,'[4]old FS 命名转化 (F)'!$A$3:$B$190,2,FALSE)</f>
        <v>EP 200</v>
      </c>
    </row>
    <row r="180" spans="1:3">
      <c r="A180" s="1237" t="s">
        <v>949</v>
      </c>
      <c r="B180" s="1237" t="s">
        <v>521</v>
      </c>
      <c r="C180" s="1237" t="str">
        <f>VLOOKUP(B180,'[4]old FS 命名转化 (F)'!$A$3:$B$190,2,FALSE)</f>
        <v>EP 200vA</v>
      </c>
    </row>
    <row r="181" spans="1:3">
      <c r="A181" s="1237" t="s">
        <v>950</v>
      </c>
      <c r="B181" s="1237" t="s">
        <v>522</v>
      </c>
      <c r="C181" s="1237" t="str">
        <f>VLOOKUP(B181,'[4]old FS 命名转化 (F)'!$A$3:$B$190,2,FALSE)</f>
        <v>EP 265</v>
      </c>
    </row>
    <row r="182" spans="1:3">
      <c r="A182" s="1237" t="s">
        <v>951</v>
      </c>
      <c r="B182" s="1237" t="s">
        <v>523</v>
      </c>
      <c r="C182" s="1237" t="str">
        <f>VLOOKUP(B182,'[4]old FS 命名转化 (F)'!$A$3:$B$190,2,FALSE)</f>
        <v>EP  265</v>
      </c>
    </row>
    <row r="183" spans="1:3">
      <c r="A183" s="1237" t="s">
        <v>952</v>
      </c>
      <c r="B183" s="1237" t="s">
        <v>524</v>
      </c>
      <c r="C183" s="1237" t="str">
        <f>VLOOKUP(B183,'[4]old FS 命名转化 (F)'!$A$3:$B$190,2,FALSE)</f>
        <v>EP 315</v>
      </c>
    </row>
    <row r="184" spans="1:3">
      <c r="A184" s="1237" t="s">
        <v>953</v>
      </c>
      <c r="B184" s="1237" t="s">
        <v>525</v>
      </c>
      <c r="C184" s="1237" t="str">
        <f>VLOOKUP(B184,'[4]old FS 命名转化 (F)'!$A$3:$B$190,2,FALSE)</f>
        <v>EP  315</v>
      </c>
    </row>
    <row r="185" spans="1:3">
      <c r="A185" s="1237" t="s">
        <v>954</v>
      </c>
      <c r="B185" s="1237" t="s">
        <v>526</v>
      </c>
      <c r="C185" s="1237" t="str">
        <f>VLOOKUP(B185,'[4]old FS 命名转化 (F)'!$A$3:$B$190,2,FALSE)</f>
        <v>EP 365</v>
      </c>
    </row>
    <row r="186" spans="1:3">
      <c r="A186" s="1237" t="s">
        <v>955</v>
      </c>
      <c r="B186" s="1237" t="s">
        <v>527</v>
      </c>
      <c r="C186" s="1237" t="str">
        <f>VLOOKUP(B186,'[4]old FS 命名转化 (F)'!$A$3:$B$190,2,FALSE)</f>
        <v>EP  365</v>
      </c>
    </row>
    <row r="187" spans="1:3">
      <c r="A187" s="1237" t="s">
        <v>956</v>
      </c>
      <c r="B187" s="1237" t="s">
        <v>528</v>
      </c>
      <c r="C187" s="1237" t="str">
        <f>VLOOKUP(B187,'[4]old FS 命名转化 (F)'!$A$3:$B$190,2,FALSE)</f>
        <v>EP 425</v>
      </c>
    </row>
    <row r="188" spans="1:3">
      <c r="A188" s="1237" t="s">
        <v>957</v>
      </c>
      <c r="B188" s="1237" t="s">
        <v>529</v>
      </c>
      <c r="C188" s="1237" t="str">
        <f>VLOOKUP(B188,'[4]old FS 命名转化 (F)'!$A$3:$B$190,2,FALSE)</f>
        <v>EP  425</v>
      </c>
    </row>
    <row r="189" spans="1:3">
      <c r="A189" s="1237" t="s">
        <v>958</v>
      </c>
      <c r="B189" s="1237" t="s">
        <v>530</v>
      </c>
      <c r="C189" s="1237" t="str">
        <f>VLOOKUP(B189,'[4]old FS 命名转化 (F)'!$A$3:$B$190,2,FALSE)</f>
        <v>EP 465</v>
      </c>
    </row>
    <row r="190" spans="1:3">
      <c r="A190" s="1237" t="s">
        <v>959</v>
      </c>
      <c r="B190" s="1237" t="s">
        <v>531</v>
      </c>
      <c r="C190" s="1237" t="str">
        <f>VLOOKUP(B190,'[4]old FS 命名转化 (F)'!$A$3:$B$190,2,FALSE)</f>
        <v>EP  465</v>
      </c>
    </row>
    <row r="191" spans="1:3">
      <c r="A191" s="1237" t="s">
        <v>960</v>
      </c>
      <c r="B191" s="1237" t="s">
        <v>532</v>
      </c>
      <c r="C191" s="1237" t="str">
        <f>VLOOKUP(B191,'[4]old FS 命名转化 (F)'!$A$3:$B$190,2,FALSE)</f>
        <v>EP 515</v>
      </c>
    </row>
    <row r="192" spans="1:3">
      <c r="A192" s="1237" t="s">
        <v>961</v>
      </c>
      <c r="B192" s="1237" t="s">
        <v>533</v>
      </c>
      <c r="C192" s="1237" t="str">
        <f>VLOOKUP(B192,'[4]old FS 命名转化 (F)'!$A$3:$B$190,2,FALSE)</f>
        <v>EP 565</v>
      </c>
    </row>
    <row r="193" spans="1:3">
      <c r="A193" s="1237" t="s">
        <v>962</v>
      </c>
      <c r="B193" s="1237" t="s">
        <v>534</v>
      </c>
      <c r="C193" s="1237" t="str">
        <f>VLOOKUP(B193,'[4]old FS 命名转化 (F)'!$A$3:$B$190,2,FALSE)</f>
        <v>EP 615</v>
      </c>
    </row>
    <row r="194" spans="1:3">
      <c r="A194" s="1237" t="s">
        <v>963</v>
      </c>
      <c r="B194" s="1237" t="s">
        <v>535</v>
      </c>
      <c r="C194" s="1237" t="str">
        <f>VLOOKUP(B194,'[4]old FS 命名转化 (F)'!$A$3:$B$190,2,FALSE)</f>
        <v>EP 765</v>
      </c>
    </row>
    <row r="195" spans="1:3">
      <c r="A195" s="1237" t="s">
        <v>964</v>
      </c>
      <c r="B195" s="1237" t="s">
        <v>536</v>
      </c>
      <c r="C195" s="1237" t="str">
        <f>VLOOKUP(B195,'[4]old FS 命名转化 (F)'!$A$3:$B$190,2,FALSE)</f>
        <v>EP 815</v>
      </c>
    </row>
    <row r="196" spans="1:3">
      <c r="A196" s="1237" t="s">
        <v>965</v>
      </c>
      <c r="B196" s="1237" t="s">
        <v>537</v>
      </c>
      <c r="C196" s="1237" t="str">
        <f>VLOOKUP(B196,'[4]old FS 命名转化 (F)'!$A$3:$B$190,2,FALSE)</f>
        <v>EP 1000</v>
      </c>
    </row>
    <row r="197" spans="1:3">
      <c r="A197" s="1237" t="s">
        <v>966</v>
      </c>
      <c r="B197" s="1237" t="s">
        <v>538</v>
      </c>
      <c r="C197" s="1237" t="str">
        <f>VLOOKUP(B197,'[4]old FS 命名转化 (F)'!$A$3:$B$190,2,FALSE)</f>
        <v>EP 1100</v>
      </c>
    </row>
    <row r="198" spans="1:3">
      <c r="A198" s="1237" t="s">
        <v>967</v>
      </c>
      <c r="B198" s="1237" t="s">
        <v>539</v>
      </c>
      <c r="C198" s="1237" t="str">
        <f>VLOOKUP(B198,'[4]old FS 命名转化 (F)'!$A$3:$B$190,2,FALSE)</f>
        <v>EP 650</v>
      </c>
    </row>
    <row r="199" spans="1:3">
      <c r="A199" s="1237" t="s">
        <v>968</v>
      </c>
      <c r="B199" s="1237" t="s">
        <v>540</v>
      </c>
      <c r="C199" s="1237" t="str">
        <f>VLOOKUP(B199,'[4]old FS 命名转化 (F)'!$A$3:$B$190,2,FALSE)</f>
        <v>EP 700</v>
      </c>
    </row>
    <row r="200" spans="1:3">
      <c r="A200" s="1237" t="s">
        <v>969</v>
      </c>
      <c r="B200" s="1237" t="s">
        <v>541</v>
      </c>
      <c r="C200" s="1237" t="str">
        <f>VLOOKUP(B200,'[4]old FS 命名转化 (F)'!$A$3:$B$190,2,FALSE)</f>
        <v>FP 315</v>
      </c>
    </row>
    <row r="201" spans="1:3">
      <c r="A201" s="1237" t="s">
        <v>970</v>
      </c>
      <c r="B201" s="1237" t="s">
        <v>542</v>
      </c>
      <c r="C201" s="1237" t="str">
        <f>VLOOKUP(B201,'[4]old FS 命名转化 (F)'!$A$3:$B$190,2,FALSE)</f>
        <v>FP  315</v>
      </c>
    </row>
    <row r="202" spans="1:3">
      <c r="A202" s="1237" t="s">
        <v>971</v>
      </c>
      <c r="B202" s="1237" t="s">
        <v>543</v>
      </c>
      <c r="C202" s="1237" t="str">
        <f>VLOOKUP(B202,'[4]old FS 命名转化 (F)'!$A$3:$B$190,2,FALSE)</f>
        <v>FP 365</v>
      </c>
    </row>
    <row r="203" spans="1:3">
      <c r="A203" s="1237" t="s">
        <v>972</v>
      </c>
      <c r="B203" s="1237" t="s">
        <v>544</v>
      </c>
      <c r="C203" s="1237" t="str">
        <f>VLOOKUP(B203,'[4]old FS 命名转化 (F)'!$A$3:$B$190,2,FALSE)</f>
        <v>FP  365</v>
      </c>
    </row>
    <row r="204" spans="1:3">
      <c r="A204" s="1237" t="s">
        <v>973</v>
      </c>
      <c r="B204" s="1237" t="s">
        <v>545</v>
      </c>
      <c r="C204" s="1237" t="str">
        <f>VLOOKUP(B204,'[4]old FS 命名转化 (F)'!$A$3:$B$190,2,FALSE)</f>
        <v>FP 425</v>
      </c>
    </row>
    <row r="205" spans="1:3">
      <c r="A205" s="1237" t="s">
        <v>974</v>
      </c>
      <c r="B205" s="1237" t="s">
        <v>546</v>
      </c>
      <c r="C205" s="1237" t="str">
        <f>VLOOKUP(B205,'[4]old FS 命名转化 (F)'!$A$3:$B$190,2,FALSE)</f>
        <v>FP  425</v>
      </c>
    </row>
    <row r="206" spans="1:3">
      <c r="A206" s="1237" t="s">
        <v>975</v>
      </c>
      <c r="B206" s="1237" t="s">
        <v>547</v>
      </c>
      <c r="C206" s="1237" t="str">
        <f>VLOOKUP(B206,'[4]old FS 命名转化 (F)'!$A$3:$B$190,2,FALSE)</f>
        <v>FP 425-370</v>
      </c>
    </row>
    <row r="207" spans="1:3">
      <c r="A207" s="1237" t="s">
        <v>976</v>
      </c>
      <c r="B207" s="1237" t="s">
        <v>548</v>
      </c>
      <c r="C207" s="1237" t="str">
        <f>VLOOKUP(B207,'[4]old FS 命名转化 (F)'!$A$3:$B$190,2,FALSE)</f>
        <v>FP 425-400</v>
      </c>
    </row>
    <row r="208" spans="1:3">
      <c r="A208" s="1237" t="s">
        <v>977</v>
      </c>
      <c r="B208" s="1237" t="s">
        <v>549</v>
      </c>
      <c r="C208" s="1237" t="str">
        <f>VLOOKUP(B208,'[4]old FS 命名转化 (F)'!$A$3:$B$190,2,FALSE)</f>
        <v>FP 465</v>
      </c>
    </row>
    <row r="209" spans="1:3">
      <c r="A209" s="1237" t="s">
        <v>978</v>
      </c>
      <c r="B209" s="1237" t="s">
        <v>550</v>
      </c>
      <c r="C209" s="1237" t="str">
        <f>VLOOKUP(B209,'[4]old FS 命名转化 (F)'!$A$3:$B$190,2,FALSE)</f>
        <v>FP  465</v>
      </c>
    </row>
    <row r="210" spans="1:3">
      <c r="A210" s="1237" t="s">
        <v>979</v>
      </c>
      <c r="B210" s="1237" t="s">
        <v>551</v>
      </c>
      <c r="C210" s="1237" t="str">
        <f>VLOOKUP(B210,'[4]old FS 命名转化 (F)'!$A$3:$B$190,2,FALSE)</f>
        <v>FP 515</v>
      </c>
    </row>
    <row r="211" spans="1:3">
      <c r="A211" s="1237" t="s">
        <v>980</v>
      </c>
      <c r="B211" s="1237" t="s">
        <v>552</v>
      </c>
      <c r="C211" s="1237" t="str">
        <f>VLOOKUP(B211,'[4]old FS 命名转化 (F)'!$A$3:$B$190,2,FALSE)</f>
        <v>GP 315</v>
      </c>
    </row>
    <row r="212" spans="1:3">
      <c r="A212" s="1237" t="s">
        <v>981</v>
      </c>
      <c r="B212" s="1237" t="s">
        <v>553</v>
      </c>
      <c r="C212" s="1237" t="str">
        <f>VLOOKUP(B212,'[4]old FS 命名转化 (F)'!$A$3:$B$190,2,FALSE)</f>
        <v>GP 315X</v>
      </c>
    </row>
    <row r="213" spans="1:3">
      <c r="A213" s="1237" t="s">
        <v>982</v>
      </c>
      <c r="B213" s="1237" t="s">
        <v>554</v>
      </c>
      <c r="C213" s="1237" t="str">
        <f>VLOOKUP(B213,'[4]old FS 命名转化 (F)'!$A$3:$B$190,2,FALSE)</f>
        <v>GP 365</v>
      </c>
    </row>
    <row r="214" spans="1:3">
      <c r="A214" s="1237" t="s">
        <v>983</v>
      </c>
      <c r="B214" s="1237" t="s">
        <v>555</v>
      </c>
      <c r="C214" s="1237" t="str">
        <f>VLOOKUP(B214,'[4]old FS 命名转化 (F)'!$A$3:$B$190,2,FALSE)</f>
        <v>GP365X</v>
      </c>
    </row>
    <row r="215" spans="1:3">
      <c r="A215" s="1237" t="s">
        <v>984</v>
      </c>
      <c r="B215" s="1237" t="s">
        <v>556</v>
      </c>
      <c r="C215" s="1237" t="str">
        <f>VLOOKUP(B215,'[4]old FS 命名转化 (F)'!$A$3:$B$190,2,FALSE)</f>
        <v>GP 425</v>
      </c>
    </row>
    <row r="216" spans="1:3">
      <c r="A216" s="1237" t="s">
        <v>985</v>
      </c>
      <c r="B216" s="1237" t="s">
        <v>557</v>
      </c>
      <c r="C216" s="1238" t="s">
        <v>1696</v>
      </c>
    </row>
    <row r="217" spans="1:3">
      <c r="A217" s="1237" t="s">
        <v>986</v>
      </c>
      <c r="B217" s="1237" t="s">
        <v>558</v>
      </c>
      <c r="C217" s="1238" t="s">
        <v>1697</v>
      </c>
    </row>
    <row r="218" spans="1:3">
      <c r="A218" s="1237" t="s">
        <v>987</v>
      </c>
      <c r="B218" s="1237" t="s">
        <v>559</v>
      </c>
      <c r="C218" s="1238" t="s">
        <v>1698</v>
      </c>
    </row>
    <row r="219" spans="1:3" s="1239" customFormat="1">
      <c r="A219" s="1239" t="s">
        <v>571</v>
      </c>
      <c r="B219" s="1239" t="s">
        <v>795</v>
      </c>
      <c r="C219" s="1239" t="s">
        <v>1699</v>
      </c>
    </row>
    <row r="220" spans="1:3">
      <c r="A220" s="1237" t="s">
        <v>572</v>
      </c>
      <c r="B220" s="1237" t="s">
        <v>796</v>
      </c>
      <c r="C220" s="1237" t="s">
        <v>1700</v>
      </c>
    </row>
    <row r="221" spans="1:3">
      <c r="A221" s="1237" t="s">
        <v>573</v>
      </c>
      <c r="B221" s="1237" t="s">
        <v>797</v>
      </c>
      <c r="C221" s="1237" t="s">
        <v>1701</v>
      </c>
    </row>
    <row r="222" spans="1:3">
      <c r="A222" s="1237" t="s">
        <v>574</v>
      </c>
      <c r="B222" s="1237" t="s">
        <v>798</v>
      </c>
      <c r="C222" s="1237" t="s">
        <v>1702</v>
      </c>
    </row>
    <row r="223" spans="1:3">
      <c r="A223" s="1237" t="s">
        <v>575</v>
      </c>
      <c r="B223" s="1237" t="s">
        <v>799</v>
      </c>
      <c r="C223" s="1237" t="s">
        <v>1702</v>
      </c>
    </row>
    <row r="224" spans="1:3">
      <c r="A224" s="1237" t="s">
        <v>576</v>
      </c>
      <c r="B224" s="1237" t="s">
        <v>800</v>
      </c>
      <c r="C224" s="1237" t="s">
        <v>1703</v>
      </c>
    </row>
    <row r="225" spans="1:3">
      <c r="A225" s="1237" t="s">
        <v>577</v>
      </c>
      <c r="B225" s="1237" t="s">
        <v>801</v>
      </c>
      <c r="C225" s="1237" t="s">
        <v>1704</v>
      </c>
    </row>
    <row r="226" spans="1:3">
      <c r="A226" s="1237" t="s">
        <v>578</v>
      </c>
      <c r="B226" s="1237" t="s">
        <v>802</v>
      </c>
      <c r="C226" s="1237" t="s">
        <v>1705</v>
      </c>
    </row>
    <row r="227" spans="1:3">
      <c r="A227" s="1237" t="s">
        <v>579</v>
      </c>
      <c r="B227" s="1237" t="s">
        <v>803</v>
      </c>
      <c r="C227" s="1237" t="s">
        <v>1706</v>
      </c>
    </row>
    <row r="228" spans="1:3">
      <c r="A228" s="1237" t="s">
        <v>580</v>
      </c>
      <c r="B228" s="1237" t="s">
        <v>804</v>
      </c>
      <c r="C228" s="1237" t="s">
        <v>1707</v>
      </c>
    </row>
    <row r="229" spans="1:3">
      <c r="A229" s="1237" t="s">
        <v>581</v>
      </c>
      <c r="B229" s="1237" t="s">
        <v>805</v>
      </c>
      <c r="C229" s="1237" t="s">
        <v>1708</v>
      </c>
    </row>
    <row r="230" spans="1:3">
      <c r="A230" s="1237" t="s">
        <v>582</v>
      </c>
      <c r="B230" s="1237" t="s">
        <v>806</v>
      </c>
      <c r="C230" s="1237" t="s">
        <v>1709</v>
      </c>
    </row>
    <row r="231" spans="1:3">
      <c r="A231" s="1237" t="s">
        <v>583</v>
      </c>
      <c r="B231" s="1237" t="s">
        <v>807</v>
      </c>
      <c r="C231" s="1237" t="s">
        <v>1710</v>
      </c>
    </row>
    <row r="232" spans="1:3">
      <c r="A232" s="1237" t="s">
        <v>584</v>
      </c>
      <c r="B232" s="1237" t="s">
        <v>808</v>
      </c>
      <c r="C232" s="1237" t="s">
        <v>1711</v>
      </c>
    </row>
    <row r="233" spans="1:3">
      <c r="A233" s="1237" t="s">
        <v>585</v>
      </c>
      <c r="B233" s="1237" t="s">
        <v>809</v>
      </c>
      <c r="C233" s="1237" t="s">
        <v>1712</v>
      </c>
    </row>
    <row r="234" spans="1:3">
      <c r="A234" s="1237" t="s">
        <v>586</v>
      </c>
      <c r="B234" s="1237" t="s">
        <v>810</v>
      </c>
      <c r="C234" s="1237" t="s">
        <v>1713</v>
      </c>
    </row>
    <row r="235" spans="1:3">
      <c r="A235" s="1237" t="s">
        <v>587</v>
      </c>
      <c r="B235" s="1237" t="s">
        <v>811</v>
      </c>
      <c r="C235" s="1237" t="s">
        <v>1714</v>
      </c>
    </row>
    <row r="236" spans="1:3">
      <c r="A236" s="1237" t="s">
        <v>587</v>
      </c>
      <c r="B236" s="1237" t="s">
        <v>812</v>
      </c>
      <c r="C236" s="1237" t="s">
        <v>1714</v>
      </c>
    </row>
    <row r="237" spans="1:3">
      <c r="A237" s="1237" t="s">
        <v>588</v>
      </c>
      <c r="B237" s="1237" t="s">
        <v>813</v>
      </c>
      <c r="C237" s="1237" t="s">
        <v>1715</v>
      </c>
    </row>
    <row r="238" spans="1:3">
      <c r="A238" s="1237" t="s">
        <v>589</v>
      </c>
      <c r="B238" s="1237" t="s">
        <v>814</v>
      </c>
      <c r="C238" s="1237" t="s">
        <v>1716</v>
      </c>
    </row>
    <row r="239" spans="1:3">
      <c r="A239" s="1237" t="s">
        <v>590</v>
      </c>
      <c r="B239" s="1237" t="s">
        <v>815</v>
      </c>
      <c r="C239" s="1237" t="s">
        <v>1717</v>
      </c>
    </row>
    <row r="240" spans="1:3">
      <c r="A240" s="1237" t="s">
        <v>591</v>
      </c>
      <c r="B240" s="1237" t="s">
        <v>816</v>
      </c>
      <c r="C240" s="1237" t="s">
        <v>1718</v>
      </c>
    </row>
    <row r="241" spans="1:3">
      <c r="A241" s="1237" t="s">
        <v>592</v>
      </c>
      <c r="B241" s="1237" t="s">
        <v>817</v>
      </c>
      <c r="C241" s="1237" t="s">
        <v>1719</v>
      </c>
    </row>
    <row r="242" spans="1:3">
      <c r="A242" s="1237" t="s">
        <v>593</v>
      </c>
      <c r="B242" s="1237" t="s">
        <v>818</v>
      </c>
      <c r="C242" s="1237" t="s">
        <v>1720</v>
      </c>
    </row>
    <row r="243" spans="1:3">
      <c r="A243" s="1237" t="s">
        <v>594</v>
      </c>
      <c r="B243" s="1237" t="s">
        <v>819</v>
      </c>
      <c r="C243" s="1237" t="s">
        <v>1721</v>
      </c>
    </row>
    <row r="244" spans="1:3">
      <c r="A244" s="1237" t="s">
        <v>595</v>
      </c>
      <c r="B244" s="1237" t="s">
        <v>820</v>
      </c>
      <c r="C244" s="1237" t="s">
        <v>1722</v>
      </c>
    </row>
    <row r="245" spans="1:3">
      <c r="A245" s="1237" t="s">
        <v>596</v>
      </c>
      <c r="B245" s="1237" t="s">
        <v>821</v>
      </c>
      <c r="C245" s="1237" t="s">
        <v>1723</v>
      </c>
    </row>
    <row r="246" spans="1:3">
      <c r="A246" s="1237" t="s">
        <v>597</v>
      </c>
      <c r="B246" s="1237" t="s">
        <v>822</v>
      </c>
      <c r="C246" s="1237" t="s">
        <v>1724</v>
      </c>
    </row>
    <row r="247" spans="1:3">
      <c r="A247" s="1237" t="s">
        <v>598</v>
      </c>
      <c r="B247" s="1237" t="s">
        <v>823</v>
      </c>
      <c r="C247" s="1237" t="s">
        <v>1725</v>
      </c>
    </row>
    <row r="248" spans="1:3">
      <c r="A248" s="1237" t="s">
        <v>599</v>
      </c>
      <c r="B248" s="1237" t="s">
        <v>824</v>
      </c>
      <c r="C248" s="1237" t="s">
        <v>1726</v>
      </c>
    </row>
    <row r="249" spans="1:3">
      <c r="A249" s="1237" t="s">
        <v>600</v>
      </c>
      <c r="B249" s="1237" t="s">
        <v>825</v>
      </c>
      <c r="C249" s="1237" t="s">
        <v>1727</v>
      </c>
    </row>
    <row r="250" spans="1:3">
      <c r="A250" s="1237" t="s">
        <v>601</v>
      </c>
      <c r="B250" s="1237" t="s">
        <v>826</v>
      </c>
      <c r="C250" s="1237" t="s">
        <v>1728</v>
      </c>
    </row>
    <row r="251" spans="1:3">
      <c r="A251" s="1237" t="s">
        <v>602</v>
      </c>
      <c r="B251" s="1237" t="s">
        <v>827</v>
      </c>
      <c r="C251" s="1237" t="s">
        <v>1729</v>
      </c>
    </row>
    <row r="252" spans="1:3">
      <c r="A252" s="1237" t="s">
        <v>603</v>
      </c>
      <c r="B252" s="1237" t="s">
        <v>828</v>
      </c>
      <c r="C252" s="1237" t="s">
        <v>1730</v>
      </c>
    </row>
    <row r="253" spans="1:3">
      <c r="A253" s="1237" t="s">
        <v>604</v>
      </c>
      <c r="B253" s="1237" t="s">
        <v>829</v>
      </c>
      <c r="C253" s="1237" t="s">
        <v>1731</v>
      </c>
    </row>
    <row r="254" spans="1:3">
      <c r="A254" s="1237" t="s">
        <v>605</v>
      </c>
      <c r="B254" s="1237" t="s">
        <v>830</v>
      </c>
      <c r="C254" s="1237" t="s">
        <v>1732</v>
      </c>
    </row>
    <row r="255" spans="1:3">
      <c r="A255" s="1237" t="s">
        <v>606</v>
      </c>
      <c r="B255" s="1237" t="s">
        <v>831</v>
      </c>
      <c r="C255" s="1237" t="s">
        <v>1733</v>
      </c>
    </row>
    <row r="256" spans="1:3">
      <c r="A256" s="1237" t="s">
        <v>607</v>
      </c>
      <c r="B256" s="1237" t="s">
        <v>832</v>
      </c>
      <c r="C256" s="1237" t="s">
        <v>1734</v>
      </c>
    </row>
    <row r="257" spans="1:3">
      <c r="A257" s="1237" t="s">
        <v>608</v>
      </c>
      <c r="B257" s="1237" t="s">
        <v>833</v>
      </c>
      <c r="C257" s="1237" t="s">
        <v>1735</v>
      </c>
    </row>
    <row r="258" spans="1:3">
      <c r="A258" s="1237" t="s">
        <v>609</v>
      </c>
      <c r="B258" s="1237" t="s">
        <v>834</v>
      </c>
      <c r="C258" s="1237" t="s">
        <v>1736</v>
      </c>
    </row>
    <row r="259" spans="1:3">
      <c r="A259" s="1237" t="s">
        <v>610</v>
      </c>
      <c r="B259" s="1237" t="s">
        <v>835</v>
      </c>
      <c r="C259" s="1237" t="s">
        <v>1737</v>
      </c>
    </row>
    <row r="260" spans="1:3">
      <c r="A260" s="1237" t="s">
        <v>611</v>
      </c>
      <c r="B260" s="1237" t="s">
        <v>836</v>
      </c>
      <c r="C260" s="1237" t="s">
        <v>1738</v>
      </c>
    </row>
    <row r="261" spans="1:3">
      <c r="A261" s="1237" t="s">
        <v>612</v>
      </c>
      <c r="B261" s="1237" t="s">
        <v>837</v>
      </c>
      <c r="C261" s="1237" t="s">
        <v>1739</v>
      </c>
    </row>
    <row r="262" spans="1:3">
      <c r="A262" s="1237" t="s">
        <v>613</v>
      </c>
      <c r="B262" s="1237" t="s">
        <v>838</v>
      </c>
      <c r="C262" s="1237" t="s">
        <v>1740</v>
      </c>
    </row>
    <row r="263" spans="1:3">
      <c r="A263" s="1237" t="s">
        <v>614</v>
      </c>
      <c r="B263" s="1237" t="s">
        <v>839</v>
      </c>
      <c r="C263" s="1237" t="s">
        <v>1741</v>
      </c>
    </row>
    <row r="264" spans="1:3">
      <c r="A264" s="1237" t="s">
        <v>615</v>
      </c>
      <c r="B264" s="1237" t="s">
        <v>840</v>
      </c>
      <c r="C264" s="1237" t="s">
        <v>1742</v>
      </c>
    </row>
    <row r="265" spans="1:3">
      <c r="A265" s="1237" t="s">
        <v>616</v>
      </c>
      <c r="B265" s="1237" t="s">
        <v>841</v>
      </c>
      <c r="C265" s="1237" t="s">
        <v>1743</v>
      </c>
    </row>
    <row r="266" spans="1:3">
      <c r="A266" s="1237" t="s">
        <v>617</v>
      </c>
      <c r="B266" s="1237" t="s">
        <v>842</v>
      </c>
      <c r="C266" s="1237" t="s">
        <v>1744</v>
      </c>
    </row>
    <row r="267" spans="1:3">
      <c r="A267" s="1237" t="s">
        <v>618</v>
      </c>
      <c r="B267" s="1237" t="s">
        <v>843</v>
      </c>
      <c r="C267" s="1237" t="s">
        <v>1745</v>
      </c>
    </row>
    <row r="268" spans="1:3">
      <c r="A268" s="1237" t="s">
        <v>619</v>
      </c>
      <c r="B268" s="1237" t="s">
        <v>844</v>
      </c>
      <c r="C268" s="1237" t="s">
        <v>1746</v>
      </c>
    </row>
    <row r="269" spans="1:3">
      <c r="A269" s="1237" t="s">
        <v>620</v>
      </c>
      <c r="B269" s="1237" t="s">
        <v>845</v>
      </c>
      <c r="C269" s="1237" t="s">
        <v>1747</v>
      </c>
    </row>
    <row r="270" spans="1:3">
      <c r="A270" s="1237" t="s">
        <v>621</v>
      </c>
      <c r="B270" s="1237" t="s">
        <v>846</v>
      </c>
      <c r="C270" s="1237" t="s">
        <v>1748</v>
      </c>
    </row>
    <row r="271" spans="1:3">
      <c r="A271" s="1237" t="s">
        <v>622</v>
      </c>
      <c r="B271" s="1237" t="s">
        <v>847</v>
      </c>
      <c r="C271" s="1237" t="s">
        <v>1749</v>
      </c>
    </row>
    <row r="272" spans="1:3">
      <c r="A272" s="1237" t="s">
        <v>623</v>
      </c>
      <c r="B272" s="1237" t="s">
        <v>848</v>
      </c>
      <c r="C272" s="1237" t="s">
        <v>1750</v>
      </c>
    </row>
    <row r="273" spans="1:3">
      <c r="A273" s="1237" t="s">
        <v>624</v>
      </c>
      <c r="B273" s="1237" t="s">
        <v>849</v>
      </c>
      <c r="C273" s="1237" t="s">
        <v>1751</v>
      </c>
    </row>
    <row r="274" spans="1:3">
      <c r="A274" s="1237" t="s">
        <v>625</v>
      </c>
      <c r="B274" s="1237" t="s">
        <v>850</v>
      </c>
      <c r="C274" s="1237" t="s">
        <v>1752</v>
      </c>
    </row>
    <row r="275" spans="1:3">
      <c r="A275" s="1237" t="s">
        <v>626</v>
      </c>
      <c r="B275" s="1237" t="s">
        <v>851</v>
      </c>
      <c r="C275" s="1237" t="s">
        <v>1753</v>
      </c>
    </row>
    <row r="276" spans="1:3">
      <c r="A276" s="1237" t="s">
        <v>627</v>
      </c>
      <c r="B276" s="1237" t="s">
        <v>852</v>
      </c>
      <c r="C276" s="1237" t="s">
        <v>1754</v>
      </c>
    </row>
    <row r="277" spans="1:3">
      <c r="A277" s="1237" t="s">
        <v>628</v>
      </c>
      <c r="B277" s="1237" t="s">
        <v>853</v>
      </c>
      <c r="C277" s="1237" t="s">
        <v>1755</v>
      </c>
    </row>
    <row r="278" spans="1:3">
      <c r="A278" s="1237" t="s">
        <v>629</v>
      </c>
      <c r="B278" s="1237" t="s">
        <v>854</v>
      </c>
      <c r="C278" s="1237" t="s">
        <v>1756</v>
      </c>
    </row>
    <row r="279" spans="1:3">
      <c r="A279" s="1237" t="s">
        <v>630</v>
      </c>
      <c r="B279" s="1237" t="s">
        <v>995</v>
      </c>
      <c r="C279" s="1237" t="s">
        <v>1757</v>
      </c>
    </row>
    <row r="280" spans="1:3">
      <c r="A280" s="1237" t="s">
        <v>631</v>
      </c>
      <c r="B280" s="1237" t="s">
        <v>855</v>
      </c>
      <c r="C280" s="1237" t="s">
        <v>1758</v>
      </c>
    </row>
    <row r="281" spans="1:3">
      <c r="A281" s="1237" t="s">
        <v>632</v>
      </c>
      <c r="B281" s="1237" t="s">
        <v>788</v>
      </c>
      <c r="C281" s="1237" t="s">
        <v>1759</v>
      </c>
    </row>
    <row r="282" spans="1:3">
      <c r="A282" s="1237" t="s">
        <v>633</v>
      </c>
      <c r="B282" s="1237" t="s">
        <v>996</v>
      </c>
      <c r="C282" s="1237" t="s">
        <v>1760</v>
      </c>
    </row>
    <row r="283" spans="1:3">
      <c r="A283" s="1237" t="s">
        <v>1172</v>
      </c>
      <c r="B283" s="1237" t="s">
        <v>997</v>
      </c>
      <c r="C283" s="1237" t="s">
        <v>1761</v>
      </c>
    </row>
    <row r="284" spans="1:3">
      <c r="A284" s="1237" t="s">
        <v>634</v>
      </c>
      <c r="B284" s="1237" t="s">
        <v>856</v>
      </c>
      <c r="C284" s="1237" t="s">
        <v>1762</v>
      </c>
    </row>
    <row r="285" spans="1:3">
      <c r="A285" s="1237" t="s">
        <v>635</v>
      </c>
      <c r="B285" s="1237" t="s">
        <v>998</v>
      </c>
      <c r="C285" s="1237" t="s">
        <v>1763</v>
      </c>
    </row>
    <row r="286" spans="1:3">
      <c r="A286" s="1237" t="s">
        <v>636</v>
      </c>
      <c r="B286" s="1237" t="s">
        <v>857</v>
      </c>
      <c r="C286" s="1237" t="s">
        <v>1764</v>
      </c>
    </row>
    <row r="287" spans="1:3">
      <c r="A287" s="1237" t="s">
        <v>637</v>
      </c>
      <c r="B287" s="1237" t="s">
        <v>858</v>
      </c>
      <c r="C287" s="1237" t="s">
        <v>1765</v>
      </c>
    </row>
    <row r="288" spans="1:3">
      <c r="A288" s="1237" t="s">
        <v>638</v>
      </c>
      <c r="B288" s="1237" t="s">
        <v>859</v>
      </c>
      <c r="C288" s="1237" t="s">
        <v>1766</v>
      </c>
    </row>
    <row r="289" spans="1:3">
      <c r="A289" s="1237" t="s">
        <v>639</v>
      </c>
      <c r="B289" s="1237" t="s">
        <v>999</v>
      </c>
      <c r="C289" s="1237" t="s">
        <v>1767</v>
      </c>
    </row>
    <row r="290" spans="1:3">
      <c r="A290" s="1237" t="s">
        <v>640</v>
      </c>
      <c r="B290" s="1237" t="s">
        <v>1000</v>
      </c>
      <c r="C290" s="1237" t="s">
        <v>1768</v>
      </c>
    </row>
    <row r="291" spans="1:3">
      <c r="A291" s="1237" t="s">
        <v>641</v>
      </c>
      <c r="B291" s="1237" t="s">
        <v>1001</v>
      </c>
      <c r="C291" s="1237" t="s">
        <v>1769</v>
      </c>
    </row>
    <row r="292" spans="1:3">
      <c r="A292" s="1237" t="s">
        <v>642</v>
      </c>
      <c r="B292" s="1237" t="s">
        <v>1002</v>
      </c>
      <c r="C292" s="1237" t="s">
        <v>1770</v>
      </c>
    </row>
    <row r="293" spans="1:3">
      <c r="A293" s="1237" t="s">
        <v>643</v>
      </c>
      <c r="B293" s="1237" t="s">
        <v>1003</v>
      </c>
      <c r="C293" s="1237" t="s">
        <v>1771</v>
      </c>
    </row>
    <row r="294" spans="1:3">
      <c r="A294" s="1237" t="s">
        <v>644</v>
      </c>
      <c r="B294" s="1237" t="s">
        <v>1004</v>
      </c>
      <c r="C294" s="1237" t="s">
        <v>1772</v>
      </c>
    </row>
    <row r="295" spans="1:3">
      <c r="A295" s="1237" t="s">
        <v>1173</v>
      </c>
      <c r="B295" s="1237" t="s">
        <v>1005</v>
      </c>
      <c r="C295" s="1237" t="s">
        <v>1773</v>
      </c>
    </row>
    <row r="296" spans="1:3">
      <c r="A296" s="1237" t="s">
        <v>1174</v>
      </c>
      <c r="B296" s="1237" t="s">
        <v>1006</v>
      </c>
      <c r="C296" s="1237" t="s">
        <v>1774</v>
      </c>
    </row>
    <row r="297" spans="1:3">
      <c r="A297" s="1237" t="s">
        <v>1175</v>
      </c>
      <c r="B297" s="1237" t="s">
        <v>1007</v>
      </c>
      <c r="C297" s="1237" t="s">
        <v>1775</v>
      </c>
    </row>
    <row r="298" spans="1:3">
      <c r="A298" s="1237" t="s">
        <v>1191</v>
      </c>
      <c r="B298" s="1237" t="s">
        <v>1184</v>
      </c>
      <c r="C298" s="1237" t="s">
        <v>1776</v>
      </c>
    </row>
    <row r="299" spans="1:3">
      <c r="A299" s="1237" t="s">
        <v>1177</v>
      </c>
      <c r="B299" s="1237" t="s">
        <v>1010</v>
      </c>
      <c r="C299" s="1237" t="s">
        <v>1777</v>
      </c>
    </row>
    <row r="300" spans="1:3">
      <c r="A300" s="1237" t="s">
        <v>1178</v>
      </c>
      <c r="B300" s="1237" t="s">
        <v>1011</v>
      </c>
      <c r="C300" s="1237" t="s">
        <v>1778</v>
      </c>
    </row>
    <row r="301" spans="1:3">
      <c r="A301" s="1237" t="s">
        <v>1179</v>
      </c>
      <c r="B301" s="1237" t="s">
        <v>1162</v>
      </c>
      <c r="C301" s="1237" t="s">
        <v>1779</v>
      </c>
    </row>
    <row r="302" spans="1:3">
      <c r="A302" s="1237" t="s">
        <v>1192</v>
      </c>
      <c r="B302" s="1237" t="s">
        <v>1186</v>
      </c>
      <c r="C302" s="1237" t="s">
        <v>1780</v>
      </c>
    </row>
    <row r="303" spans="1:3">
      <c r="A303" s="1237" t="s">
        <v>453</v>
      </c>
      <c r="B303" s="1237" t="s">
        <v>860</v>
      </c>
      <c r="C303" s="1237" t="s">
        <v>1781</v>
      </c>
    </row>
    <row r="304" spans="1:3">
      <c r="A304" s="1237" t="s">
        <v>454</v>
      </c>
      <c r="B304" s="1237" t="s">
        <v>861</v>
      </c>
      <c r="C304" s="1237" t="s">
        <v>1782</v>
      </c>
    </row>
    <row r="305" spans="1:3">
      <c r="A305" s="1237" t="s">
        <v>455</v>
      </c>
      <c r="B305" s="1237" t="s">
        <v>862</v>
      </c>
      <c r="C305" s="1237" t="s">
        <v>1783</v>
      </c>
    </row>
    <row r="306" spans="1:3">
      <c r="A306" s="1237" t="s">
        <v>456</v>
      </c>
      <c r="B306" s="1237" t="s">
        <v>863</v>
      </c>
      <c r="C306" s="1237" t="s">
        <v>1784</v>
      </c>
    </row>
    <row r="307" spans="1:3">
      <c r="A307" s="1237" t="s">
        <v>457</v>
      </c>
      <c r="B307" s="1237" t="s">
        <v>864</v>
      </c>
      <c r="C307" s="1237" t="s">
        <v>1785</v>
      </c>
    </row>
    <row r="308" spans="1:3">
      <c r="A308" s="1237" t="s">
        <v>458</v>
      </c>
      <c r="B308" s="1237" t="s">
        <v>865</v>
      </c>
      <c r="C308" s="1237" t="s">
        <v>1786</v>
      </c>
    </row>
    <row r="309" spans="1:3">
      <c r="A309" s="1237" t="s">
        <v>459</v>
      </c>
      <c r="B309" s="1237" t="s">
        <v>866</v>
      </c>
      <c r="C309" s="1237" t="s">
        <v>1787</v>
      </c>
    </row>
    <row r="310" spans="1:3">
      <c r="A310" s="1237" t="s">
        <v>460</v>
      </c>
      <c r="B310" s="1237" t="s">
        <v>867</v>
      </c>
      <c r="C310" s="1237" t="s">
        <v>1788</v>
      </c>
    </row>
    <row r="311" spans="1:3">
      <c r="A311" s="1237" t="s">
        <v>461</v>
      </c>
      <c r="B311" s="1237" t="s">
        <v>868</v>
      </c>
      <c r="C311" s="1237" t="s">
        <v>1789</v>
      </c>
    </row>
    <row r="312" spans="1:3">
      <c r="A312" s="1237" t="s">
        <v>462</v>
      </c>
      <c r="B312" s="1237" t="s">
        <v>869</v>
      </c>
      <c r="C312" s="1237" t="s">
        <v>1790</v>
      </c>
    </row>
    <row r="313" spans="1:3">
      <c r="A313" s="1237" t="s">
        <v>463</v>
      </c>
      <c r="B313" s="1237" t="s">
        <v>870</v>
      </c>
      <c r="C313" s="1237" t="s">
        <v>1791</v>
      </c>
    </row>
    <row r="314" spans="1:3">
      <c r="A314" s="1237" t="s">
        <v>464</v>
      </c>
      <c r="B314" s="1237" t="s">
        <v>871</v>
      </c>
      <c r="C314" s="1237" t="s">
        <v>1792</v>
      </c>
    </row>
    <row r="315" spans="1:3">
      <c r="A315" s="1237" t="s">
        <v>465</v>
      </c>
      <c r="B315" s="1237" t="s">
        <v>872</v>
      </c>
      <c r="C315" s="1237" t="s">
        <v>1793</v>
      </c>
    </row>
    <row r="316" spans="1:3">
      <c r="A316" s="1237" t="s">
        <v>466</v>
      </c>
      <c r="B316" s="1237" t="s">
        <v>873</v>
      </c>
      <c r="C316" s="1237" t="s">
        <v>1794</v>
      </c>
    </row>
    <row r="317" spans="1:3">
      <c r="A317" s="1237" t="s">
        <v>467</v>
      </c>
      <c r="B317" s="1237" t="s">
        <v>874</v>
      </c>
      <c r="C317" s="1237" t="s">
        <v>1795</v>
      </c>
    </row>
    <row r="318" spans="1:3">
      <c r="A318" s="1237" t="s">
        <v>468</v>
      </c>
      <c r="B318" s="1237" t="s">
        <v>875</v>
      </c>
      <c r="C318" s="1237" t="s">
        <v>1796</v>
      </c>
    </row>
    <row r="319" spans="1:3">
      <c r="A319" s="1237" t="s">
        <v>469</v>
      </c>
      <c r="B319" s="1237" t="s">
        <v>876</v>
      </c>
      <c r="C319" s="1237" t="s">
        <v>1797</v>
      </c>
    </row>
    <row r="320" spans="1:3">
      <c r="A320" s="1237" t="s">
        <v>470</v>
      </c>
      <c r="B320" s="1237" t="s">
        <v>877</v>
      </c>
      <c r="C320" s="1237" t="s">
        <v>1798</v>
      </c>
    </row>
    <row r="321" spans="1:3">
      <c r="A321" s="1237" t="s">
        <v>471</v>
      </c>
      <c r="B321" s="1237" t="s">
        <v>878</v>
      </c>
      <c r="C321" s="1237" t="s">
        <v>1799</v>
      </c>
    </row>
    <row r="322" spans="1:3">
      <c r="A322" s="1237" t="s">
        <v>472</v>
      </c>
      <c r="B322" s="1237" t="s">
        <v>879</v>
      </c>
      <c r="C322" s="1237" t="s">
        <v>1800</v>
      </c>
    </row>
    <row r="323" spans="1:3">
      <c r="A323" s="1237" t="s">
        <v>473</v>
      </c>
      <c r="B323" s="1237" t="s">
        <v>880</v>
      </c>
      <c r="C323" s="1237" t="s">
        <v>1801</v>
      </c>
    </row>
    <row r="324" spans="1:3">
      <c r="A324" s="1237" t="s">
        <v>474</v>
      </c>
      <c r="B324" s="1237" t="s">
        <v>881</v>
      </c>
      <c r="C324" s="1237" t="s">
        <v>1802</v>
      </c>
    </row>
    <row r="325" spans="1:3">
      <c r="A325" s="1237" t="s">
        <v>475</v>
      </c>
      <c r="B325" s="1237" t="s">
        <v>882</v>
      </c>
      <c r="C325" s="1237" t="s">
        <v>1803</v>
      </c>
    </row>
    <row r="326" spans="1:3">
      <c r="A326" s="1237" t="s">
        <v>476</v>
      </c>
      <c r="B326" s="1237" t="s">
        <v>883</v>
      </c>
      <c r="C326" s="1237" t="s">
        <v>1804</v>
      </c>
    </row>
    <row r="327" spans="1:3">
      <c r="A327" s="1237" t="s">
        <v>477</v>
      </c>
      <c r="B327" s="1237" t="s">
        <v>884</v>
      </c>
      <c r="C327" s="1237" t="s">
        <v>1805</v>
      </c>
    </row>
    <row r="328" spans="1:3">
      <c r="A328" s="1237" t="s">
        <v>478</v>
      </c>
      <c r="B328" s="1237" t="s">
        <v>885</v>
      </c>
      <c r="C328" s="1237" t="s">
        <v>1806</v>
      </c>
    </row>
    <row r="329" spans="1:3">
      <c r="A329" s="1237" t="s">
        <v>479</v>
      </c>
      <c r="B329" s="1237" t="s">
        <v>789</v>
      </c>
      <c r="C329" s="1237" t="s">
        <v>1807</v>
      </c>
    </row>
    <row r="330" spans="1:3">
      <c r="A330" s="1237" t="s">
        <v>480</v>
      </c>
      <c r="B330" s="1237" t="s">
        <v>886</v>
      </c>
      <c r="C330" s="1237" t="s">
        <v>1808</v>
      </c>
    </row>
    <row r="331" spans="1:3">
      <c r="A331" s="1237" t="s">
        <v>481</v>
      </c>
      <c r="B331" s="1237" t="s">
        <v>887</v>
      </c>
      <c r="C331" s="1237" t="s">
        <v>1809</v>
      </c>
    </row>
    <row r="332" spans="1:3">
      <c r="A332" s="1237" t="s">
        <v>482</v>
      </c>
      <c r="B332" s="1237" t="s">
        <v>888</v>
      </c>
      <c r="C332" s="1237" t="s">
        <v>1810</v>
      </c>
    </row>
    <row r="333" spans="1:3">
      <c r="A333" s="1237" t="s">
        <v>483</v>
      </c>
      <c r="B333" s="1237" t="s">
        <v>790</v>
      </c>
      <c r="C333" s="1237" t="s">
        <v>1811</v>
      </c>
    </row>
    <row r="334" spans="1:3">
      <c r="A334" s="1237" t="s">
        <v>484</v>
      </c>
      <c r="B334" s="1237" t="s">
        <v>889</v>
      </c>
      <c r="C334" s="1237" t="s">
        <v>1812</v>
      </c>
    </row>
    <row r="335" spans="1:3">
      <c r="A335" s="1237" t="s">
        <v>485</v>
      </c>
      <c r="B335" s="1237" t="s">
        <v>791</v>
      </c>
      <c r="C335" s="1237" t="s">
        <v>1813</v>
      </c>
    </row>
    <row r="336" spans="1:3">
      <c r="A336" s="1237" t="s">
        <v>486</v>
      </c>
      <c r="B336" s="1237" t="s">
        <v>792</v>
      </c>
      <c r="C336" s="1237" t="s">
        <v>1814</v>
      </c>
    </row>
    <row r="337" spans="1:3">
      <c r="A337" s="1237" t="s">
        <v>487</v>
      </c>
      <c r="B337" s="1237" t="s">
        <v>793</v>
      </c>
      <c r="C337" s="1237" t="s">
        <v>1815</v>
      </c>
    </row>
    <row r="338" spans="1:3">
      <c r="A338" s="1237" t="s">
        <v>488</v>
      </c>
      <c r="B338" s="1237" t="s">
        <v>890</v>
      </c>
      <c r="C338" s="1237" t="s">
        <v>1816</v>
      </c>
    </row>
    <row r="339" spans="1:3">
      <c r="A339" s="1237" t="s">
        <v>489</v>
      </c>
      <c r="B339" s="1237" t="s">
        <v>891</v>
      </c>
      <c r="C339" s="1237" t="s">
        <v>1817</v>
      </c>
    </row>
    <row r="340" spans="1:3">
      <c r="A340" s="1237" t="s">
        <v>490</v>
      </c>
      <c r="B340" s="1237" t="s">
        <v>892</v>
      </c>
      <c r="C340" s="1237" t="s">
        <v>1818</v>
      </c>
    </row>
    <row r="341" spans="1:3">
      <c r="A341" s="1237" t="s">
        <v>491</v>
      </c>
      <c r="B341" s="1237" t="s">
        <v>893</v>
      </c>
      <c r="C341" s="1237" t="s">
        <v>1819</v>
      </c>
    </row>
    <row r="342" spans="1:3">
      <c r="A342" s="1237" t="s">
        <v>492</v>
      </c>
      <c r="B342" s="1237" t="s">
        <v>894</v>
      </c>
      <c r="C342" s="1237" t="s">
        <v>1820</v>
      </c>
    </row>
    <row r="343" spans="1:3">
      <c r="A343" s="1237" t="s">
        <v>493</v>
      </c>
      <c r="B343" s="1237" t="s">
        <v>895</v>
      </c>
      <c r="C343" s="1237" t="s">
        <v>1821</v>
      </c>
    </row>
    <row r="344" spans="1:3">
      <c r="A344" s="1237" t="s">
        <v>494</v>
      </c>
      <c r="B344" s="1237" t="s">
        <v>896</v>
      </c>
      <c r="C344" s="1237" t="s">
        <v>1822</v>
      </c>
    </row>
    <row r="345" spans="1:3">
      <c r="A345" s="1237" t="s">
        <v>495</v>
      </c>
      <c r="B345" s="1237" t="s">
        <v>897</v>
      </c>
      <c r="C345" s="1237" t="s">
        <v>1823</v>
      </c>
    </row>
    <row r="346" spans="1:3">
      <c r="A346" s="1237" t="s">
        <v>496</v>
      </c>
      <c r="B346" s="1237" t="s">
        <v>898</v>
      </c>
      <c r="C346" s="1237" t="s">
        <v>1824</v>
      </c>
    </row>
    <row r="347" spans="1:3">
      <c r="A347" s="1237" t="s">
        <v>497</v>
      </c>
      <c r="B347" s="1237" t="s">
        <v>899</v>
      </c>
      <c r="C347" s="1237" t="s">
        <v>1825</v>
      </c>
    </row>
    <row r="348" spans="1:3">
      <c r="A348" s="1237" t="s">
        <v>498</v>
      </c>
      <c r="B348" s="1237" t="s">
        <v>900</v>
      </c>
      <c r="C348" s="1237" t="s">
        <v>1826</v>
      </c>
    </row>
    <row r="349" spans="1:3">
      <c r="A349" s="1237" t="s">
        <v>499</v>
      </c>
      <c r="B349" s="1237" t="s">
        <v>901</v>
      </c>
      <c r="C349" s="1237" t="s">
        <v>1827</v>
      </c>
    </row>
    <row r="350" spans="1:3">
      <c r="A350" s="1237" t="s">
        <v>500</v>
      </c>
      <c r="B350" s="1237" t="s">
        <v>902</v>
      </c>
      <c r="C350" s="1237" t="s">
        <v>1828</v>
      </c>
    </row>
    <row r="351" spans="1:3">
      <c r="A351" s="1237" t="s">
        <v>501</v>
      </c>
      <c r="B351" s="1237" t="s">
        <v>903</v>
      </c>
      <c r="C351" s="1237" t="s">
        <v>1829</v>
      </c>
    </row>
    <row r="352" spans="1:3">
      <c r="A352" s="1237" t="s">
        <v>502</v>
      </c>
      <c r="B352" s="1237" t="s">
        <v>904</v>
      </c>
      <c r="C352" s="1237" t="s">
        <v>1830</v>
      </c>
    </row>
    <row r="353" spans="1:3">
      <c r="A353" s="1237" t="s">
        <v>503</v>
      </c>
      <c r="B353" s="1237" t="s">
        <v>905</v>
      </c>
      <c r="C353" s="1237" t="s">
        <v>1831</v>
      </c>
    </row>
    <row r="354" spans="1:3">
      <c r="A354" s="1237" t="s">
        <v>504</v>
      </c>
      <c r="B354" s="1237" t="s">
        <v>906</v>
      </c>
      <c r="C354" s="1237" t="s">
        <v>1832</v>
      </c>
    </row>
    <row r="355" spans="1:3">
      <c r="A355" s="1237" t="s">
        <v>505</v>
      </c>
      <c r="B355" s="1237" t="s">
        <v>907</v>
      </c>
      <c r="C355" s="1237" t="s">
        <v>1833</v>
      </c>
    </row>
    <row r="356" spans="1:3">
      <c r="A356" s="1237" t="s">
        <v>506</v>
      </c>
      <c r="B356" s="1237" t="s">
        <v>908</v>
      </c>
      <c r="C356" s="1237" t="s">
        <v>1834</v>
      </c>
    </row>
    <row r="357" spans="1:3">
      <c r="A357" s="1237" t="s">
        <v>507</v>
      </c>
      <c r="B357" s="1237" t="s">
        <v>909</v>
      </c>
      <c r="C357" s="1237" t="s">
        <v>1835</v>
      </c>
    </row>
    <row r="358" spans="1:3">
      <c r="A358" s="1237" t="s">
        <v>508</v>
      </c>
      <c r="B358" s="1237" t="s">
        <v>910</v>
      </c>
      <c r="C358" s="1237" t="s">
        <v>1836</v>
      </c>
    </row>
    <row r="359" spans="1:3">
      <c r="A359" s="1237" t="s">
        <v>508</v>
      </c>
      <c r="B359" s="1237" t="s">
        <v>911</v>
      </c>
      <c r="C359" s="1237" t="s">
        <v>1836</v>
      </c>
    </row>
    <row r="360" spans="1:3">
      <c r="A360" s="1237" t="s">
        <v>509</v>
      </c>
      <c r="B360" s="1237" t="s">
        <v>912</v>
      </c>
      <c r="C360" s="1237" t="s">
        <v>1837</v>
      </c>
    </row>
    <row r="361" spans="1:3">
      <c r="A361" s="1237" t="s">
        <v>509</v>
      </c>
      <c r="B361" s="1237" t="s">
        <v>913</v>
      </c>
      <c r="C361" s="1237" t="s">
        <v>1837</v>
      </c>
    </row>
    <row r="362" spans="1:3">
      <c r="A362" s="1237" t="s">
        <v>510</v>
      </c>
      <c r="B362" s="1237" t="s">
        <v>914</v>
      </c>
      <c r="C362" s="1237" t="s">
        <v>1838</v>
      </c>
    </row>
    <row r="363" spans="1:3">
      <c r="A363" s="1237" t="s">
        <v>510</v>
      </c>
      <c r="B363" s="1237" t="s">
        <v>915</v>
      </c>
      <c r="C363" s="1237" t="s">
        <v>1838</v>
      </c>
    </row>
    <row r="364" spans="1:3">
      <c r="A364" s="1237" t="s">
        <v>511</v>
      </c>
      <c r="B364" s="1237" t="s">
        <v>916</v>
      </c>
      <c r="C364" s="1237" t="s">
        <v>1839</v>
      </c>
    </row>
    <row r="365" spans="1:3">
      <c r="A365" s="1237" t="s">
        <v>512</v>
      </c>
      <c r="B365" s="1237" t="s">
        <v>917</v>
      </c>
      <c r="C365" s="1237" t="s">
        <v>1840</v>
      </c>
    </row>
    <row r="366" spans="1:3">
      <c r="A366" s="1237" t="s">
        <v>513</v>
      </c>
      <c r="B366" s="1237" t="s">
        <v>918</v>
      </c>
      <c r="C366" s="1237" t="s">
        <v>1841</v>
      </c>
    </row>
    <row r="367" spans="1:3">
      <c r="A367" s="1237" t="s">
        <v>514</v>
      </c>
      <c r="B367" s="1237" t="s">
        <v>919</v>
      </c>
      <c r="C367" s="1237" t="s">
        <v>1842</v>
      </c>
    </row>
    <row r="368" spans="1:3">
      <c r="A368" s="1237" t="s">
        <v>515</v>
      </c>
      <c r="B368" s="1237" t="s">
        <v>920</v>
      </c>
      <c r="C368" s="1237" t="s">
        <v>1843</v>
      </c>
    </row>
    <row r="369" spans="1:3">
      <c r="A369" s="1237" t="s">
        <v>515</v>
      </c>
      <c r="B369" s="1237" t="s">
        <v>921</v>
      </c>
      <c r="C369" s="1237" t="s">
        <v>1843</v>
      </c>
    </row>
    <row r="370" spans="1:3">
      <c r="A370" s="1237" t="s">
        <v>77</v>
      </c>
      <c r="B370" s="1237" t="s">
        <v>922</v>
      </c>
      <c r="C370" s="1237" t="s">
        <v>1844</v>
      </c>
    </row>
    <row r="371" spans="1:3">
      <c r="A371" s="1237" t="s">
        <v>77</v>
      </c>
      <c r="B371" s="1237" t="s">
        <v>923</v>
      </c>
      <c r="C371" s="1237" t="s">
        <v>1844</v>
      </c>
    </row>
    <row r="372" spans="1:3">
      <c r="A372" s="1237" t="s">
        <v>78</v>
      </c>
      <c r="B372" s="1237" t="s">
        <v>924</v>
      </c>
      <c r="C372" s="1237" t="s">
        <v>1845</v>
      </c>
    </row>
    <row r="373" spans="1:3">
      <c r="A373" s="1237" t="s">
        <v>78</v>
      </c>
      <c r="B373" s="1237" t="s">
        <v>925</v>
      </c>
      <c r="C373" s="1237" t="s">
        <v>1845</v>
      </c>
    </row>
    <row r="374" spans="1:3">
      <c r="A374" s="1237" t="s">
        <v>79</v>
      </c>
      <c r="B374" s="1237" t="s">
        <v>926</v>
      </c>
      <c r="C374" s="1237" t="s">
        <v>1846</v>
      </c>
    </row>
    <row r="375" spans="1:3">
      <c r="A375" s="1237" t="s">
        <v>80</v>
      </c>
      <c r="B375" s="1237" t="s">
        <v>927</v>
      </c>
      <c r="C375" s="1237" t="s">
        <v>1847</v>
      </c>
    </row>
    <row r="376" spans="1:3">
      <c r="A376" s="1237" t="s">
        <v>81</v>
      </c>
      <c r="B376" s="1237" t="s">
        <v>928</v>
      </c>
      <c r="C376" s="1237" t="s">
        <v>1848</v>
      </c>
    </row>
    <row r="377" spans="1:3">
      <c r="A377" s="1237" t="s">
        <v>81</v>
      </c>
      <c r="B377" s="1237" t="s">
        <v>929</v>
      </c>
      <c r="C377" s="1237" t="s">
        <v>1848</v>
      </c>
    </row>
    <row r="378" spans="1:3">
      <c r="A378" s="1237" t="s">
        <v>82</v>
      </c>
      <c r="B378" s="1237" t="s">
        <v>930</v>
      </c>
      <c r="C378" s="1237" t="s">
        <v>1849</v>
      </c>
    </row>
    <row r="379" spans="1:3">
      <c r="A379" s="1237" t="s">
        <v>82</v>
      </c>
      <c r="B379" s="1237" t="s">
        <v>931</v>
      </c>
      <c r="C379" s="1237" t="s">
        <v>1849</v>
      </c>
    </row>
    <row r="380" spans="1:3">
      <c r="A380" s="1237" t="s">
        <v>83</v>
      </c>
      <c r="B380" s="1237" t="s">
        <v>932</v>
      </c>
      <c r="C380" s="1237" t="s">
        <v>1850</v>
      </c>
    </row>
    <row r="381" spans="1:3">
      <c r="A381" s="1237" t="s">
        <v>84</v>
      </c>
      <c r="B381" s="1237" t="s">
        <v>933</v>
      </c>
      <c r="C381" s="1237" t="s">
        <v>1851</v>
      </c>
    </row>
    <row r="382" spans="1:3">
      <c r="A382" s="1237" t="s">
        <v>85</v>
      </c>
      <c r="B382" s="1237" t="s">
        <v>934</v>
      </c>
      <c r="C382" s="1237" t="s">
        <v>1852</v>
      </c>
    </row>
    <row r="383" spans="1:3">
      <c r="A383" s="1237" t="s">
        <v>86</v>
      </c>
      <c r="B383" s="1237" t="s">
        <v>935</v>
      </c>
      <c r="C383" s="1237" t="s">
        <v>1853</v>
      </c>
    </row>
    <row r="384" spans="1:3">
      <c r="A384" s="1237" t="s">
        <v>86</v>
      </c>
      <c r="B384" s="1237" t="s">
        <v>936</v>
      </c>
      <c r="C384" s="1237" t="s">
        <v>1853</v>
      </c>
    </row>
    <row r="385" spans="1:3">
      <c r="A385" s="1237" t="s">
        <v>516</v>
      </c>
      <c r="B385" s="1237" t="s">
        <v>937</v>
      </c>
      <c r="C385" s="1237" t="s">
        <v>1854</v>
      </c>
    </row>
    <row r="386" spans="1:3">
      <c r="A386" s="1237" t="s">
        <v>516</v>
      </c>
      <c r="B386" s="1237" t="s">
        <v>938</v>
      </c>
      <c r="C386" s="1237" t="s">
        <v>1854</v>
      </c>
    </row>
    <row r="387" spans="1:3">
      <c r="A387" s="1237" t="s">
        <v>517</v>
      </c>
      <c r="B387" s="1237" t="s">
        <v>939</v>
      </c>
      <c r="C387" s="1237" t="s">
        <v>1855</v>
      </c>
    </row>
    <row r="388" spans="1:3">
      <c r="A388" s="1237" t="s">
        <v>517</v>
      </c>
      <c r="B388" s="1237" t="s">
        <v>940</v>
      </c>
      <c r="C388" s="1237" t="s">
        <v>1855</v>
      </c>
    </row>
    <row r="389" spans="1:3">
      <c r="A389" s="1237" t="s">
        <v>518</v>
      </c>
      <c r="B389" s="1237" t="s">
        <v>941</v>
      </c>
      <c r="C389" s="1237" t="s">
        <v>1856</v>
      </c>
    </row>
    <row r="390" spans="1:3">
      <c r="A390" s="1237" t="s">
        <v>87</v>
      </c>
      <c r="B390" s="1237" t="s">
        <v>942</v>
      </c>
      <c r="C390" s="1237" t="s">
        <v>1857</v>
      </c>
    </row>
    <row r="391" spans="1:3">
      <c r="A391" s="1237" t="s">
        <v>88</v>
      </c>
      <c r="B391" s="1237" t="s">
        <v>943</v>
      </c>
      <c r="C391" s="1237" t="s">
        <v>1858</v>
      </c>
    </row>
    <row r="392" spans="1:3">
      <c r="A392" s="1237" t="s">
        <v>89</v>
      </c>
      <c r="B392" s="1237" t="s">
        <v>944</v>
      </c>
      <c r="C392" s="1237" t="s">
        <v>1859</v>
      </c>
    </row>
    <row r="393" spans="1:3">
      <c r="A393" s="1237" t="s">
        <v>90</v>
      </c>
      <c r="B393" s="1237" t="s">
        <v>945</v>
      </c>
      <c r="C393" s="1237" t="s">
        <v>1860</v>
      </c>
    </row>
    <row r="394" spans="1:3">
      <c r="A394" s="1237" t="s">
        <v>519</v>
      </c>
      <c r="B394" s="1237" t="s">
        <v>946</v>
      </c>
      <c r="C394" s="1237" t="s">
        <v>1861</v>
      </c>
    </row>
    <row r="395" spans="1:3">
      <c r="A395" s="1237" t="s">
        <v>154</v>
      </c>
      <c r="B395" s="1237" t="s">
        <v>947</v>
      </c>
      <c r="C395" s="1237" t="s">
        <v>1862</v>
      </c>
    </row>
    <row r="396" spans="1:3">
      <c r="A396" s="1237" t="s">
        <v>520</v>
      </c>
      <c r="B396" s="1237" t="s">
        <v>948</v>
      </c>
      <c r="C396" s="1237" t="s">
        <v>1863</v>
      </c>
    </row>
    <row r="397" spans="1:3">
      <c r="A397" s="1237" t="s">
        <v>521</v>
      </c>
      <c r="B397" s="1237" t="s">
        <v>949</v>
      </c>
      <c r="C397" s="1237" t="s">
        <v>1864</v>
      </c>
    </row>
    <row r="398" spans="1:3">
      <c r="A398" s="1237" t="s">
        <v>522</v>
      </c>
      <c r="B398" s="1237" t="s">
        <v>950</v>
      </c>
      <c r="C398" s="1237" t="s">
        <v>1865</v>
      </c>
    </row>
    <row r="399" spans="1:3">
      <c r="A399" s="1237" t="s">
        <v>523</v>
      </c>
      <c r="B399" s="1237" t="s">
        <v>951</v>
      </c>
      <c r="C399" s="1237" t="s">
        <v>1866</v>
      </c>
    </row>
    <row r="400" spans="1:3">
      <c r="A400" s="1237" t="s">
        <v>524</v>
      </c>
      <c r="B400" s="1237" t="s">
        <v>952</v>
      </c>
      <c r="C400" s="1237" t="s">
        <v>1867</v>
      </c>
    </row>
    <row r="401" spans="1:3">
      <c r="A401" s="1237" t="s">
        <v>525</v>
      </c>
      <c r="B401" s="1237" t="s">
        <v>953</v>
      </c>
      <c r="C401" s="1237" t="s">
        <v>1868</v>
      </c>
    </row>
    <row r="402" spans="1:3">
      <c r="A402" s="1237" t="s">
        <v>526</v>
      </c>
      <c r="B402" s="1237" t="s">
        <v>954</v>
      </c>
      <c r="C402" s="1237" t="s">
        <v>1869</v>
      </c>
    </row>
    <row r="403" spans="1:3">
      <c r="A403" s="1237" t="s">
        <v>527</v>
      </c>
      <c r="B403" s="1237" t="s">
        <v>955</v>
      </c>
      <c r="C403" s="1237" t="s">
        <v>1870</v>
      </c>
    </row>
    <row r="404" spans="1:3">
      <c r="A404" s="1237" t="s">
        <v>528</v>
      </c>
      <c r="B404" s="1237" t="s">
        <v>956</v>
      </c>
      <c r="C404" s="1237" t="s">
        <v>1871</v>
      </c>
    </row>
    <row r="405" spans="1:3">
      <c r="A405" s="1237" t="s">
        <v>529</v>
      </c>
      <c r="B405" s="1237" t="s">
        <v>957</v>
      </c>
      <c r="C405" s="1237" t="s">
        <v>1872</v>
      </c>
    </row>
    <row r="406" spans="1:3">
      <c r="A406" s="1237" t="s">
        <v>530</v>
      </c>
      <c r="B406" s="1237" t="s">
        <v>958</v>
      </c>
      <c r="C406" s="1237" t="s">
        <v>1873</v>
      </c>
    </row>
    <row r="407" spans="1:3">
      <c r="A407" s="1237" t="s">
        <v>531</v>
      </c>
      <c r="B407" s="1237" t="s">
        <v>959</v>
      </c>
      <c r="C407" s="1237" t="s">
        <v>1874</v>
      </c>
    </row>
    <row r="408" spans="1:3">
      <c r="A408" s="1237" t="s">
        <v>532</v>
      </c>
      <c r="B408" s="1237" t="s">
        <v>960</v>
      </c>
      <c r="C408" s="1237" t="s">
        <v>1875</v>
      </c>
    </row>
    <row r="409" spans="1:3">
      <c r="A409" s="1237" t="s">
        <v>533</v>
      </c>
      <c r="B409" s="1237" t="s">
        <v>961</v>
      </c>
      <c r="C409" s="1237" t="s">
        <v>1876</v>
      </c>
    </row>
    <row r="410" spans="1:3">
      <c r="A410" s="1237" t="s">
        <v>534</v>
      </c>
      <c r="B410" s="1237" t="s">
        <v>962</v>
      </c>
      <c r="C410" s="1237" t="s">
        <v>1877</v>
      </c>
    </row>
    <row r="411" spans="1:3">
      <c r="A411" s="1237" t="s">
        <v>535</v>
      </c>
      <c r="B411" s="1237" t="s">
        <v>963</v>
      </c>
      <c r="C411" s="1237" t="s">
        <v>1878</v>
      </c>
    </row>
    <row r="412" spans="1:3">
      <c r="A412" s="1237" t="s">
        <v>536</v>
      </c>
      <c r="B412" s="1237" t="s">
        <v>964</v>
      </c>
      <c r="C412" s="1237" t="s">
        <v>1879</v>
      </c>
    </row>
    <row r="413" spans="1:3">
      <c r="A413" s="1237" t="s">
        <v>537</v>
      </c>
      <c r="B413" s="1237" t="s">
        <v>965</v>
      </c>
      <c r="C413" s="1237" t="s">
        <v>1880</v>
      </c>
    </row>
    <row r="414" spans="1:3">
      <c r="A414" s="1237" t="s">
        <v>538</v>
      </c>
      <c r="B414" s="1237" t="s">
        <v>966</v>
      </c>
      <c r="C414" s="1237" t="s">
        <v>1881</v>
      </c>
    </row>
    <row r="415" spans="1:3">
      <c r="A415" s="1237" t="s">
        <v>539</v>
      </c>
      <c r="B415" s="1237" t="s">
        <v>967</v>
      </c>
      <c r="C415" s="1237" t="s">
        <v>1882</v>
      </c>
    </row>
    <row r="416" spans="1:3">
      <c r="A416" s="1237" t="s">
        <v>540</v>
      </c>
      <c r="B416" s="1237" t="s">
        <v>968</v>
      </c>
      <c r="C416" s="1237" t="s">
        <v>1883</v>
      </c>
    </row>
    <row r="417" spans="1:3">
      <c r="A417" s="1237" t="s">
        <v>541</v>
      </c>
      <c r="B417" s="1237" t="s">
        <v>969</v>
      </c>
      <c r="C417" s="1237" t="s">
        <v>1884</v>
      </c>
    </row>
    <row r="418" spans="1:3">
      <c r="A418" s="1237" t="s">
        <v>542</v>
      </c>
      <c r="B418" s="1237" t="s">
        <v>970</v>
      </c>
      <c r="C418" s="1237" t="s">
        <v>1885</v>
      </c>
    </row>
    <row r="419" spans="1:3">
      <c r="A419" s="1237" t="s">
        <v>543</v>
      </c>
      <c r="B419" s="1237" t="s">
        <v>971</v>
      </c>
      <c r="C419" s="1237" t="s">
        <v>1886</v>
      </c>
    </row>
    <row r="420" spans="1:3">
      <c r="A420" s="1237" t="s">
        <v>544</v>
      </c>
      <c r="B420" s="1237" t="s">
        <v>972</v>
      </c>
      <c r="C420" s="1237" t="s">
        <v>1887</v>
      </c>
    </row>
    <row r="421" spans="1:3">
      <c r="A421" s="1237" t="s">
        <v>545</v>
      </c>
      <c r="B421" s="1237" t="s">
        <v>973</v>
      </c>
      <c r="C421" s="1237" t="s">
        <v>1888</v>
      </c>
    </row>
    <row r="422" spans="1:3">
      <c r="A422" s="1237" t="s">
        <v>546</v>
      </c>
      <c r="B422" s="1237" t="s">
        <v>974</v>
      </c>
      <c r="C422" s="1237" t="s">
        <v>1889</v>
      </c>
    </row>
    <row r="423" spans="1:3">
      <c r="A423" s="1237" t="s">
        <v>547</v>
      </c>
      <c r="B423" s="1237" t="s">
        <v>975</v>
      </c>
      <c r="C423" s="1237" t="s">
        <v>1890</v>
      </c>
    </row>
    <row r="424" spans="1:3">
      <c r="A424" s="1237" t="s">
        <v>548</v>
      </c>
      <c r="B424" s="1237" t="s">
        <v>976</v>
      </c>
      <c r="C424" s="1237" t="s">
        <v>1891</v>
      </c>
    </row>
    <row r="425" spans="1:3">
      <c r="A425" s="1237" t="s">
        <v>549</v>
      </c>
      <c r="B425" s="1237" t="s">
        <v>977</v>
      </c>
      <c r="C425" s="1237" t="s">
        <v>1892</v>
      </c>
    </row>
    <row r="426" spans="1:3">
      <c r="A426" s="1237" t="s">
        <v>550</v>
      </c>
      <c r="B426" s="1237" t="s">
        <v>978</v>
      </c>
      <c r="C426" s="1237" t="s">
        <v>1893</v>
      </c>
    </row>
    <row r="427" spans="1:3">
      <c r="A427" s="1237" t="s">
        <v>551</v>
      </c>
      <c r="B427" s="1237" t="s">
        <v>979</v>
      </c>
      <c r="C427" s="1237" t="s">
        <v>1894</v>
      </c>
    </row>
    <row r="428" spans="1:3">
      <c r="A428" s="1237" t="s">
        <v>552</v>
      </c>
      <c r="B428" s="1237" t="s">
        <v>980</v>
      </c>
      <c r="C428" s="1237" t="s">
        <v>1895</v>
      </c>
    </row>
    <row r="429" spans="1:3">
      <c r="A429" s="1237" t="s">
        <v>553</v>
      </c>
      <c r="B429" s="1237" t="s">
        <v>981</v>
      </c>
      <c r="C429" s="1237" t="s">
        <v>1896</v>
      </c>
    </row>
    <row r="430" spans="1:3">
      <c r="A430" s="1237" t="s">
        <v>554</v>
      </c>
      <c r="B430" s="1237" t="s">
        <v>982</v>
      </c>
      <c r="C430" s="1237" t="s">
        <v>1897</v>
      </c>
    </row>
    <row r="431" spans="1:3">
      <c r="A431" s="1237" t="s">
        <v>555</v>
      </c>
      <c r="B431" s="1237" t="s">
        <v>983</v>
      </c>
      <c r="C431" s="1237" t="s">
        <v>1898</v>
      </c>
    </row>
    <row r="432" spans="1:3">
      <c r="A432" s="1237" t="s">
        <v>556</v>
      </c>
      <c r="B432" s="1237" t="s">
        <v>984</v>
      </c>
      <c r="C432" s="1237" t="s">
        <v>1899</v>
      </c>
    </row>
    <row r="433" spans="1:3">
      <c r="A433" s="1237" t="s">
        <v>557</v>
      </c>
      <c r="B433" s="1237" t="s">
        <v>985</v>
      </c>
      <c r="C433" s="1237" t="s">
        <v>1900</v>
      </c>
    </row>
    <row r="434" spans="1:3">
      <c r="A434" s="1237" t="s">
        <v>558</v>
      </c>
      <c r="B434" s="1237" t="s">
        <v>986</v>
      </c>
      <c r="C434" s="1237" t="s">
        <v>1901</v>
      </c>
    </row>
    <row r="435" spans="1:3">
      <c r="A435" s="1237" t="s">
        <v>559</v>
      </c>
      <c r="B435" s="1237" t="s">
        <v>987</v>
      </c>
      <c r="C435" s="1237" t="s">
        <v>1902</v>
      </c>
    </row>
    <row r="436" spans="1:3" s="1239" customFormat="1">
      <c r="A436" s="1239" t="s">
        <v>1699</v>
      </c>
      <c r="B436" s="1239" t="s">
        <v>571</v>
      </c>
      <c r="C436" s="1239" t="s">
        <v>795</v>
      </c>
    </row>
    <row r="437" spans="1:3">
      <c r="A437" s="1237" t="s">
        <v>1700</v>
      </c>
      <c r="B437" s="1237" t="s">
        <v>572</v>
      </c>
      <c r="C437" s="1237" t="s">
        <v>796</v>
      </c>
    </row>
    <row r="438" spans="1:3">
      <c r="A438" s="1237" t="s">
        <v>1701</v>
      </c>
      <c r="B438" s="1237" t="s">
        <v>573</v>
      </c>
      <c r="C438" s="1237" t="s">
        <v>797</v>
      </c>
    </row>
    <row r="439" spans="1:3">
      <c r="A439" s="1237" t="s">
        <v>1702</v>
      </c>
      <c r="B439" s="1237" t="s">
        <v>574</v>
      </c>
      <c r="C439" s="1237" t="s">
        <v>798</v>
      </c>
    </row>
    <row r="440" spans="1:3">
      <c r="A440" s="1237" t="s">
        <v>1702</v>
      </c>
      <c r="B440" s="1237" t="s">
        <v>575</v>
      </c>
      <c r="C440" s="1237" t="s">
        <v>799</v>
      </c>
    </row>
    <row r="441" spans="1:3">
      <c r="A441" s="1237" t="s">
        <v>1703</v>
      </c>
      <c r="B441" s="1237" t="s">
        <v>576</v>
      </c>
      <c r="C441" s="1237" t="s">
        <v>800</v>
      </c>
    </row>
    <row r="442" spans="1:3">
      <c r="A442" s="1237" t="s">
        <v>1704</v>
      </c>
      <c r="B442" s="1237" t="s">
        <v>577</v>
      </c>
      <c r="C442" s="1237" t="s">
        <v>801</v>
      </c>
    </row>
    <row r="443" spans="1:3">
      <c r="A443" s="1237" t="s">
        <v>1705</v>
      </c>
      <c r="B443" s="1237" t="s">
        <v>578</v>
      </c>
      <c r="C443" s="1237" t="s">
        <v>802</v>
      </c>
    </row>
    <row r="444" spans="1:3">
      <c r="A444" s="1237" t="s">
        <v>1706</v>
      </c>
      <c r="B444" s="1237" t="s">
        <v>579</v>
      </c>
      <c r="C444" s="1237" t="s">
        <v>803</v>
      </c>
    </row>
    <row r="445" spans="1:3">
      <c r="A445" s="1237" t="s">
        <v>1707</v>
      </c>
      <c r="B445" s="1237" t="s">
        <v>580</v>
      </c>
      <c r="C445" s="1237" t="s">
        <v>804</v>
      </c>
    </row>
    <row r="446" spans="1:3">
      <c r="A446" s="1237" t="s">
        <v>1708</v>
      </c>
      <c r="B446" s="1237" t="s">
        <v>581</v>
      </c>
      <c r="C446" s="1237" t="s">
        <v>805</v>
      </c>
    </row>
    <row r="447" spans="1:3">
      <c r="A447" s="1237" t="s">
        <v>1709</v>
      </c>
      <c r="B447" s="1237" t="s">
        <v>582</v>
      </c>
      <c r="C447" s="1237" t="s">
        <v>806</v>
      </c>
    </row>
    <row r="448" spans="1:3">
      <c r="A448" s="1237" t="s">
        <v>1710</v>
      </c>
      <c r="B448" s="1237" t="s">
        <v>583</v>
      </c>
      <c r="C448" s="1237" t="s">
        <v>807</v>
      </c>
    </row>
    <row r="449" spans="1:3">
      <c r="A449" s="1237" t="s">
        <v>1711</v>
      </c>
      <c r="B449" s="1237" t="s">
        <v>584</v>
      </c>
      <c r="C449" s="1237" t="s">
        <v>808</v>
      </c>
    </row>
    <row r="450" spans="1:3">
      <c r="A450" s="1237" t="s">
        <v>1712</v>
      </c>
      <c r="B450" s="1237" t="s">
        <v>585</v>
      </c>
      <c r="C450" s="1237" t="s">
        <v>809</v>
      </c>
    </row>
    <row r="451" spans="1:3">
      <c r="A451" s="1237" t="s">
        <v>1713</v>
      </c>
      <c r="B451" s="1237" t="s">
        <v>586</v>
      </c>
      <c r="C451" s="1237" t="s">
        <v>810</v>
      </c>
    </row>
    <row r="452" spans="1:3">
      <c r="A452" s="1237" t="s">
        <v>1714</v>
      </c>
      <c r="B452" s="1237" t="s">
        <v>587</v>
      </c>
      <c r="C452" s="1237" t="s">
        <v>811</v>
      </c>
    </row>
    <row r="453" spans="1:3">
      <c r="A453" s="1237" t="s">
        <v>1714</v>
      </c>
      <c r="B453" s="1237" t="s">
        <v>587</v>
      </c>
      <c r="C453" s="1237" t="s">
        <v>812</v>
      </c>
    </row>
    <row r="454" spans="1:3">
      <c r="A454" s="1237" t="s">
        <v>1715</v>
      </c>
      <c r="B454" s="1237" t="s">
        <v>588</v>
      </c>
      <c r="C454" s="1237" t="s">
        <v>813</v>
      </c>
    </row>
    <row r="455" spans="1:3">
      <c r="A455" s="1237" t="s">
        <v>1716</v>
      </c>
      <c r="B455" s="1237" t="s">
        <v>589</v>
      </c>
      <c r="C455" s="1237" t="s">
        <v>814</v>
      </c>
    </row>
    <row r="456" spans="1:3">
      <c r="A456" s="1237" t="s">
        <v>1717</v>
      </c>
      <c r="B456" s="1237" t="s">
        <v>590</v>
      </c>
      <c r="C456" s="1237" t="s">
        <v>815</v>
      </c>
    </row>
    <row r="457" spans="1:3">
      <c r="A457" s="1237" t="s">
        <v>1718</v>
      </c>
      <c r="B457" s="1237" t="s">
        <v>591</v>
      </c>
      <c r="C457" s="1237" t="s">
        <v>816</v>
      </c>
    </row>
    <row r="458" spans="1:3">
      <c r="A458" s="1237" t="s">
        <v>1719</v>
      </c>
      <c r="B458" s="1237" t="s">
        <v>592</v>
      </c>
      <c r="C458" s="1237" t="s">
        <v>817</v>
      </c>
    </row>
    <row r="459" spans="1:3">
      <c r="A459" s="1237" t="s">
        <v>1720</v>
      </c>
      <c r="B459" s="1237" t="s">
        <v>593</v>
      </c>
      <c r="C459" s="1237" t="s">
        <v>818</v>
      </c>
    </row>
    <row r="460" spans="1:3">
      <c r="A460" s="1237" t="s">
        <v>1721</v>
      </c>
      <c r="B460" s="1237" t="s">
        <v>594</v>
      </c>
      <c r="C460" s="1237" t="s">
        <v>819</v>
      </c>
    </row>
    <row r="461" spans="1:3">
      <c r="A461" s="1237" t="s">
        <v>1722</v>
      </c>
      <c r="B461" s="1237" t="s">
        <v>595</v>
      </c>
      <c r="C461" s="1237" t="s">
        <v>820</v>
      </c>
    </row>
    <row r="462" spans="1:3">
      <c r="A462" s="1237" t="s">
        <v>1723</v>
      </c>
      <c r="B462" s="1237" t="s">
        <v>596</v>
      </c>
      <c r="C462" s="1237" t="s">
        <v>821</v>
      </c>
    </row>
    <row r="463" spans="1:3">
      <c r="A463" s="1237" t="s">
        <v>1724</v>
      </c>
      <c r="B463" s="1237" t="s">
        <v>597</v>
      </c>
      <c r="C463" s="1237" t="s">
        <v>822</v>
      </c>
    </row>
    <row r="464" spans="1:3">
      <c r="A464" s="1237" t="s">
        <v>1725</v>
      </c>
      <c r="B464" s="1237" t="s">
        <v>598</v>
      </c>
      <c r="C464" s="1237" t="s">
        <v>823</v>
      </c>
    </row>
    <row r="465" spans="1:3">
      <c r="A465" s="1237" t="s">
        <v>1726</v>
      </c>
      <c r="B465" s="1237" t="s">
        <v>599</v>
      </c>
      <c r="C465" s="1237" t="s">
        <v>824</v>
      </c>
    </row>
    <row r="466" spans="1:3">
      <c r="A466" s="1237" t="s">
        <v>1727</v>
      </c>
      <c r="B466" s="1237" t="s">
        <v>600</v>
      </c>
      <c r="C466" s="1237" t="s">
        <v>825</v>
      </c>
    </row>
    <row r="467" spans="1:3">
      <c r="A467" s="1237" t="s">
        <v>1728</v>
      </c>
      <c r="B467" s="1237" t="s">
        <v>601</v>
      </c>
      <c r="C467" s="1237" t="s">
        <v>826</v>
      </c>
    </row>
    <row r="468" spans="1:3">
      <c r="A468" s="1237" t="s">
        <v>1729</v>
      </c>
      <c r="B468" s="1237" t="s">
        <v>602</v>
      </c>
      <c r="C468" s="1237" t="s">
        <v>827</v>
      </c>
    </row>
    <row r="469" spans="1:3">
      <c r="A469" s="1237" t="s">
        <v>1730</v>
      </c>
      <c r="B469" s="1237" t="s">
        <v>603</v>
      </c>
      <c r="C469" s="1237" t="s">
        <v>828</v>
      </c>
    </row>
    <row r="470" spans="1:3">
      <c r="A470" s="1237" t="s">
        <v>1731</v>
      </c>
      <c r="B470" s="1237" t="s">
        <v>604</v>
      </c>
      <c r="C470" s="1237" t="s">
        <v>829</v>
      </c>
    </row>
    <row r="471" spans="1:3">
      <c r="A471" s="1237" t="s">
        <v>1732</v>
      </c>
      <c r="B471" s="1237" t="s">
        <v>605</v>
      </c>
      <c r="C471" s="1237" t="s">
        <v>830</v>
      </c>
    </row>
    <row r="472" spans="1:3">
      <c r="A472" s="1237" t="s">
        <v>1733</v>
      </c>
      <c r="B472" s="1237" t="s">
        <v>606</v>
      </c>
      <c r="C472" s="1237" t="s">
        <v>831</v>
      </c>
    </row>
    <row r="473" spans="1:3">
      <c r="A473" s="1237" t="s">
        <v>1734</v>
      </c>
      <c r="B473" s="1237" t="s">
        <v>607</v>
      </c>
      <c r="C473" s="1237" t="s">
        <v>832</v>
      </c>
    </row>
    <row r="474" spans="1:3">
      <c r="A474" s="1237" t="s">
        <v>1735</v>
      </c>
      <c r="B474" s="1237" t="s">
        <v>608</v>
      </c>
      <c r="C474" s="1237" t="s">
        <v>833</v>
      </c>
    </row>
    <row r="475" spans="1:3">
      <c r="A475" s="1237" t="s">
        <v>1736</v>
      </c>
      <c r="B475" s="1237" t="s">
        <v>609</v>
      </c>
      <c r="C475" s="1237" t="s">
        <v>834</v>
      </c>
    </row>
    <row r="476" spans="1:3">
      <c r="A476" s="1237" t="s">
        <v>1737</v>
      </c>
      <c r="B476" s="1237" t="s">
        <v>610</v>
      </c>
      <c r="C476" s="1237" t="s">
        <v>835</v>
      </c>
    </row>
    <row r="477" spans="1:3">
      <c r="A477" s="1237" t="s">
        <v>1738</v>
      </c>
      <c r="B477" s="1237" t="s">
        <v>611</v>
      </c>
      <c r="C477" s="1237" t="s">
        <v>836</v>
      </c>
    </row>
    <row r="478" spans="1:3">
      <c r="A478" s="1237" t="s">
        <v>1739</v>
      </c>
      <c r="B478" s="1237" t="s">
        <v>612</v>
      </c>
      <c r="C478" s="1237" t="s">
        <v>837</v>
      </c>
    </row>
    <row r="479" spans="1:3">
      <c r="A479" s="1237" t="s">
        <v>1740</v>
      </c>
      <c r="B479" s="1237" t="s">
        <v>613</v>
      </c>
      <c r="C479" s="1237" t="s">
        <v>838</v>
      </c>
    </row>
    <row r="480" spans="1:3">
      <c r="A480" s="1237" t="s">
        <v>1741</v>
      </c>
      <c r="B480" s="1237" t="s">
        <v>614</v>
      </c>
      <c r="C480" s="1237" t="s">
        <v>839</v>
      </c>
    </row>
    <row r="481" spans="1:3">
      <c r="A481" s="1237" t="s">
        <v>1742</v>
      </c>
      <c r="B481" s="1237" t="s">
        <v>615</v>
      </c>
      <c r="C481" s="1237" t="s">
        <v>840</v>
      </c>
    </row>
    <row r="482" spans="1:3">
      <c r="A482" s="1237" t="s">
        <v>1743</v>
      </c>
      <c r="B482" s="1237" t="s">
        <v>616</v>
      </c>
      <c r="C482" s="1237" t="s">
        <v>841</v>
      </c>
    </row>
    <row r="483" spans="1:3">
      <c r="A483" s="1237" t="s">
        <v>1744</v>
      </c>
      <c r="B483" s="1237" t="s">
        <v>617</v>
      </c>
      <c r="C483" s="1237" t="s">
        <v>842</v>
      </c>
    </row>
    <row r="484" spans="1:3">
      <c r="A484" s="1237" t="s">
        <v>1745</v>
      </c>
      <c r="B484" s="1237" t="s">
        <v>618</v>
      </c>
      <c r="C484" s="1237" t="s">
        <v>843</v>
      </c>
    </row>
    <row r="485" spans="1:3">
      <c r="A485" s="1237" t="s">
        <v>1746</v>
      </c>
      <c r="B485" s="1237" t="s">
        <v>619</v>
      </c>
      <c r="C485" s="1237" t="s">
        <v>844</v>
      </c>
    </row>
    <row r="486" spans="1:3">
      <c r="A486" s="1237" t="s">
        <v>1747</v>
      </c>
      <c r="B486" s="1237" t="s">
        <v>620</v>
      </c>
      <c r="C486" s="1237" t="s">
        <v>845</v>
      </c>
    </row>
    <row r="487" spans="1:3">
      <c r="A487" s="1237" t="s">
        <v>1748</v>
      </c>
      <c r="B487" s="1237" t="s">
        <v>621</v>
      </c>
      <c r="C487" s="1237" t="s">
        <v>846</v>
      </c>
    </row>
    <row r="488" spans="1:3">
      <c r="A488" s="1237" t="s">
        <v>1749</v>
      </c>
      <c r="B488" s="1237" t="s">
        <v>622</v>
      </c>
      <c r="C488" s="1237" t="s">
        <v>847</v>
      </c>
    </row>
    <row r="489" spans="1:3">
      <c r="A489" s="1237" t="s">
        <v>1750</v>
      </c>
      <c r="B489" s="1237" t="s">
        <v>623</v>
      </c>
      <c r="C489" s="1237" t="s">
        <v>848</v>
      </c>
    </row>
    <row r="490" spans="1:3">
      <c r="A490" s="1237" t="s">
        <v>1751</v>
      </c>
      <c r="B490" s="1237" t="s">
        <v>624</v>
      </c>
      <c r="C490" s="1237" t="s">
        <v>849</v>
      </c>
    </row>
    <row r="491" spans="1:3">
      <c r="A491" s="1237" t="s">
        <v>1752</v>
      </c>
      <c r="B491" s="1237" t="s">
        <v>625</v>
      </c>
      <c r="C491" s="1237" t="s">
        <v>850</v>
      </c>
    </row>
    <row r="492" spans="1:3">
      <c r="A492" s="1237" t="s">
        <v>1753</v>
      </c>
      <c r="B492" s="1237" t="s">
        <v>626</v>
      </c>
      <c r="C492" s="1237" t="s">
        <v>851</v>
      </c>
    </row>
    <row r="493" spans="1:3">
      <c r="A493" s="1237" t="s">
        <v>1754</v>
      </c>
      <c r="B493" s="1237" t="s">
        <v>627</v>
      </c>
      <c r="C493" s="1237" t="s">
        <v>852</v>
      </c>
    </row>
    <row r="494" spans="1:3">
      <c r="A494" s="1237" t="s">
        <v>1755</v>
      </c>
      <c r="B494" s="1237" t="s">
        <v>628</v>
      </c>
      <c r="C494" s="1237" t="s">
        <v>853</v>
      </c>
    </row>
    <row r="495" spans="1:3">
      <c r="A495" s="1237" t="s">
        <v>1756</v>
      </c>
      <c r="B495" s="1237" t="s">
        <v>629</v>
      </c>
      <c r="C495" s="1237" t="s">
        <v>854</v>
      </c>
    </row>
    <row r="496" spans="1:3">
      <c r="A496" s="1237" t="s">
        <v>1757</v>
      </c>
      <c r="B496" s="1237" t="s">
        <v>630</v>
      </c>
      <c r="C496" s="1237" t="s">
        <v>995</v>
      </c>
    </row>
    <row r="497" spans="1:3">
      <c r="A497" s="1237" t="s">
        <v>1758</v>
      </c>
      <c r="B497" s="1237" t="s">
        <v>631</v>
      </c>
      <c r="C497" s="1237" t="s">
        <v>855</v>
      </c>
    </row>
    <row r="498" spans="1:3">
      <c r="A498" s="1237" t="s">
        <v>1759</v>
      </c>
      <c r="B498" s="1237" t="s">
        <v>632</v>
      </c>
      <c r="C498" s="1237" t="s">
        <v>788</v>
      </c>
    </row>
    <row r="499" spans="1:3">
      <c r="A499" s="1237" t="s">
        <v>1760</v>
      </c>
      <c r="B499" s="1237" t="s">
        <v>633</v>
      </c>
      <c r="C499" s="1237" t="s">
        <v>996</v>
      </c>
    </row>
    <row r="500" spans="1:3">
      <c r="A500" s="1237" t="s">
        <v>1761</v>
      </c>
      <c r="B500" s="1237" t="s">
        <v>1172</v>
      </c>
      <c r="C500" s="1237" t="s">
        <v>997</v>
      </c>
    </row>
    <row r="501" spans="1:3">
      <c r="A501" s="1237" t="s">
        <v>1762</v>
      </c>
      <c r="B501" s="1237" t="s">
        <v>634</v>
      </c>
      <c r="C501" s="1237" t="s">
        <v>856</v>
      </c>
    </row>
    <row r="502" spans="1:3">
      <c r="A502" s="1237" t="s">
        <v>1763</v>
      </c>
      <c r="B502" s="1237" t="s">
        <v>635</v>
      </c>
      <c r="C502" s="1237" t="s">
        <v>998</v>
      </c>
    </row>
    <row r="503" spans="1:3">
      <c r="A503" s="1237" t="s">
        <v>1764</v>
      </c>
      <c r="B503" s="1237" t="s">
        <v>636</v>
      </c>
      <c r="C503" s="1237" t="s">
        <v>857</v>
      </c>
    </row>
    <row r="504" spans="1:3">
      <c r="A504" s="1237" t="s">
        <v>1765</v>
      </c>
      <c r="B504" s="1237" t="s">
        <v>637</v>
      </c>
      <c r="C504" s="1237" t="s">
        <v>858</v>
      </c>
    </row>
    <row r="505" spans="1:3">
      <c r="A505" s="1237" t="s">
        <v>1766</v>
      </c>
      <c r="B505" s="1237" t="s">
        <v>638</v>
      </c>
      <c r="C505" s="1237" t="s">
        <v>859</v>
      </c>
    </row>
    <row r="506" spans="1:3">
      <c r="A506" s="1237" t="s">
        <v>1767</v>
      </c>
      <c r="B506" s="1237" t="s">
        <v>639</v>
      </c>
      <c r="C506" s="1237" t="s">
        <v>999</v>
      </c>
    </row>
    <row r="507" spans="1:3">
      <c r="A507" s="1237" t="s">
        <v>1768</v>
      </c>
      <c r="B507" s="1237" t="s">
        <v>640</v>
      </c>
      <c r="C507" s="1237" t="s">
        <v>1000</v>
      </c>
    </row>
    <row r="508" spans="1:3">
      <c r="A508" s="1237" t="s">
        <v>1769</v>
      </c>
      <c r="B508" s="1237" t="s">
        <v>641</v>
      </c>
      <c r="C508" s="1237" t="s">
        <v>1001</v>
      </c>
    </row>
    <row r="509" spans="1:3">
      <c r="A509" s="1237" t="s">
        <v>1770</v>
      </c>
      <c r="B509" s="1237" t="s">
        <v>642</v>
      </c>
      <c r="C509" s="1237" t="s">
        <v>1002</v>
      </c>
    </row>
    <row r="510" spans="1:3">
      <c r="A510" s="1237" t="s">
        <v>1771</v>
      </c>
      <c r="B510" s="1237" t="s">
        <v>643</v>
      </c>
      <c r="C510" s="1237" t="s">
        <v>1003</v>
      </c>
    </row>
    <row r="511" spans="1:3">
      <c r="A511" s="1237" t="s">
        <v>1772</v>
      </c>
      <c r="B511" s="1237" t="s">
        <v>644</v>
      </c>
      <c r="C511" s="1237" t="s">
        <v>1004</v>
      </c>
    </row>
    <row r="512" spans="1:3">
      <c r="A512" s="1237" t="s">
        <v>1773</v>
      </c>
      <c r="B512" s="1237" t="s">
        <v>1173</v>
      </c>
      <c r="C512" s="1237" t="s">
        <v>1005</v>
      </c>
    </row>
    <row r="513" spans="1:3">
      <c r="A513" s="1237" t="s">
        <v>1774</v>
      </c>
      <c r="B513" s="1237" t="s">
        <v>1174</v>
      </c>
      <c r="C513" s="1237" t="s">
        <v>1006</v>
      </c>
    </row>
    <row r="514" spans="1:3">
      <c r="A514" s="1237" t="s">
        <v>1775</v>
      </c>
      <c r="B514" s="1237" t="s">
        <v>1175</v>
      </c>
      <c r="C514" s="1237" t="s">
        <v>1007</v>
      </c>
    </row>
    <row r="515" spans="1:3">
      <c r="A515" s="1237" t="s">
        <v>1776</v>
      </c>
      <c r="B515" s="1237" t="s">
        <v>1191</v>
      </c>
      <c r="C515" s="1237" t="s">
        <v>1184</v>
      </c>
    </row>
    <row r="516" spans="1:3">
      <c r="A516" s="1237" t="s">
        <v>1777</v>
      </c>
      <c r="B516" s="1237" t="s">
        <v>1177</v>
      </c>
      <c r="C516" s="1237" t="s">
        <v>1010</v>
      </c>
    </row>
    <row r="517" spans="1:3">
      <c r="A517" s="1237" t="s">
        <v>1778</v>
      </c>
      <c r="B517" s="1237" t="s">
        <v>1178</v>
      </c>
      <c r="C517" s="1237" t="s">
        <v>1011</v>
      </c>
    </row>
    <row r="518" spans="1:3">
      <c r="A518" s="1237" t="s">
        <v>1779</v>
      </c>
      <c r="B518" s="1237" t="s">
        <v>1179</v>
      </c>
      <c r="C518" s="1237" t="s">
        <v>1162</v>
      </c>
    </row>
    <row r="519" spans="1:3">
      <c r="A519" s="1237" t="s">
        <v>1780</v>
      </c>
      <c r="B519" s="1237" t="s">
        <v>1192</v>
      </c>
      <c r="C519" s="1237" t="s">
        <v>1186</v>
      </c>
    </row>
    <row r="520" spans="1:3">
      <c r="A520" s="1237" t="s">
        <v>1781</v>
      </c>
      <c r="B520" s="1237" t="s">
        <v>453</v>
      </c>
      <c r="C520" s="1237" t="s">
        <v>860</v>
      </c>
    </row>
    <row r="521" spans="1:3">
      <c r="A521" s="1237" t="s">
        <v>1782</v>
      </c>
      <c r="B521" s="1237" t="s">
        <v>454</v>
      </c>
      <c r="C521" s="1237" t="s">
        <v>861</v>
      </c>
    </row>
    <row r="522" spans="1:3">
      <c r="A522" s="1237" t="s">
        <v>1783</v>
      </c>
      <c r="B522" s="1237" t="s">
        <v>455</v>
      </c>
      <c r="C522" s="1237" t="s">
        <v>862</v>
      </c>
    </row>
    <row r="523" spans="1:3">
      <c r="A523" s="1237" t="s">
        <v>1784</v>
      </c>
      <c r="B523" s="1237" t="s">
        <v>456</v>
      </c>
      <c r="C523" s="1237" t="s">
        <v>863</v>
      </c>
    </row>
    <row r="524" spans="1:3">
      <c r="A524" s="1237" t="s">
        <v>1785</v>
      </c>
      <c r="B524" s="1237" t="s">
        <v>457</v>
      </c>
      <c r="C524" s="1237" t="s">
        <v>864</v>
      </c>
    </row>
    <row r="525" spans="1:3">
      <c r="A525" s="1237" t="s">
        <v>1786</v>
      </c>
      <c r="B525" s="1237" t="s">
        <v>458</v>
      </c>
      <c r="C525" s="1237" t="s">
        <v>865</v>
      </c>
    </row>
    <row r="526" spans="1:3">
      <c r="A526" s="1237" t="s">
        <v>1787</v>
      </c>
      <c r="B526" s="1237" t="s">
        <v>459</v>
      </c>
      <c r="C526" s="1237" t="s">
        <v>866</v>
      </c>
    </row>
    <row r="527" spans="1:3">
      <c r="A527" s="1237" t="s">
        <v>1788</v>
      </c>
      <c r="B527" s="1237" t="s">
        <v>460</v>
      </c>
      <c r="C527" s="1237" t="s">
        <v>867</v>
      </c>
    </row>
    <row r="528" spans="1:3">
      <c r="A528" s="1237" t="s">
        <v>1789</v>
      </c>
      <c r="B528" s="1237" t="s">
        <v>461</v>
      </c>
      <c r="C528" s="1237" t="s">
        <v>868</v>
      </c>
    </row>
    <row r="529" spans="1:3">
      <c r="A529" s="1237" t="s">
        <v>1790</v>
      </c>
      <c r="B529" s="1237" t="s">
        <v>462</v>
      </c>
      <c r="C529" s="1237" t="s">
        <v>869</v>
      </c>
    </row>
    <row r="530" spans="1:3">
      <c r="A530" s="1237" t="s">
        <v>1791</v>
      </c>
      <c r="B530" s="1237" t="s">
        <v>463</v>
      </c>
      <c r="C530" s="1237" t="s">
        <v>870</v>
      </c>
    </row>
    <row r="531" spans="1:3">
      <c r="A531" s="1237" t="s">
        <v>1792</v>
      </c>
      <c r="B531" s="1237" t="s">
        <v>464</v>
      </c>
      <c r="C531" s="1237" t="s">
        <v>871</v>
      </c>
    </row>
    <row r="532" spans="1:3">
      <c r="A532" s="1237" t="s">
        <v>1793</v>
      </c>
      <c r="B532" s="1237" t="s">
        <v>465</v>
      </c>
      <c r="C532" s="1237" t="s">
        <v>872</v>
      </c>
    </row>
    <row r="533" spans="1:3">
      <c r="A533" s="1237" t="s">
        <v>1794</v>
      </c>
      <c r="B533" s="1237" t="s">
        <v>466</v>
      </c>
      <c r="C533" s="1237" t="s">
        <v>873</v>
      </c>
    </row>
    <row r="534" spans="1:3">
      <c r="A534" s="1237" t="s">
        <v>1795</v>
      </c>
      <c r="B534" s="1237" t="s">
        <v>467</v>
      </c>
      <c r="C534" s="1237" t="s">
        <v>874</v>
      </c>
    </row>
    <row r="535" spans="1:3">
      <c r="A535" s="1237" t="s">
        <v>1796</v>
      </c>
      <c r="B535" s="1237" t="s">
        <v>468</v>
      </c>
      <c r="C535" s="1237" t="s">
        <v>875</v>
      </c>
    </row>
    <row r="536" spans="1:3">
      <c r="A536" s="1237" t="s">
        <v>1797</v>
      </c>
      <c r="B536" s="1237" t="s">
        <v>469</v>
      </c>
      <c r="C536" s="1237" t="s">
        <v>876</v>
      </c>
    </row>
    <row r="537" spans="1:3">
      <c r="A537" s="1237" t="s">
        <v>1798</v>
      </c>
      <c r="B537" s="1237" t="s">
        <v>470</v>
      </c>
      <c r="C537" s="1237" t="s">
        <v>877</v>
      </c>
    </row>
    <row r="538" spans="1:3">
      <c r="A538" s="1237" t="s">
        <v>1799</v>
      </c>
      <c r="B538" s="1237" t="s">
        <v>471</v>
      </c>
      <c r="C538" s="1237" t="s">
        <v>878</v>
      </c>
    </row>
    <row r="539" spans="1:3">
      <c r="A539" s="1237" t="s">
        <v>1800</v>
      </c>
      <c r="B539" s="1237" t="s">
        <v>472</v>
      </c>
      <c r="C539" s="1237" t="s">
        <v>879</v>
      </c>
    </row>
    <row r="540" spans="1:3">
      <c r="A540" s="1237" t="s">
        <v>1801</v>
      </c>
      <c r="B540" s="1237" t="s">
        <v>473</v>
      </c>
      <c r="C540" s="1237" t="s">
        <v>880</v>
      </c>
    </row>
    <row r="541" spans="1:3">
      <c r="A541" s="1237" t="s">
        <v>1802</v>
      </c>
      <c r="B541" s="1237" t="s">
        <v>474</v>
      </c>
      <c r="C541" s="1237" t="s">
        <v>881</v>
      </c>
    </row>
    <row r="542" spans="1:3">
      <c r="A542" s="1237" t="s">
        <v>1803</v>
      </c>
      <c r="B542" s="1237" t="s">
        <v>475</v>
      </c>
      <c r="C542" s="1237" t="s">
        <v>882</v>
      </c>
    </row>
    <row r="543" spans="1:3">
      <c r="A543" s="1237" t="s">
        <v>1804</v>
      </c>
      <c r="B543" s="1237" t="s">
        <v>476</v>
      </c>
      <c r="C543" s="1237" t="s">
        <v>883</v>
      </c>
    </row>
    <row r="544" spans="1:3">
      <c r="A544" s="1237" t="s">
        <v>1805</v>
      </c>
      <c r="B544" s="1237" t="s">
        <v>477</v>
      </c>
      <c r="C544" s="1237" t="s">
        <v>884</v>
      </c>
    </row>
    <row r="545" spans="1:3">
      <c r="A545" s="1237" t="s">
        <v>1806</v>
      </c>
      <c r="B545" s="1237" t="s">
        <v>478</v>
      </c>
      <c r="C545" s="1237" t="s">
        <v>885</v>
      </c>
    </row>
    <row r="546" spans="1:3">
      <c r="A546" s="1237" t="s">
        <v>1807</v>
      </c>
      <c r="B546" s="1237" t="s">
        <v>479</v>
      </c>
      <c r="C546" s="1237" t="s">
        <v>789</v>
      </c>
    </row>
    <row r="547" spans="1:3">
      <c r="A547" s="1237" t="s">
        <v>1808</v>
      </c>
      <c r="B547" s="1237" t="s">
        <v>480</v>
      </c>
      <c r="C547" s="1237" t="s">
        <v>886</v>
      </c>
    </row>
    <row r="548" spans="1:3">
      <c r="A548" s="1237" t="s">
        <v>1809</v>
      </c>
      <c r="B548" s="1237" t="s">
        <v>481</v>
      </c>
      <c r="C548" s="1237" t="s">
        <v>887</v>
      </c>
    </row>
    <row r="549" spans="1:3">
      <c r="A549" s="1237" t="s">
        <v>1810</v>
      </c>
      <c r="B549" s="1237" t="s">
        <v>482</v>
      </c>
      <c r="C549" s="1237" t="s">
        <v>888</v>
      </c>
    </row>
    <row r="550" spans="1:3">
      <c r="A550" s="1237" t="s">
        <v>1811</v>
      </c>
      <c r="B550" s="1237" t="s">
        <v>483</v>
      </c>
      <c r="C550" s="1237" t="s">
        <v>790</v>
      </c>
    </row>
    <row r="551" spans="1:3">
      <c r="A551" s="1237" t="s">
        <v>1812</v>
      </c>
      <c r="B551" s="1237" t="s">
        <v>484</v>
      </c>
      <c r="C551" s="1237" t="s">
        <v>889</v>
      </c>
    </row>
    <row r="552" spans="1:3">
      <c r="A552" s="1237" t="s">
        <v>1813</v>
      </c>
      <c r="B552" s="1237" t="s">
        <v>485</v>
      </c>
      <c r="C552" s="1237" t="s">
        <v>791</v>
      </c>
    </row>
    <row r="553" spans="1:3">
      <c r="A553" s="1237" t="s">
        <v>1814</v>
      </c>
      <c r="B553" s="1237" t="s">
        <v>486</v>
      </c>
      <c r="C553" s="1237" t="s">
        <v>792</v>
      </c>
    </row>
    <row r="554" spans="1:3">
      <c r="A554" s="1237" t="s">
        <v>1815</v>
      </c>
      <c r="B554" s="1237" t="s">
        <v>487</v>
      </c>
      <c r="C554" s="1237" t="s">
        <v>793</v>
      </c>
    </row>
    <row r="555" spans="1:3">
      <c r="A555" s="1237" t="s">
        <v>1816</v>
      </c>
      <c r="B555" s="1237" t="s">
        <v>488</v>
      </c>
      <c r="C555" s="1237" t="s">
        <v>890</v>
      </c>
    </row>
    <row r="556" spans="1:3">
      <c r="A556" s="1237" t="s">
        <v>1817</v>
      </c>
      <c r="B556" s="1237" t="s">
        <v>489</v>
      </c>
      <c r="C556" s="1237" t="s">
        <v>891</v>
      </c>
    </row>
    <row r="557" spans="1:3">
      <c r="A557" s="1237" t="s">
        <v>1818</v>
      </c>
      <c r="B557" s="1237" t="s">
        <v>490</v>
      </c>
      <c r="C557" s="1237" t="s">
        <v>892</v>
      </c>
    </row>
    <row r="558" spans="1:3">
      <c r="A558" s="1237" t="s">
        <v>1819</v>
      </c>
      <c r="B558" s="1237" t="s">
        <v>491</v>
      </c>
      <c r="C558" s="1237" t="s">
        <v>893</v>
      </c>
    </row>
    <row r="559" spans="1:3">
      <c r="A559" s="1237" t="s">
        <v>1820</v>
      </c>
      <c r="B559" s="1237" t="s">
        <v>492</v>
      </c>
      <c r="C559" s="1237" t="s">
        <v>894</v>
      </c>
    </row>
    <row r="560" spans="1:3">
      <c r="A560" s="1237" t="s">
        <v>1821</v>
      </c>
      <c r="B560" s="1237" t="s">
        <v>493</v>
      </c>
      <c r="C560" s="1237" t="s">
        <v>895</v>
      </c>
    </row>
    <row r="561" spans="1:3">
      <c r="A561" s="1237" t="s">
        <v>1822</v>
      </c>
      <c r="B561" s="1237" t="s">
        <v>494</v>
      </c>
      <c r="C561" s="1237" t="s">
        <v>896</v>
      </c>
    </row>
    <row r="562" spans="1:3">
      <c r="A562" s="1237" t="s">
        <v>1823</v>
      </c>
      <c r="B562" s="1237" t="s">
        <v>495</v>
      </c>
      <c r="C562" s="1237" t="s">
        <v>897</v>
      </c>
    </row>
    <row r="563" spans="1:3">
      <c r="A563" s="1237" t="s">
        <v>1824</v>
      </c>
      <c r="B563" s="1237" t="s">
        <v>496</v>
      </c>
      <c r="C563" s="1237" t="s">
        <v>898</v>
      </c>
    </row>
    <row r="564" spans="1:3">
      <c r="A564" s="1237" t="s">
        <v>1825</v>
      </c>
      <c r="B564" s="1237" t="s">
        <v>497</v>
      </c>
      <c r="C564" s="1237" t="s">
        <v>899</v>
      </c>
    </row>
    <row r="565" spans="1:3">
      <c r="A565" s="1237" t="s">
        <v>1826</v>
      </c>
      <c r="B565" s="1237" t="s">
        <v>498</v>
      </c>
      <c r="C565" s="1237" t="s">
        <v>900</v>
      </c>
    </row>
    <row r="566" spans="1:3">
      <c r="A566" s="1237" t="s">
        <v>1827</v>
      </c>
      <c r="B566" s="1237" t="s">
        <v>499</v>
      </c>
      <c r="C566" s="1237" t="s">
        <v>901</v>
      </c>
    </row>
    <row r="567" spans="1:3">
      <c r="A567" s="1237" t="s">
        <v>1828</v>
      </c>
      <c r="B567" s="1237" t="s">
        <v>500</v>
      </c>
      <c r="C567" s="1237" t="s">
        <v>902</v>
      </c>
    </row>
    <row r="568" spans="1:3">
      <c r="A568" s="1237" t="s">
        <v>1829</v>
      </c>
      <c r="B568" s="1237" t="s">
        <v>501</v>
      </c>
      <c r="C568" s="1237" t="s">
        <v>903</v>
      </c>
    </row>
    <row r="569" spans="1:3">
      <c r="A569" s="1237" t="s">
        <v>1830</v>
      </c>
      <c r="B569" s="1237" t="s">
        <v>502</v>
      </c>
      <c r="C569" s="1237" t="s">
        <v>904</v>
      </c>
    </row>
    <row r="570" spans="1:3">
      <c r="A570" s="1237" t="s">
        <v>1831</v>
      </c>
      <c r="B570" s="1237" t="s">
        <v>503</v>
      </c>
      <c r="C570" s="1237" t="s">
        <v>905</v>
      </c>
    </row>
    <row r="571" spans="1:3">
      <c r="A571" s="1237" t="s">
        <v>1832</v>
      </c>
      <c r="B571" s="1237" t="s">
        <v>504</v>
      </c>
      <c r="C571" s="1237" t="s">
        <v>906</v>
      </c>
    </row>
    <row r="572" spans="1:3">
      <c r="A572" s="1237" t="s">
        <v>1833</v>
      </c>
      <c r="B572" s="1237" t="s">
        <v>505</v>
      </c>
      <c r="C572" s="1237" t="s">
        <v>907</v>
      </c>
    </row>
    <row r="573" spans="1:3">
      <c r="A573" s="1237" t="s">
        <v>1834</v>
      </c>
      <c r="B573" s="1237" t="s">
        <v>506</v>
      </c>
      <c r="C573" s="1237" t="s">
        <v>908</v>
      </c>
    </row>
    <row r="574" spans="1:3">
      <c r="A574" s="1237" t="s">
        <v>1835</v>
      </c>
      <c r="B574" s="1237" t="s">
        <v>507</v>
      </c>
      <c r="C574" s="1237" t="s">
        <v>909</v>
      </c>
    </row>
    <row r="575" spans="1:3">
      <c r="A575" s="1237" t="s">
        <v>1836</v>
      </c>
      <c r="B575" s="1237" t="s">
        <v>508</v>
      </c>
      <c r="C575" s="1237" t="s">
        <v>910</v>
      </c>
    </row>
    <row r="576" spans="1:3">
      <c r="A576" s="1237" t="s">
        <v>1836</v>
      </c>
      <c r="B576" s="1237" t="s">
        <v>508</v>
      </c>
      <c r="C576" s="1237" t="s">
        <v>911</v>
      </c>
    </row>
    <row r="577" spans="1:3">
      <c r="A577" s="1237" t="s">
        <v>1837</v>
      </c>
      <c r="B577" s="1237" t="s">
        <v>509</v>
      </c>
      <c r="C577" s="1237" t="s">
        <v>912</v>
      </c>
    </row>
    <row r="578" spans="1:3">
      <c r="A578" s="1237" t="s">
        <v>1837</v>
      </c>
      <c r="B578" s="1237" t="s">
        <v>509</v>
      </c>
      <c r="C578" s="1237" t="s">
        <v>913</v>
      </c>
    </row>
    <row r="579" spans="1:3">
      <c r="A579" s="1237" t="s">
        <v>1838</v>
      </c>
      <c r="B579" s="1237" t="s">
        <v>510</v>
      </c>
      <c r="C579" s="1237" t="s">
        <v>914</v>
      </c>
    </row>
    <row r="580" spans="1:3">
      <c r="A580" s="1237" t="s">
        <v>1838</v>
      </c>
      <c r="B580" s="1237" t="s">
        <v>510</v>
      </c>
      <c r="C580" s="1237" t="s">
        <v>915</v>
      </c>
    </row>
    <row r="581" spans="1:3">
      <c r="A581" s="1237" t="s">
        <v>1839</v>
      </c>
      <c r="B581" s="1237" t="s">
        <v>511</v>
      </c>
      <c r="C581" s="1237" t="s">
        <v>916</v>
      </c>
    </row>
    <row r="582" spans="1:3">
      <c r="A582" s="1237" t="s">
        <v>1840</v>
      </c>
      <c r="B582" s="1237" t="s">
        <v>512</v>
      </c>
      <c r="C582" s="1237" t="s">
        <v>917</v>
      </c>
    </row>
    <row r="583" spans="1:3">
      <c r="A583" s="1237" t="s">
        <v>1841</v>
      </c>
      <c r="B583" s="1237" t="s">
        <v>513</v>
      </c>
      <c r="C583" s="1237" t="s">
        <v>918</v>
      </c>
    </row>
    <row r="584" spans="1:3">
      <c r="A584" s="1237" t="s">
        <v>1842</v>
      </c>
      <c r="B584" s="1237" t="s">
        <v>514</v>
      </c>
      <c r="C584" s="1237" t="s">
        <v>919</v>
      </c>
    </row>
    <row r="585" spans="1:3">
      <c r="A585" s="1237" t="s">
        <v>1843</v>
      </c>
      <c r="B585" s="1237" t="s">
        <v>515</v>
      </c>
      <c r="C585" s="1237" t="s">
        <v>920</v>
      </c>
    </row>
    <row r="586" spans="1:3">
      <c r="A586" s="1237" t="s">
        <v>1843</v>
      </c>
      <c r="B586" s="1237" t="s">
        <v>515</v>
      </c>
      <c r="C586" s="1237" t="s">
        <v>921</v>
      </c>
    </row>
    <row r="587" spans="1:3">
      <c r="A587" s="1237" t="s">
        <v>1844</v>
      </c>
      <c r="B587" s="1237" t="s">
        <v>77</v>
      </c>
      <c r="C587" s="1237" t="s">
        <v>922</v>
      </c>
    </row>
    <row r="588" spans="1:3">
      <c r="A588" s="1237" t="s">
        <v>1844</v>
      </c>
      <c r="B588" s="1237" t="s">
        <v>77</v>
      </c>
      <c r="C588" s="1237" t="s">
        <v>923</v>
      </c>
    </row>
    <row r="589" spans="1:3">
      <c r="A589" s="1237" t="s">
        <v>1845</v>
      </c>
      <c r="B589" s="1237" t="s">
        <v>78</v>
      </c>
      <c r="C589" s="1237" t="s">
        <v>924</v>
      </c>
    </row>
    <row r="590" spans="1:3">
      <c r="A590" s="1237" t="s">
        <v>1845</v>
      </c>
      <c r="B590" s="1237" t="s">
        <v>78</v>
      </c>
      <c r="C590" s="1237" t="s">
        <v>925</v>
      </c>
    </row>
    <row r="591" spans="1:3">
      <c r="A591" s="1237" t="s">
        <v>1846</v>
      </c>
      <c r="B591" s="1237" t="s">
        <v>79</v>
      </c>
      <c r="C591" s="1237" t="s">
        <v>926</v>
      </c>
    </row>
    <row r="592" spans="1:3">
      <c r="A592" s="1237" t="s">
        <v>1847</v>
      </c>
      <c r="B592" s="1237" t="s">
        <v>80</v>
      </c>
      <c r="C592" s="1237" t="s">
        <v>927</v>
      </c>
    </row>
    <row r="593" spans="1:3">
      <c r="A593" s="1237" t="s">
        <v>1848</v>
      </c>
      <c r="B593" s="1237" t="s">
        <v>81</v>
      </c>
      <c r="C593" s="1237" t="s">
        <v>928</v>
      </c>
    </row>
    <row r="594" spans="1:3">
      <c r="A594" s="1237" t="s">
        <v>1848</v>
      </c>
      <c r="B594" s="1237" t="s">
        <v>81</v>
      </c>
      <c r="C594" s="1237" t="s">
        <v>929</v>
      </c>
    </row>
    <row r="595" spans="1:3">
      <c r="A595" s="1237" t="s">
        <v>1849</v>
      </c>
      <c r="B595" s="1237" t="s">
        <v>82</v>
      </c>
      <c r="C595" s="1237" t="s">
        <v>930</v>
      </c>
    </row>
    <row r="596" spans="1:3">
      <c r="A596" s="1237" t="s">
        <v>1849</v>
      </c>
      <c r="B596" s="1237" t="s">
        <v>82</v>
      </c>
      <c r="C596" s="1237" t="s">
        <v>931</v>
      </c>
    </row>
    <row r="597" spans="1:3">
      <c r="A597" s="1237" t="s">
        <v>1850</v>
      </c>
      <c r="B597" s="1237" t="s">
        <v>83</v>
      </c>
      <c r="C597" s="1237" t="s">
        <v>932</v>
      </c>
    </row>
    <row r="598" spans="1:3">
      <c r="A598" s="1237" t="s">
        <v>1851</v>
      </c>
      <c r="B598" s="1237" t="s">
        <v>84</v>
      </c>
      <c r="C598" s="1237" t="s">
        <v>933</v>
      </c>
    </row>
    <row r="599" spans="1:3">
      <c r="A599" s="1237" t="s">
        <v>1852</v>
      </c>
      <c r="B599" s="1237" t="s">
        <v>85</v>
      </c>
      <c r="C599" s="1237" t="s">
        <v>934</v>
      </c>
    </row>
    <row r="600" spans="1:3">
      <c r="A600" s="1237" t="s">
        <v>1853</v>
      </c>
      <c r="B600" s="1237" t="s">
        <v>86</v>
      </c>
      <c r="C600" s="1237" t="s">
        <v>935</v>
      </c>
    </row>
    <row r="601" spans="1:3">
      <c r="A601" s="1237" t="s">
        <v>1853</v>
      </c>
      <c r="B601" s="1237" t="s">
        <v>86</v>
      </c>
      <c r="C601" s="1237" t="s">
        <v>936</v>
      </c>
    </row>
    <row r="602" spans="1:3">
      <c r="A602" s="1237" t="s">
        <v>1854</v>
      </c>
      <c r="B602" s="1237" t="s">
        <v>516</v>
      </c>
      <c r="C602" s="1237" t="s">
        <v>937</v>
      </c>
    </row>
    <row r="603" spans="1:3">
      <c r="A603" s="1237" t="s">
        <v>1854</v>
      </c>
      <c r="B603" s="1237" t="s">
        <v>516</v>
      </c>
      <c r="C603" s="1237" t="s">
        <v>938</v>
      </c>
    </row>
    <row r="604" spans="1:3">
      <c r="A604" s="1237" t="s">
        <v>1855</v>
      </c>
      <c r="B604" s="1237" t="s">
        <v>517</v>
      </c>
      <c r="C604" s="1237" t="s">
        <v>939</v>
      </c>
    </row>
    <row r="605" spans="1:3">
      <c r="A605" s="1237" t="s">
        <v>1855</v>
      </c>
      <c r="B605" s="1237" t="s">
        <v>517</v>
      </c>
      <c r="C605" s="1237" t="s">
        <v>940</v>
      </c>
    </row>
    <row r="606" spans="1:3">
      <c r="A606" s="1237" t="s">
        <v>1856</v>
      </c>
      <c r="B606" s="1237" t="s">
        <v>518</v>
      </c>
      <c r="C606" s="1237" t="s">
        <v>941</v>
      </c>
    </row>
    <row r="607" spans="1:3">
      <c r="A607" s="1237" t="s">
        <v>1857</v>
      </c>
      <c r="B607" s="1237" t="s">
        <v>87</v>
      </c>
      <c r="C607" s="1237" t="s">
        <v>942</v>
      </c>
    </row>
    <row r="608" spans="1:3">
      <c r="A608" s="1237" t="s">
        <v>1858</v>
      </c>
      <c r="B608" s="1237" t="s">
        <v>88</v>
      </c>
      <c r="C608" s="1237" t="s">
        <v>943</v>
      </c>
    </row>
    <row r="609" spans="1:3">
      <c r="A609" s="1237" t="s">
        <v>1859</v>
      </c>
      <c r="B609" s="1237" t="s">
        <v>89</v>
      </c>
      <c r="C609" s="1237" t="s">
        <v>944</v>
      </c>
    </row>
    <row r="610" spans="1:3">
      <c r="A610" s="1237" t="s">
        <v>1860</v>
      </c>
      <c r="B610" s="1237" t="s">
        <v>90</v>
      </c>
      <c r="C610" s="1237" t="s">
        <v>945</v>
      </c>
    </row>
    <row r="611" spans="1:3">
      <c r="A611" s="1237" t="s">
        <v>1861</v>
      </c>
      <c r="B611" s="1237" t="s">
        <v>519</v>
      </c>
      <c r="C611" s="1237" t="s">
        <v>946</v>
      </c>
    </row>
    <row r="612" spans="1:3">
      <c r="A612" s="1237" t="s">
        <v>1862</v>
      </c>
      <c r="B612" s="1237" t="s">
        <v>154</v>
      </c>
      <c r="C612" s="1237" t="s">
        <v>947</v>
      </c>
    </row>
    <row r="613" spans="1:3">
      <c r="A613" s="1237" t="s">
        <v>1863</v>
      </c>
      <c r="B613" s="1237" t="s">
        <v>520</v>
      </c>
      <c r="C613" s="1237" t="s">
        <v>948</v>
      </c>
    </row>
    <row r="614" spans="1:3">
      <c r="A614" s="1237" t="s">
        <v>1864</v>
      </c>
      <c r="B614" s="1237" t="s">
        <v>521</v>
      </c>
      <c r="C614" s="1237" t="s">
        <v>949</v>
      </c>
    </row>
    <row r="615" spans="1:3">
      <c r="A615" s="1237" t="s">
        <v>1865</v>
      </c>
      <c r="B615" s="1237" t="s">
        <v>522</v>
      </c>
      <c r="C615" s="1237" t="s">
        <v>950</v>
      </c>
    </row>
    <row r="616" spans="1:3">
      <c r="A616" s="1237" t="s">
        <v>1866</v>
      </c>
      <c r="B616" s="1237" t="s">
        <v>523</v>
      </c>
      <c r="C616" s="1237" t="s">
        <v>951</v>
      </c>
    </row>
    <row r="617" spans="1:3">
      <c r="A617" s="1237" t="s">
        <v>1867</v>
      </c>
      <c r="B617" s="1237" t="s">
        <v>524</v>
      </c>
      <c r="C617" s="1237" t="s">
        <v>952</v>
      </c>
    </row>
    <row r="618" spans="1:3">
      <c r="A618" s="1237" t="s">
        <v>1868</v>
      </c>
      <c r="B618" s="1237" t="s">
        <v>525</v>
      </c>
      <c r="C618" s="1237" t="s">
        <v>953</v>
      </c>
    </row>
    <row r="619" spans="1:3">
      <c r="A619" s="1237" t="s">
        <v>1869</v>
      </c>
      <c r="B619" s="1237" t="s">
        <v>526</v>
      </c>
      <c r="C619" s="1237" t="s">
        <v>954</v>
      </c>
    </row>
    <row r="620" spans="1:3">
      <c r="A620" s="1237" t="s">
        <v>1870</v>
      </c>
      <c r="B620" s="1237" t="s">
        <v>527</v>
      </c>
      <c r="C620" s="1237" t="s">
        <v>955</v>
      </c>
    </row>
    <row r="621" spans="1:3">
      <c r="A621" s="1237" t="s">
        <v>1871</v>
      </c>
      <c r="B621" s="1237" t="s">
        <v>528</v>
      </c>
      <c r="C621" s="1237" t="s">
        <v>956</v>
      </c>
    </row>
    <row r="622" spans="1:3">
      <c r="A622" s="1237" t="s">
        <v>1872</v>
      </c>
      <c r="B622" s="1237" t="s">
        <v>529</v>
      </c>
      <c r="C622" s="1237" t="s">
        <v>957</v>
      </c>
    </row>
    <row r="623" spans="1:3">
      <c r="A623" s="1237" t="s">
        <v>1873</v>
      </c>
      <c r="B623" s="1237" t="s">
        <v>530</v>
      </c>
      <c r="C623" s="1237" t="s">
        <v>958</v>
      </c>
    </row>
    <row r="624" spans="1:3">
      <c r="A624" s="1237" t="s">
        <v>1874</v>
      </c>
      <c r="B624" s="1237" t="s">
        <v>531</v>
      </c>
      <c r="C624" s="1237" t="s">
        <v>959</v>
      </c>
    </row>
    <row r="625" spans="1:3">
      <c r="A625" s="1237" t="s">
        <v>1875</v>
      </c>
      <c r="B625" s="1237" t="s">
        <v>532</v>
      </c>
      <c r="C625" s="1237" t="s">
        <v>960</v>
      </c>
    </row>
    <row r="626" spans="1:3">
      <c r="A626" s="1237" t="s">
        <v>1876</v>
      </c>
      <c r="B626" s="1237" t="s">
        <v>533</v>
      </c>
      <c r="C626" s="1237" t="s">
        <v>961</v>
      </c>
    </row>
    <row r="627" spans="1:3">
      <c r="A627" s="1237" t="s">
        <v>1877</v>
      </c>
      <c r="B627" s="1237" t="s">
        <v>534</v>
      </c>
      <c r="C627" s="1237" t="s">
        <v>962</v>
      </c>
    </row>
    <row r="628" spans="1:3">
      <c r="A628" s="1237" t="s">
        <v>1878</v>
      </c>
      <c r="B628" s="1237" t="s">
        <v>535</v>
      </c>
      <c r="C628" s="1237" t="s">
        <v>963</v>
      </c>
    </row>
    <row r="629" spans="1:3">
      <c r="A629" s="1237" t="s">
        <v>1879</v>
      </c>
      <c r="B629" s="1237" t="s">
        <v>536</v>
      </c>
      <c r="C629" s="1237" t="s">
        <v>964</v>
      </c>
    </row>
    <row r="630" spans="1:3">
      <c r="A630" s="1237" t="s">
        <v>1880</v>
      </c>
      <c r="B630" s="1237" t="s">
        <v>537</v>
      </c>
      <c r="C630" s="1237" t="s">
        <v>965</v>
      </c>
    </row>
    <row r="631" spans="1:3">
      <c r="A631" s="1237" t="s">
        <v>1881</v>
      </c>
      <c r="B631" s="1237" t="s">
        <v>538</v>
      </c>
      <c r="C631" s="1237" t="s">
        <v>966</v>
      </c>
    </row>
    <row r="632" spans="1:3">
      <c r="A632" s="1237" t="s">
        <v>1882</v>
      </c>
      <c r="B632" s="1237" t="s">
        <v>539</v>
      </c>
      <c r="C632" s="1237" t="s">
        <v>967</v>
      </c>
    </row>
    <row r="633" spans="1:3">
      <c r="A633" s="1237" t="s">
        <v>1883</v>
      </c>
      <c r="B633" s="1237" t="s">
        <v>540</v>
      </c>
      <c r="C633" s="1237" t="s">
        <v>968</v>
      </c>
    </row>
    <row r="634" spans="1:3">
      <c r="A634" s="1237" t="s">
        <v>1884</v>
      </c>
      <c r="B634" s="1237" t="s">
        <v>541</v>
      </c>
      <c r="C634" s="1237" t="s">
        <v>969</v>
      </c>
    </row>
    <row r="635" spans="1:3">
      <c r="A635" s="1237" t="s">
        <v>1885</v>
      </c>
      <c r="B635" s="1237" t="s">
        <v>542</v>
      </c>
      <c r="C635" s="1237" t="s">
        <v>970</v>
      </c>
    </row>
    <row r="636" spans="1:3">
      <c r="A636" s="1237" t="s">
        <v>1886</v>
      </c>
      <c r="B636" s="1237" t="s">
        <v>543</v>
      </c>
      <c r="C636" s="1237" t="s">
        <v>971</v>
      </c>
    </row>
    <row r="637" spans="1:3">
      <c r="A637" s="1237" t="s">
        <v>1887</v>
      </c>
      <c r="B637" s="1237" t="s">
        <v>544</v>
      </c>
      <c r="C637" s="1237" t="s">
        <v>972</v>
      </c>
    </row>
    <row r="638" spans="1:3">
      <c r="A638" s="1237" t="s">
        <v>1888</v>
      </c>
      <c r="B638" s="1237" t="s">
        <v>545</v>
      </c>
      <c r="C638" s="1237" t="s">
        <v>973</v>
      </c>
    </row>
    <row r="639" spans="1:3">
      <c r="A639" s="1237" t="s">
        <v>1889</v>
      </c>
      <c r="B639" s="1237" t="s">
        <v>546</v>
      </c>
      <c r="C639" s="1237" t="s">
        <v>974</v>
      </c>
    </row>
    <row r="640" spans="1:3">
      <c r="A640" s="1237" t="s">
        <v>1890</v>
      </c>
      <c r="B640" s="1237" t="s">
        <v>547</v>
      </c>
      <c r="C640" s="1237" t="s">
        <v>975</v>
      </c>
    </row>
    <row r="641" spans="1:3">
      <c r="A641" s="1237" t="s">
        <v>1891</v>
      </c>
      <c r="B641" s="1237" t="s">
        <v>548</v>
      </c>
      <c r="C641" s="1237" t="s">
        <v>976</v>
      </c>
    </row>
    <row r="642" spans="1:3">
      <c r="A642" s="1237" t="s">
        <v>1892</v>
      </c>
      <c r="B642" s="1237" t="s">
        <v>549</v>
      </c>
      <c r="C642" s="1237" t="s">
        <v>977</v>
      </c>
    </row>
    <row r="643" spans="1:3">
      <c r="A643" s="1237" t="s">
        <v>1893</v>
      </c>
      <c r="B643" s="1237" t="s">
        <v>550</v>
      </c>
      <c r="C643" s="1237" t="s">
        <v>978</v>
      </c>
    </row>
    <row r="644" spans="1:3">
      <c r="A644" s="1237" t="s">
        <v>1894</v>
      </c>
      <c r="B644" s="1237" t="s">
        <v>551</v>
      </c>
      <c r="C644" s="1237" t="s">
        <v>979</v>
      </c>
    </row>
    <row r="645" spans="1:3">
      <c r="A645" s="1237" t="s">
        <v>1895</v>
      </c>
      <c r="B645" s="1237" t="s">
        <v>552</v>
      </c>
      <c r="C645" s="1237" t="s">
        <v>980</v>
      </c>
    </row>
    <row r="646" spans="1:3">
      <c r="A646" s="1237" t="s">
        <v>1896</v>
      </c>
      <c r="B646" s="1237" t="s">
        <v>553</v>
      </c>
      <c r="C646" s="1237" t="s">
        <v>981</v>
      </c>
    </row>
    <row r="647" spans="1:3">
      <c r="A647" s="1237" t="s">
        <v>1897</v>
      </c>
      <c r="B647" s="1237" t="s">
        <v>554</v>
      </c>
      <c r="C647" s="1237" t="s">
        <v>982</v>
      </c>
    </row>
    <row r="648" spans="1:3">
      <c r="A648" s="1237" t="s">
        <v>1898</v>
      </c>
      <c r="B648" s="1237" t="s">
        <v>555</v>
      </c>
      <c r="C648" s="1237" t="s">
        <v>983</v>
      </c>
    </row>
    <row r="649" spans="1:3">
      <c r="A649" s="1237" t="s">
        <v>1899</v>
      </c>
      <c r="B649" s="1237" t="s">
        <v>556</v>
      </c>
      <c r="C649" s="1237" t="s">
        <v>984</v>
      </c>
    </row>
    <row r="650" spans="1:3">
      <c r="A650" s="1237" t="s">
        <v>1900</v>
      </c>
      <c r="B650" s="1237" t="s">
        <v>557</v>
      </c>
      <c r="C650" s="1237" t="s">
        <v>985</v>
      </c>
    </row>
    <row r="651" spans="1:3">
      <c r="A651" s="1237" t="s">
        <v>1901</v>
      </c>
      <c r="B651" s="1237" t="s">
        <v>558</v>
      </c>
      <c r="C651" s="1237" t="s">
        <v>986</v>
      </c>
    </row>
    <row r="652" spans="1:3">
      <c r="A652" s="1237" t="s">
        <v>1902</v>
      </c>
      <c r="B652" s="1237" t="s">
        <v>559</v>
      </c>
      <c r="C652" s="1237" t="s">
        <v>987</v>
      </c>
    </row>
  </sheetData>
  <phoneticPr fontId="77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命名范围</vt:lpstr>
      </vt:variant>
      <vt:variant>
        <vt:i4>130</vt:i4>
      </vt:variant>
    </vt:vector>
  </HeadingPairs>
  <TitlesOfParts>
    <vt:vector size="155" baseType="lpstr">
      <vt:lpstr>Input</vt:lpstr>
      <vt:lpstr>Fan Selection</vt:lpstr>
      <vt:lpstr>Fan Type Calc.</vt:lpstr>
      <vt:lpstr>Curves (Std. conditions)</vt:lpstr>
      <vt:lpstr>Curves (Ops. conditions)</vt:lpstr>
      <vt:lpstr>Fan Torque Curve</vt:lpstr>
      <vt:lpstr>Curves (Simulation) (a)</vt:lpstr>
      <vt:lpstr>Curves (Simulation) (b)</vt:lpstr>
      <vt:lpstr>Curves (Simulation) (1)</vt:lpstr>
      <vt:lpstr>Curves (Simulation) (2)</vt:lpstr>
      <vt:lpstr>Data for BOSS</vt:lpstr>
      <vt:lpstr>Fan template</vt:lpstr>
      <vt:lpstr>stop</vt:lpstr>
      <vt:lpstr>Fan Data &amp; Deformation</vt:lpstr>
      <vt:lpstr>Calc. sheet</vt:lpstr>
      <vt:lpstr>Ventilator relevance</vt:lpstr>
      <vt:lpstr>Fan Name List</vt:lpstr>
      <vt:lpstr>House C Data</vt:lpstr>
      <vt:lpstr>Impeller C &amp; Run Data</vt:lpstr>
      <vt:lpstr>Fan Hydraulic Data</vt:lpstr>
      <vt:lpstr>Mechanical data, limits</vt:lpstr>
      <vt:lpstr>Material Options</vt:lpstr>
      <vt:lpstr>STOCK LIST</vt:lpstr>
      <vt:lpstr>stop1</vt:lpstr>
      <vt:lpstr>name_change</vt:lpstr>
      <vt:lpstr>A</vt:lpstr>
      <vt:lpstr>Air_speed_limits</vt:lpstr>
      <vt:lpstr>AS_tolerance</vt:lpstr>
      <vt:lpstr>b_1_bladeFP</vt:lpstr>
      <vt:lpstr>b_2</vt:lpstr>
      <vt:lpstr>Back_P_T</vt:lpstr>
      <vt:lpstr>Blade_L</vt:lpstr>
      <vt:lpstr>Blade_T</vt:lpstr>
      <vt:lpstr>Blade_TW</vt:lpstr>
      <vt:lpstr>blades</vt:lpstr>
      <vt:lpstr>BMS_TYPE</vt:lpstr>
      <vt:lpstr>Boss_no</vt:lpstr>
      <vt:lpstr>Boss_Units</vt:lpstr>
      <vt:lpstr>Cust_Fan_ID</vt:lpstr>
      <vt:lpstr>Cust_Proj_ID</vt:lpstr>
      <vt:lpstr>d_1</vt:lpstr>
      <vt:lpstr>d_2</vt:lpstr>
      <vt:lpstr>d_5</vt:lpstr>
      <vt:lpstr>d2_org</vt:lpstr>
      <vt:lpstr>Des_ang_speed</vt:lpstr>
      <vt:lpstr>Des_OP_ang_speed</vt:lpstr>
      <vt:lpstr>Des_rev</vt:lpstr>
      <vt:lpstr>Desired_RPM_max</vt:lpstr>
      <vt:lpstr>Desired_RPM_min</vt:lpstr>
      <vt:lpstr>Eff_OP</vt:lpstr>
      <vt:lpstr>Ext_ring_D</vt:lpstr>
      <vt:lpstr>Ext_ring_T</vt:lpstr>
      <vt:lpstr>Ext_rings</vt:lpstr>
      <vt:lpstr>Fan_drive</vt:lpstr>
      <vt:lpstr>Fan_Eff_OP</vt:lpstr>
      <vt:lpstr>Fan_name</vt:lpstr>
      <vt:lpstr>Fan_Name_List</vt:lpstr>
      <vt:lpstr>Fan_Power_OP</vt:lpstr>
      <vt:lpstr>Fan_Power_std</vt:lpstr>
      <vt:lpstr>fin_Q</vt:lpstr>
      <vt:lpstr>Final_Fan</vt:lpstr>
      <vt:lpstr>Front_P_T</vt:lpstr>
      <vt:lpstr>g</vt:lpstr>
      <vt:lpstr>hb</vt:lpstr>
      <vt:lpstr>House_P_T</vt:lpstr>
      <vt:lpstr>House_P_T_m</vt:lpstr>
      <vt:lpstr>House_X_Dim</vt:lpstr>
      <vt:lpstr>House_X_Dim_m</vt:lpstr>
      <vt:lpstr>IN_SP</vt:lpstr>
      <vt:lpstr>Inlet</vt:lpstr>
      <vt:lpstr>Inlet_m</vt:lpstr>
      <vt:lpstr>inlet_p</vt:lpstr>
      <vt:lpstr>Int_ring_D</vt:lpstr>
      <vt:lpstr>Int_ring_T</vt:lpstr>
      <vt:lpstr>Int_rings</vt:lpstr>
      <vt:lpstr>Mat_BFRAME</vt:lpstr>
      <vt:lpstr>Mat_BLADE</vt:lpstr>
      <vt:lpstr>Mat_DM</vt:lpstr>
      <vt:lpstr>Mat_FRAME</vt:lpstr>
      <vt:lpstr>Mat_HOUSE</vt:lpstr>
      <vt:lpstr>Mat_IMP</vt:lpstr>
      <vt:lpstr>Mat_opt_BFRAME</vt:lpstr>
      <vt:lpstr>Mat_opt_DM</vt:lpstr>
      <vt:lpstr>Mat_opt_FRAME</vt:lpstr>
      <vt:lpstr>Mat_opt_HOUSE</vt:lpstr>
      <vt:lpstr>Mat_opt_IMP</vt:lpstr>
      <vt:lpstr>Max_rev_OP</vt:lpstr>
      <vt:lpstr>Max_rev_SC</vt:lpstr>
      <vt:lpstr>Max_Stress</vt:lpstr>
      <vt:lpstr>mech_data_type</vt:lpstr>
      <vt:lpstr>Metal_density</vt:lpstr>
      <vt:lpstr>Metal_mech_data</vt:lpstr>
      <vt:lpstr>metal_Types</vt:lpstr>
      <vt:lpstr>OP_Q</vt:lpstr>
      <vt:lpstr>op_temp</vt:lpstr>
      <vt:lpstr>OP_TP</vt:lpstr>
      <vt:lpstr>P_OP_dyn</vt:lpstr>
      <vt:lpstr>P_OP_in</vt:lpstr>
      <vt:lpstr>P_OP_stat</vt:lpstr>
      <vt:lpstr>P_OP_tot</vt:lpstr>
      <vt:lpstr>P_std_stat</vt:lpstr>
      <vt:lpstr>P_std_tot</vt:lpstr>
      <vt:lpstr>Pin_in_SI</vt:lpstr>
      <vt:lpstr>Pin_in_SU</vt:lpstr>
      <vt:lpstr>Plate_T</vt:lpstr>
      <vt:lpstr>'Curves (Ops. conditions)'!Print_Area</vt:lpstr>
      <vt:lpstr>'Curves (Simulation) (1)'!Print_Area</vt:lpstr>
      <vt:lpstr>'Curves (Simulation) (2)'!Print_Area</vt:lpstr>
      <vt:lpstr>'Curves (Simulation) (a)'!Print_Area</vt:lpstr>
      <vt:lpstr>'Curves (Simulation) (b)'!Print_Area</vt:lpstr>
      <vt:lpstr>'Curves (Std. conditions)'!Print_Area</vt:lpstr>
      <vt:lpstr>'Data for BOSS'!Print_Area</vt:lpstr>
      <vt:lpstr>'Fan Data &amp; Deformation'!Print_Area</vt:lpstr>
      <vt:lpstr>'Fan Selection'!Print_Area</vt:lpstr>
      <vt:lpstr>'Fan template'!Print_Area</vt:lpstr>
      <vt:lpstr>'Fan Torque Curve'!Print_Area</vt:lpstr>
      <vt:lpstr>'Fan Type Calc.'!Print_Area</vt:lpstr>
      <vt:lpstr>'Ventilator relevance'!Print_Area</vt:lpstr>
      <vt:lpstr>'Fan Hydraulic Data'!Print_Titles</vt:lpstr>
      <vt:lpstr>'House C Data'!Print_Titles</vt:lpstr>
      <vt:lpstr>'Impeller C &amp; Run Data'!Print_Titles</vt:lpstr>
      <vt:lpstr>'Ventilator relevance'!Print_Titles</vt:lpstr>
      <vt:lpstr>Ps_in_SI</vt:lpstr>
      <vt:lpstr>Ps_in_SU</vt:lpstr>
      <vt:lpstr>Pt_in_SI</vt:lpstr>
      <vt:lpstr>Pt_in_SU</vt:lpstr>
      <vt:lpstr>Q</vt:lpstr>
      <vt:lpstr>Q_in_SI</vt:lpstr>
      <vt:lpstr>Q_in_SU</vt:lpstr>
      <vt:lpstr>Radiation_F</vt:lpstr>
      <vt:lpstr>rev_safety_f</vt:lpstr>
      <vt:lpstr>rho_med_20</vt:lpstr>
      <vt:lpstr>rho_med_OP</vt:lpstr>
      <vt:lpstr>rho_med_std</vt:lpstr>
      <vt:lpstr>rho_std</vt:lpstr>
      <vt:lpstr>rpm_OP</vt:lpstr>
      <vt:lpstr>Sel_Fan_eff</vt:lpstr>
      <vt:lpstr>Sel_Fan_number</vt:lpstr>
      <vt:lpstr>Sel_Fan_rev</vt:lpstr>
      <vt:lpstr>Sel_Fan_type</vt:lpstr>
      <vt:lpstr>Sel_Impeller_type</vt:lpstr>
      <vt:lpstr>Shaft_Power_OP</vt:lpstr>
      <vt:lpstr>Shaft_Power_std</vt:lpstr>
      <vt:lpstr>ST_Q</vt:lpstr>
      <vt:lpstr>STD_Q</vt:lpstr>
      <vt:lpstr>steel_density</vt:lpstr>
      <vt:lpstr>Stock_list</vt:lpstr>
      <vt:lpstr>Stress_safety</vt:lpstr>
      <vt:lpstr>T_in_SI</vt:lpstr>
      <vt:lpstr>T_in_SU</vt:lpstr>
      <vt:lpstr>T_OP</vt:lpstr>
      <vt:lpstr>T_std</vt:lpstr>
      <vt:lpstr>Ventilator_liste</vt:lpstr>
      <vt:lpstr>Yield_S_safety</vt:lpstr>
      <vt:lpstr>Yield_Stress20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Berg</dc:creator>
  <cp:lastModifiedBy>Administrator</cp:lastModifiedBy>
  <cp:lastPrinted>2018-08-10T14:19:51Z</cp:lastPrinted>
  <dcterms:created xsi:type="dcterms:W3CDTF">2006-04-19T06:41:59Z</dcterms:created>
  <dcterms:modified xsi:type="dcterms:W3CDTF">2019-12-26T03:03:52Z</dcterms:modified>
</cp:coreProperties>
</file>